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15210" windowHeight="8460" tabRatio="641" activeTab="3"/>
  </bookViews>
  <sheets>
    <sheet name="приложение 6" sheetId="1" r:id="rId1"/>
    <sheet name="Приложение 7" sheetId="2" r:id="rId2"/>
    <sheet name="Приложение 8" sheetId="3" r:id="rId3"/>
    <sheet name="Приложение 9" sheetId="4" r:id="rId4"/>
    <sheet name="Приложение 10" sheetId="5" r:id="rId5"/>
    <sheet name="Приложение 12" sheetId="6" r:id="rId6"/>
    <sheet name="Приложение 13" sheetId="7" state="hidden" r:id="rId7"/>
  </sheets>
  <definedNames>
    <definedName name="_xlnm.Print_Titles" localSheetId="4">'Приложение 10'!$12:$14</definedName>
    <definedName name="_xlnm.Print_Titles" localSheetId="0">'приложение 6'!$15:$17</definedName>
    <definedName name="_xlnm.Print_Titles" localSheetId="3">'Приложение 9'!$12:$13</definedName>
    <definedName name="_xlnm.Print_Area" localSheetId="0">'приложение 6'!$A$1:$F$69</definedName>
  </definedNames>
  <calcPr fullCalcOnLoad="1"/>
</workbook>
</file>

<file path=xl/sharedStrings.xml><?xml version="1.0" encoding="utf-8"?>
<sst xmlns="http://schemas.openxmlformats.org/spreadsheetml/2006/main" count="10887" uniqueCount="832">
  <si>
    <t xml:space="preserve">                                                                 период 2021 и 2022 годов"</t>
  </si>
  <si>
    <t>2022 год</t>
  </si>
  <si>
    <t xml:space="preserve">бюджете на 2020 год и плановый </t>
  </si>
  <si>
    <t>период 2021 и 2022 годов"</t>
  </si>
  <si>
    <t xml:space="preserve">                                                            классификации расходов на 2020 год и плановый период 2021 и 2022 годов</t>
  </si>
  <si>
    <t>90270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</si>
  <si>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</si>
  <si>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</si>
  <si>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</si>
  <si>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</si>
  <si>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</si>
  <si>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</si>
  <si>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</si>
  <si>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</si>
  <si>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</si>
  <si>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06 0 06 00190</t>
  </si>
  <si>
    <t>Итого расходов</t>
  </si>
  <si>
    <t>Условно утверждаемые расходы</t>
  </si>
  <si>
    <t>ИТОГО РАСХОДОВ</t>
  </si>
  <si>
    <t>03 0 03 20210</t>
  </si>
  <si>
    <t>03 0 03 00000</t>
  </si>
  <si>
    <t>Муниципальная программа развития туризма в Белозерском муниципальном районе  «Белозерск – Былинный город» на 2018-2020 годы</t>
  </si>
  <si>
    <t>20 0 00 00000</t>
  </si>
  <si>
    <t>20 0 01 00000</t>
  </si>
  <si>
    <t>20 0 01 20450</t>
  </si>
  <si>
    <t>20 0 02 00000</t>
  </si>
  <si>
    <t>20 0 02 20460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</si>
  <si>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</si>
  <si>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</si>
  <si>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Муниципальная  программа основных направлений кадровой  политики в Белозерском муниципальном районе на 2018 – 2020 годы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</si>
  <si>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</si>
  <si>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</si>
  <si>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Муниципальная   программа «Экономическое развитие Белозерского муниципального района на 2018 – 2020 годы»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</si>
  <si>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</si>
  <si>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2018-2020 годы"</t>
  </si>
  <si>
    <t>Муниципальная программа «Управление муниципальными финансами Белозерского муниципального района на 2018-2020 годы»</t>
  </si>
  <si>
    <t>Подпрограмма "Обеспечение сбалансированности районного бюджета и повышение эффективности бюджетных расходов на 2018-2019 год"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</si>
  <si>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</si>
  <si>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</si>
  <si>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</si>
  <si>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</si>
  <si>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</si>
  <si>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</si>
  <si>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Подпрограмма "Поддержание устойчивого исполнения местных бюджетов и повышение качества управления муниципальными финансами на 2018-2020 годы"</t>
  </si>
  <si>
    <t>Основное мероприятие "Поддержка мер по обеспечению сбалансированности бюджетов поселений"</t>
  </si>
  <si>
    <t>20</t>
  </si>
  <si>
    <t>11 1 00 00000</t>
  </si>
  <si>
    <t>11 1 01 00000</t>
  </si>
  <si>
    <t>11 1 01 00190</t>
  </si>
  <si>
    <t>11 2 00 00000</t>
  </si>
  <si>
    <t>11 2 01 00000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</si>
  <si>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</si>
  <si>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</si>
  <si>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</si>
  <si>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90510</t>
  </si>
  <si>
    <t>Дотации  на выравнивание бюджетной обеспеченности</t>
  </si>
  <si>
    <t>90520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</si>
  <si>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</si>
  <si>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</si>
  <si>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</si>
  <si>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</si>
  <si>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</si>
  <si>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07 0 05 70030</t>
  </si>
  <si>
    <t>31 0 05 70030</t>
  </si>
  <si>
    <t>34 0 04 70030</t>
  </si>
  <si>
    <t>34 0 01 70030</t>
  </si>
  <si>
    <t>34 0 02 70030</t>
  </si>
  <si>
    <t>29 0 02 70030</t>
  </si>
  <si>
    <t>06 0 01 70030</t>
  </si>
  <si>
    <t>06 0 02 70030</t>
  </si>
  <si>
    <t>06 0 03 70030</t>
  </si>
  <si>
    <t>52100</t>
  </si>
  <si>
    <t>51690</t>
  </si>
  <si>
    <t>52280</t>
  </si>
  <si>
    <t>52430</t>
  </si>
  <si>
    <t>06 0 E1 51690</t>
  </si>
  <si>
    <t>10 0 G5 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</si>
  <si>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</si>
  <si>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91  </t>
  </si>
  <si>
    <t>90280</t>
  </si>
  <si>
    <t>E2</t>
  </si>
  <si>
    <t>54910</t>
  </si>
  <si>
    <t>06 0 E2 54910</t>
  </si>
  <si>
    <t>08 0 00 00000</t>
  </si>
  <si>
    <t>08 0 02 00000</t>
  </si>
  <si>
    <t>08 0 02 S1600</t>
  </si>
  <si>
    <t>70010</t>
  </si>
  <si>
    <t>70020</t>
  </si>
  <si>
    <t>11 2 01 70010</t>
  </si>
  <si>
    <t>11 2 02 70020</t>
  </si>
  <si>
    <t>33 2 01 70010</t>
  </si>
  <si>
    <t>33 2 02 70020</t>
  </si>
  <si>
    <t>11 2 02 70030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</si>
  <si>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</si>
  <si>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</si>
  <si>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</si>
  <si>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</si>
  <si>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</si>
  <si>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</si>
  <si>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06 0 06 70030</t>
  </si>
  <si>
    <t>11 4 01 70030</t>
  </si>
  <si>
    <t xml:space="preserve">от 23.12.2019 № 104      </t>
  </si>
  <si>
    <t>"Приложение 6</t>
  </si>
  <si>
    <t xml:space="preserve">                                                                 "Приложение 9</t>
  </si>
  <si>
    <t xml:space="preserve">                                                                 от 23.12.2019 № 104</t>
  </si>
  <si>
    <t xml:space="preserve">                                                             "Приложение 7</t>
  </si>
  <si>
    <t xml:space="preserve">                                                             "Приложение 8</t>
  </si>
  <si>
    <t xml:space="preserve">                                                                 "Приложение 10</t>
  </si>
  <si>
    <t>Приложение 5</t>
  </si>
  <si>
    <t>от _______________ № ________</t>
  </si>
  <si>
    <t>от 23.12.2019 № 104</t>
  </si>
  <si>
    <t>"Приложение 12</t>
  </si>
  <si>
    <t>"Приложение 13</t>
  </si>
  <si>
    <t xml:space="preserve">                                                            от 23.12.2019 №104     </t>
  </si>
  <si>
    <t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t>
  </si>
  <si>
    <t>09 0 02 00000</t>
  </si>
  <si>
    <t>09 0 02 20440</t>
  </si>
  <si>
    <t>20030</t>
  </si>
  <si>
    <t>Расходы на содержание и организацию деятельности аварийно-спасательной службы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</si>
  <si>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</si>
  <si>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</si>
  <si>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</si>
  <si>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</si>
  <si>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</si>
  <si>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</si>
  <si>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</si>
  <si>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</si>
  <si>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06 0 E2 00000</t>
  </si>
  <si>
    <t>Основное мероприятие "Реализация регионального проекта "Современная школа"</t>
  </si>
  <si>
    <t>06 0 E1 00000</t>
  </si>
  <si>
    <t>Основное мероприятие "Реализация регионального проекта "Цифровая образовательная среда"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</si>
  <si>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</si>
  <si>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08 0 02 20130</t>
  </si>
  <si>
    <t>Основное мероприятие "Расширение внешних связей"</t>
  </si>
  <si>
    <t>07 0 02 00000</t>
  </si>
  <si>
    <t>07 0 02 01590</t>
  </si>
  <si>
    <t>06 0 02 14590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</si>
  <si>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</si>
  <si>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</si>
  <si>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</si>
  <si>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</si>
  <si>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</si>
  <si>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</si>
  <si>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</si>
  <si>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</si>
  <si>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</si>
  <si>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</si>
  <si>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</si>
  <si>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</si>
  <si>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</si>
  <si>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</si>
  <si>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</si>
  <si>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</si>
  <si>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</si>
  <si>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</si>
  <si>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</si>
  <si>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</si>
  <si>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</si>
  <si>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</si>
  <si>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</si>
  <si>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</si>
  <si>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</si>
  <si>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</si>
  <si>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</si>
  <si>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Основное мероприятие "Разработка комплексной схемы организации дорожного движения"</t>
  </si>
  <si>
    <t>04 0 07 00000</t>
  </si>
  <si>
    <t>04 0 07 20300</t>
  </si>
  <si>
    <t>23060</t>
  </si>
  <si>
    <t>Иные выплаты населению</t>
  </si>
  <si>
    <t>Основное мероприятие "Предупреждение экстремизма и терроризма"</t>
  </si>
  <si>
    <t>Реализация мероприятий, направленных на предупреждение экстремизма и терроризма</t>
  </si>
  <si>
    <t>Основное мероприятие "Правовое информирование граждан"</t>
  </si>
  <si>
    <t>Мероприятия, направленные на правовое информирование граждан</t>
  </si>
  <si>
    <t>Подпрограмма "Безопасность дорожного движения"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</si>
  <si>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</si>
  <si>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13 1 00 00000</t>
  </si>
  <si>
    <t>13 1 02 00000</t>
  </si>
  <si>
    <t>13 1 02 20440</t>
  </si>
  <si>
    <t>13 2 03 00000</t>
  </si>
  <si>
    <t>13 2 03 23060</t>
  </si>
  <si>
    <t>13 2 07 00000</t>
  </si>
  <si>
    <t>13 2 07 20450</t>
  </si>
  <si>
    <t>26 0 F3 67483</t>
  </si>
  <si>
    <t>Основное мероприятие "Сохранение и популяризация объектов культурного наследия"</t>
  </si>
  <si>
    <t>07 0 03 00000</t>
  </si>
  <si>
    <t>41010</t>
  </si>
  <si>
    <t xml:space="preserve"> Разработка проектно-сметной документации</t>
  </si>
  <si>
    <t>07 0 03 41010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</si>
  <si>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</si>
  <si>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</si>
  <si>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</si>
  <si>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</si>
  <si>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</si>
  <si>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</si>
  <si>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</si>
  <si>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</si>
  <si>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</si>
  <si>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</si>
  <si>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</si>
  <si>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</si>
  <si>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</si>
  <si>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</si>
  <si>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23280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</si>
  <si>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</si>
  <si>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</si>
  <si>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29 0 03 00000</t>
  </si>
  <si>
    <t>29 0 03 23280</t>
  </si>
  <si>
    <t>Приложение 6</t>
  </si>
  <si>
    <t xml:space="preserve">                                                                  Приложение 8</t>
  </si>
  <si>
    <t>Приложение 11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</si>
  <si>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</si>
  <si>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</si>
  <si>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</si>
  <si>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06 0 05 S1330</t>
  </si>
  <si>
    <t>Основное мероприятие «Разработка ПКРТИ»</t>
  </si>
  <si>
    <t>04 0 08 00000</t>
  </si>
  <si>
    <t>04 0 08 20300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</si>
  <si>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</si>
  <si>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</si>
  <si>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S1120</t>
  </si>
  <si>
    <t>S3280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</si>
  <si>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</si>
  <si>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</si>
  <si>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S1120</t>
  </si>
  <si>
    <t>29 0 03 S3280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</si>
  <si>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</si>
  <si>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</si>
  <si>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06 0 02 53031</t>
  </si>
  <si>
    <t>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</si>
  <si>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</si>
  <si>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 0 02 R3041</t>
  </si>
  <si>
    <t>S1420</t>
  </si>
  <si>
    <t>Создание в муниципальных общеобразовательных организациях кружков по развитию предпринимательства</t>
  </si>
  <si>
    <t>06 0 03 S1420</t>
  </si>
  <si>
    <t>11 4 02 70030</t>
  </si>
  <si>
    <t>20140</t>
  </si>
  <si>
    <t>Основное мероприятие "Строительство фельдерско-акушерских пунктов и офисов врача общей практики"</t>
  </si>
  <si>
    <t>Мероприятия по строительству ФАПов</t>
  </si>
  <si>
    <t>08 0 03 00000</t>
  </si>
  <si>
    <t>08 0 03 20140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</si>
  <si>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</si>
  <si>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</si>
  <si>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</si>
  <si>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Осуществление переданных полномочий в области внешнего финансового контроля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</si>
  <si>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</si>
  <si>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</si>
  <si>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</si>
  <si>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</si>
  <si>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</si>
  <si>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</si>
  <si>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</si>
  <si>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</si>
  <si>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Муниципальная программа "Обеспечение законности, правопорядка и общественной безопасности в Белозерском районе на 2014 -2020 годы"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</si>
  <si>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</si>
  <si>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</si>
  <si>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</si>
  <si>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</si>
  <si>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</si>
  <si>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</si>
  <si>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</si>
  <si>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</si>
  <si>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</si>
  <si>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</si>
  <si>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</si>
  <si>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</si>
  <si>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</si>
  <si>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</si>
  <si>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</si>
  <si>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</si>
  <si>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</si>
  <si>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</si>
  <si>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Муниципальная программа "Развитие системы образования Белозерского муниципального района на 2018-2020 годы"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</si>
  <si>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</si>
  <si>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</si>
  <si>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</si>
  <si>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</si>
  <si>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20 0 01 S1250</t>
  </si>
  <si>
    <t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</si>
  <si>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</si>
  <si>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</si>
  <si>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</si>
  <si>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</si>
  <si>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</si>
  <si>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</si>
  <si>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</si>
  <si>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</si>
  <si>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</si>
  <si>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07 0 07 00000</t>
  </si>
  <si>
    <t>07 0 07 01590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</si>
  <si>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</si>
  <si>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</si>
  <si>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</si>
  <si>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</si>
  <si>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</si>
  <si>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</si>
  <si>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</si>
  <si>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</si>
  <si>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</si>
  <si>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</si>
  <si>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</si>
  <si>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</si>
  <si>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</si>
  <si>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</si>
  <si>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</si>
  <si>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</si>
  <si>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</si>
  <si>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</si>
  <si>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</si>
  <si>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</si>
  <si>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10 0 02 00000</t>
  </si>
  <si>
    <t>Основное мероприятие "Мероприятия по предотвращению загрязнения природной среды отходами производства и потребления"</t>
  </si>
  <si>
    <t>10 0 02 20110</t>
  </si>
  <si>
    <t>06 0 04 14590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</si>
  <si>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</si>
  <si>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</si>
  <si>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</si>
  <si>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</si>
  <si>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</si>
  <si>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</si>
  <si>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</si>
  <si>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</si>
  <si>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</si>
  <si>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</si>
  <si>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</si>
  <si>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</si>
  <si>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</si>
  <si>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</si>
  <si>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</si>
  <si>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Основное мероприятие «Организационное и информационно-методическое обеспечение отдыха и оздоровления детей в каникулярное время»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</si>
  <si>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</si>
  <si>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</si>
  <si>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</si>
  <si>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</si>
  <si>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</si>
  <si>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</si>
  <si>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</si>
  <si>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</si>
  <si>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</si>
  <si>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</si>
  <si>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</si>
  <si>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</si>
  <si>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Обеспечение деятельности органов местного самоуравления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</si>
  <si>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</si>
  <si>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</si>
  <si>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</si>
  <si>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</si>
  <si>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</si>
  <si>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</si>
  <si>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</si>
  <si>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</si>
  <si>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</si>
  <si>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</si>
  <si>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</si>
  <si>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</si>
  <si>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</si>
  <si>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07 0 00 00000</t>
  </si>
  <si>
    <t>09 0 00 00000</t>
  </si>
  <si>
    <t>09 0 01 00000</t>
  </si>
  <si>
    <t>10 0 00 00000</t>
  </si>
  <si>
    <t>10 0 01 00000</t>
  </si>
  <si>
    <t>10 0 01 20110</t>
  </si>
  <si>
    <t>11 0 00 00000</t>
  </si>
  <si>
    <t>13 0 00 00000</t>
  </si>
  <si>
    <t>13 2 00 00000</t>
  </si>
  <si>
    <t>13 2 04 S1060</t>
  </si>
  <si>
    <t xml:space="preserve">                                                      Распределение бюджетных ассигнований по разделам, подразделам, 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</si>
  <si>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</si>
  <si>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</si>
  <si>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</si>
  <si>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</si>
  <si>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</si>
  <si>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</si>
  <si>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</si>
  <si>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</si>
  <si>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</si>
  <si>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</si>
  <si>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</si>
  <si>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</si>
  <si>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</si>
  <si>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Социальное обслуживание населения</t>
  </si>
  <si>
    <t>Пенсионное обеспечение</t>
  </si>
  <si>
    <t>Культура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</si>
  <si>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</si>
  <si>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</si>
  <si>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</si>
  <si>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Подпрограмма "Обеспечение сбалансированности районного бюджета и повышение эффективности бюджетных расходов на 2018-2020 год"</t>
  </si>
  <si>
    <t>Осуществление отдельных государственных полномочий в соответствии с законом области от 10 декабря 2014 года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</si>
  <si>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</si>
  <si>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</si>
  <si>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028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</si>
  <si>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</si>
  <si>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</si>
  <si>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</si>
  <si>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</si>
  <si>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</si>
  <si>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</si>
  <si>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</si>
  <si>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</si>
  <si>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</si>
  <si>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</si>
  <si>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</si>
  <si>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</si>
  <si>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</si>
  <si>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</si>
  <si>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</si>
  <si>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</si>
  <si>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</si>
  <si>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</si>
  <si>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</si>
  <si>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</si>
  <si>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</si>
  <si>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</si>
  <si>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</si>
  <si>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</si>
  <si>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</si>
  <si>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</si>
  <si>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</si>
  <si>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</si>
  <si>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</si>
  <si>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</si>
  <si>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</si>
  <si>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</si>
  <si>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</si>
  <si>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</si>
  <si>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</si>
  <si>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</si>
  <si>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</si>
  <si>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</si>
  <si>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</si>
  <si>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</si>
  <si>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</si>
  <si>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</si>
  <si>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</si>
  <si>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</si>
  <si>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</si>
  <si>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</si>
  <si>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</si>
  <si>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</si>
  <si>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</si>
  <si>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</si>
  <si>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</si>
  <si>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</si>
  <si>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</si>
  <si>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</si>
  <si>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</si>
  <si>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</si>
  <si>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</si>
  <si>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</si>
  <si>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</si>
  <si>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</si>
  <si>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</si>
  <si>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</si>
  <si>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</si>
  <si>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</si>
  <si>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</si>
  <si>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</si>
  <si>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</si>
  <si>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</si>
  <si>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</si>
  <si>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</si>
  <si>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</si>
  <si>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</si>
  <si>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</si>
  <si>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</si>
  <si>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</si>
  <si>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</si>
  <si>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</si>
  <si>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</si>
  <si>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</si>
  <si>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</si>
  <si>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</si>
  <si>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</si>
  <si>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</si>
  <si>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</si>
  <si>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Основное мероприятие «Организация подготовки кадров, повышения их профессионального уровня»</t>
  </si>
  <si>
    <t>Основное мероприятие "Комплекс стимулирующих мер по закреплению кадров в районе"</t>
  </si>
  <si>
    <t>Обслуживание муниципального долга</t>
  </si>
  <si>
    <t>Муниципальная программа «Обеспечение законности, правопорядка и общественной безопасности в Белозерском районе на 2014 -2020 годы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</si>
  <si>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</si>
  <si>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</si>
  <si>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</si>
  <si>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</si>
  <si>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</si>
  <si>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</si>
  <si>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</si>
  <si>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</si>
  <si>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</si>
  <si>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</si>
  <si>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</si>
  <si>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</si>
  <si>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</si>
  <si>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</si>
  <si>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</si>
  <si>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</si>
  <si>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</si>
  <si>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</si>
  <si>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</si>
  <si>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</si>
  <si>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</si>
  <si>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</si>
  <si>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на 2020 год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</si>
  <si>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</si>
  <si>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</si>
  <si>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</si>
  <si>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</si>
  <si>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</si>
  <si>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</si>
  <si>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</si>
  <si>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</si>
  <si>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</si>
  <si>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</si>
  <si>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</si>
  <si>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</si>
  <si>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</si>
  <si>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</si>
  <si>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</si>
  <si>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</si>
  <si>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</si>
  <si>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работу"</t>
  </si>
  <si>
    <t>07 0 01 00000</t>
  </si>
  <si>
    <t>07 0 01 01590</t>
  </si>
  <si>
    <t>07 0 05 00000</t>
  </si>
  <si>
    <t>07 0 05 01590</t>
  </si>
  <si>
    <t>13 2 04 00000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</si>
  <si>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</si>
  <si>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</si>
  <si>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</si>
  <si>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</si>
  <si>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</si>
  <si>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</si>
  <si>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</si>
  <si>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</si>
  <si>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</si>
  <si>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</si>
  <si>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</si>
  <si>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</si>
  <si>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</si>
  <si>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</si>
  <si>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</si>
  <si>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</si>
  <si>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</si>
  <si>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</si>
  <si>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</si>
  <si>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</si>
  <si>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</si>
  <si>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</si>
  <si>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</si>
  <si>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</si>
  <si>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</si>
  <si>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</si>
  <si>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</si>
  <si>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</si>
  <si>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</si>
  <si>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</si>
  <si>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</si>
  <si>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</si>
  <si>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</si>
  <si>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</si>
  <si>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</si>
  <si>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</si>
  <si>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</si>
  <si>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</si>
  <si>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</si>
  <si>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</si>
  <si>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</si>
  <si>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</si>
  <si>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</si>
  <si>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</si>
  <si>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</si>
  <si>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</si>
  <si>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11 2 01 72220</t>
  </si>
  <si>
    <t>11 2 02 00000</t>
  </si>
  <si>
    <t>11 3 00 00000</t>
  </si>
  <si>
    <t>11 3 01 00000</t>
  </si>
  <si>
    <t>11 3 01 20990</t>
  </si>
  <si>
    <t>11 4 00 00000</t>
  </si>
  <si>
    <t>11 4 01 00000</t>
  </si>
  <si>
    <t>11 4 01 90120</t>
  </si>
  <si>
    <t>11 4 01 90140</t>
  </si>
  <si>
    <t>11 4 01 00190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</si>
  <si>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</si>
  <si>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</si>
  <si>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</si>
  <si>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</si>
  <si>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</si>
  <si>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99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</si>
  <si>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</si>
  <si>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</si>
  <si>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</si>
  <si>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</si>
  <si>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</si>
  <si>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</si>
  <si>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</si>
  <si>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</si>
  <si>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</si>
  <si>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</si>
  <si>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</si>
  <si>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</si>
  <si>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</si>
  <si>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</si>
  <si>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</si>
  <si>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</si>
  <si>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</si>
  <si>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</si>
  <si>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</si>
  <si>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</si>
  <si>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</si>
  <si>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</si>
  <si>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</si>
  <si>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</si>
  <si>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</si>
  <si>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</si>
  <si>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</si>
  <si>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</si>
  <si>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</si>
  <si>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</si>
  <si>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</si>
  <si>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</si>
  <si>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</si>
  <si>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</si>
  <si>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00000</t>
  </si>
  <si>
    <t xml:space="preserve"> </t>
  </si>
  <si>
    <t>Здравоохранение</t>
  </si>
  <si>
    <t>06 0 00 00000</t>
  </si>
  <si>
    <t>06 0 01 00000</t>
  </si>
  <si>
    <t>06 0 01 72010</t>
  </si>
  <si>
    <t>06 0 01 72020</t>
  </si>
  <si>
    <t>06 0 01 12590</t>
  </si>
  <si>
    <t>06 0 05 00000</t>
  </si>
  <si>
    <t>06 0 05 12590</t>
  </si>
  <si>
    <t>06 0 01 13590</t>
  </si>
  <si>
    <t>06 0 02 00000</t>
  </si>
  <si>
    <t>06 0 02 13590</t>
  </si>
  <si>
    <t>06 0 02 72010</t>
  </si>
  <si>
    <t>06 0 02 72020</t>
  </si>
  <si>
    <t>06 0 03 00000</t>
  </si>
  <si>
    <t>06 0 03 13590</t>
  </si>
  <si>
    <t>06 0 04 00000</t>
  </si>
  <si>
    <t>06 0 03 15590</t>
  </si>
  <si>
    <t>06 0 01 00190</t>
  </si>
  <si>
    <t>06 0 02 00190</t>
  </si>
  <si>
    <t>06 0 04 00190</t>
  </si>
  <si>
    <t>06 0 06 00000</t>
  </si>
  <si>
    <t>06 0 06 14590</t>
  </si>
  <si>
    <t>Муниципальная программа охраны окружающей среды и рационального использования природных ресурсов на 2015-2020 годы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</si>
  <si>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</si>
  <si>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</si>
  <si>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</si>
  <si>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</si>
  <si>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</si>
  <si>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</si>
  <si>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</si>
  <si>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</si>
  <si>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</si>
  <si>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</si>
  <si>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</si>
  <si>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</si>
  <si>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</si>
  <si>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</si>
  <si>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</si>
  <si>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</si>
  <si>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</si>
  <si>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 аннулирования таких наименований, размещение информации в государственном адресном реестре</t>
  </si>
  <si>
    <t>G5</t>
  </si>
  <si>
    <t>Строительство и реконструкция (модернизация) объектов питьевого водоснабжения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</si>
  <si>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</si>
  <si>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</si>
  <si>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</si>
  <si>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</si>
  <si>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</si>
  <si>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</si>
  <si>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</si>
  <si>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</si>
  <si>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</si>
  <si>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</si>
  <si>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</si>
  <si>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</si>
  <si>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</si>
  <si>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</si>
  <si>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</si>
  <si>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</si>
  <si>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</si>
  <si>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</si>
  <si>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</si>
  <si>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</si>
  <si>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</si>
  <si>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</si>
  <si>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</si>
  <si>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</si>
  <si>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</si>
  <si>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S1690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</si>
  <si>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</si>
  <si>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E4</t>
  </si>
  <si>
    <t>S2100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</si>
  <si>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</si>
  <si>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№      </t>
    </r>
  </si>
  <si>
    <t xml:space="preserve">                                                             и плановый период 2021 и 2022 годов" </t>
  </si>
  <si>
    <t xml:space="preserve">                                                             "О районном бюджете на  2020 год 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</si>
  <si>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</si>
  <si>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</t>
  </si>
  <si>
    <t>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</si>
  <si>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</si>
  <si>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</si>
  <si>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</si>
  <si>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</si>
  <si>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</t>
  </si>
  <si>
    <t xml:space="preserve"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2020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</si>
  <si>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плановый период 2021 и 2022 годов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</si>
  <si>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</si>
  <si>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</si>
  <si>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47</t>
  </si>
  <si>
    <t>31</t>
  </si>
  <si>
    <t xml:space="preserve"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2020 год 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</si>
  <si>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плановый период 2021 и 2022 годов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</si>
  <si>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</si>
  <si>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</si>
  <si>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</si>
  <si>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</si>
  <si>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</si>
  <si>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</si>
  <si>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</si>
  <si>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</si>
  <si>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</si>
  <si>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</si>
  <si>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</si>
  <si>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</si>
  <si>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</si>
  <si>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62020</t>
  </si>
  <si>
    <t>Исполнение судебных актов</t>
  </si>
  <si>
    <t>03 0 00 00000</t>
  </si>
  <si>
    <t>027</t>
  </si>
  <si>
    <t>663</t>
  </si>
  <si>
    <t>03 0 01 00000</t>
  </si>
  <si>
    <t>03 0 01 20210</t>
  </si>
  <si>
    <t>04 0 00 00000</t>
  </si>
  <si>
    <t>04 0 02 00000</t>
  </si>
  <si>
    <t>04 0 03 00000</t>
  </si>
  <si>
    <t>04 0 04 00000</t>
  </si>
  <si>
    <t>06 0 05 13590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</si>
  <si>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</si>
  <si>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</si>
  <si>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</si>
  <si>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</si>
  <si>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</si>
  <si>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03 0 02 00000</t>
  </si>
  <si>
    <t>03 0 02 20210</t>
  </si>
  <si>
    <t>Муниципальная поддержка транспортных организаций</t>
  </si>
  <si>
    <t>S2270</t>
  </si>
  <si>
    <t>Софинансирование на реализацию мероприятий проекта "Народный бюджет"</t>
  </si>
  <si>
    <t>06 0 03 14590</t>
  </si>
  <si>
    <t>90190</t>
  </si>
  <si>
    <t>90200</t>
  </si>
  <si>
    <t>06 0 03 00190</t>
  </si>
  <si>
    <t>90210</t>
  </si>
  <si>
    <t>90220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</si>
  <si>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</si>
  <si>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</si>
  <si>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</si>
  <si>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</si>
  <si>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</si>
  <si>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</si>
  <si>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</si>
  <si>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</si>
  <si>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</si>
  <si>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</si>
  <si>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</si>
  <si>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</si>
  <si>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</si>
  <si>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</si>
  <si>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</si>
  <si>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Реализация мероприятий по строительству объектов инженерной инфраструктуры</t>
  </si>
  <si>
    <t>S1600</t>
  </si>
  <si>
    <t>06 0 05 S1220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</si>
  <si>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</si>
  <si>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</si>
  <si>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</si>
  <si>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</si>
  <si>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</si>
  <si>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Основное мероприятие «Ремонт улично-дорожной сети западного района г.Белозерска»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</si>
  <si>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</si>
  <si>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</si>
  <si>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</si>
  <si>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</si>
  <si>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</si>
  <si>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</si>
  <si>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</si>
  <si>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>S2430</t>
  </si>
  <si>
    <t>20120</t>
  </si>
  <si>
    <t>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</si>
  <si>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 xml:space="preserve"> Расходы на выплаты персоналу казенных учреждений</t>
  </si>
  <si>
    <t>Основное мероприятие "Строительство объектов инженерной инфраструктуры связи"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</si>
  <si>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</si>
  <si>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</si>
  <si>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</si>
  <si>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20130</t>
  </si>
  <si>
    <t>Мероприятия по строительству объектов инженерной инфраструктуры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</si>
  <si>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</si>
  <si>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</si>
  <si>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</si>
  <si>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</si>
  <si>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</si>
  <si>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Основное мероприятие "Благоустройство дворовых территорий многоквартирных домов, территорий общего пользования"</t>
  </si>
  <si>
    <t>46 0 00 00000</t>
  </si>
  <si>
    <t>Основное мероприятие "Обеспечение деятельности подведомственного учреждения БКУ "Централизованная бухгалтерия"</t>
  </si>
  <si>
    <t>11 4 02 00000</t>
  </si>
  <si>
    <t>11 4 02 00590</t>
  </si>
  <si>
    <t>11 4 02 90230</t>
  </si>
  <si>
    <t>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</si>
  <si>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</si>
  <si>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20 0 01 S1050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</si>
  <si>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</si>
  <si>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</si>
  <si>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</si>
  <si>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</si>
  <si>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</si>
  <si>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</si>
  <si>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</si>
  <si>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</si>
  <si>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</si>
  <si>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</si>
  <si>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</si>
  <si>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</si>
  <si>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</si>
  <si>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</si>
  <si>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</si>
  <si>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</si>
  <si>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</si>
  <si>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 xml:space="preserve">                                                                  Приложение 5</t>
  </si>
  <si>
    <t xml:space="preserve">                                                                 "О районном бюджете на 2020 год и плановый </t>
  </si>
  <si>
    <t>Приложение 7</t>
  </si>
  <si>
    <t xml:space="preserve">                                                                  Приложение 9</t>
  </si>
  <si>
    <t>Приложение 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</si>
</sst>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4" fillId="0" borderId="15" xfId="53" applyNumberFormat="1" applyFont="1" applyFill="1" applyBorder="1" applyAlignment="1" applyProtection="1">
      <alignment horizontal="center" vertical="top"/>
      <protection hidden="1"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0" fontId="13" fillId="0" borderId="17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1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3" fontId="11" fillId="0" borderId="0" xfId="53" applyNumberFormat="1" applyFont="1" applyFill="1" applyBorder="1" applyAlignment="1" applyProtection="1">
      <alignment wrapText="1"/>
      <protection hidden="1"/>
    </xf>
    <xf numFmtId="0" fontId="14" fillId="0" borderId="0" xfId="53" applyNumberFormat="1" applyFont="1" applyFill="1" applyBorder="1" applyAlignment="1" applyProtection="1">
      <alignment vertical="top" wrapText="1"/>
      <protection hidden="1"/>
    </xf>
    <xf numFmtId="173" fontId="14" fillId="0" borderId="0" xfId="53" applyNumberFormat="1" applyFont="1" applyFill="1" applyBorder="1" applyAlignment="1" applyProtection="1">
      <alignment horizontal="center" vertical="top"/>
      <protection hidden="1"/>
    </xf>
    <xf numFmtId="174" fontId="14" fillId="0" borderId="0" xfId="53" applyNumberFormat="1" applyFont="1" applyFill="1" applyBorder="1" applyAlignment="1" applyProtection="1">
      <alignment horizontal="center" vertical="top"/>
      <protection hidden="1"/>
    </xf>
    <xf numFmtId="49" fontId="14" fillId="0" borderId="0" xfId="53" applyNumberFormat="1" applyFont="1" applyFill="1" applyBorder="1" applyAlignment="1" applyProtection="1">
      <alignment horizontal="center" vertical="top"/>
      <protection hidden="1"/>
    </xf>
    <xf numFmtId="183" fontId="14" fillId="0" borderId="0" xfId="53" applyNumberFormat="1" applyFont="1" applyFill="1" applyBorder="1" applyAlignment="1" applyProtection="1">
      <alignment horizontal="center" vertical="top"/>
      <protection hidden="1"/>
    </xf>
    <xf numFmtId="49" fontId="14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3" fillId="0" borderId="12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0" fontId="24" fillId="0" borderId="10" xfId="53" applyNumberFormat="1" applyFont="1" applyFill="1" applyBorder="1" applyAlignment="1" applyProtection="1">
      <alignment vertical="top" wrapText="1"/>
      <protection hidden="1"/>
    </xf>
    <xf numFmtId="173" fontId="24" fillId="0" borderId="10" xfId="53" applyNumberFormat="1" applyFont="1" applyFill="1" applyBorder="1" applyAlignment="1" applyProtection="1">
      <alignment horizontal="center" vertical="top"/>
      <protection hidden="1"/>
    </xf>
    <xf numFmtId="174" fontId="24" fillId="0" borderId="10" xfId="53" applyNumberFormat="1" applyFont="1" applyFill="1" applyBorder="1" applyAlignment="1" applyProtection="1">
      <alignment horizontal="center" vertical="top"/>
      <protection hidden="1"/>
    </xf>
    <xf numFmtId="174" fontId="24" fillId="0" borderId="13" xfId="53" applyNumberFormat="1" applyFont="1" applyFill="1" applyBorder="1" applyAlignment="1" applyProtection="1">
      <alignment horizontal="center" vertical="top"/>
      <protection hidden="1"/>
    </xf>
    <xf numFmtId="49" fontId="24" fillId="0" borderId="13" xfId="53" applyNumberFormat="1" applyFont="1" applyFill="1" applyBorder="1" applyAlignment="1" applyProtection="1">
      <alignment horizontal="center" vertical="top"/>
      <protection hidden="1"/>
    </xf>
    <xf numFmtId="49" fontId="24" fillId="0" borderId="14" xfId="53" applyNumberFormat="1" applyFont="1" applyFill="1" applyBorder="1" applyAlignment="1" applyProtection="1">
      <alignment horizontal="center" vertical="top"/>
      <protection hidden="1"/>
    </xf>
    <xf numFmtId="183" fontId="24" fillId="0" borderId="10" xfId="53" applyNumberFormat="1" applyFont="1" applyFill="1" applyBorder="1" applyAlignment="1" applyProtection="1">
      <alignment horizontal="center" vertical="top"/>
      <protection hidden="1"/>
    </xf>
    <xf numFmtId="173" fontId="24" fillId="0" borderId="12" xfId="53" applyNumberFormat="1" applyFont="1" applyFill="1" applyBorder="1" applyAlignment="1" applyProtection="1">
      <alignment horizontal="center" vertical="top"/>
      <protection hidden="1"/>
    </xf>
    <xf numFmtId="174" fontId="24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3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right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5" fillId="0" borderId="10" xfId="0" applyNumberFormat="1" applyFont="1" applyBorder="1" applyAlignment="1">
      <alignment/>
    </xf>
    <xf numFmtId="0" fontId="26" fillId="0" borderId="0" xfId="0" applyFont="1" applyAlignment="1">
      <alignment horizontal="justify" vertical="top"/>
    </xf>
    <xf numFmtId="0" fontId="26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49" fontId="26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7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>
      <alignment horizontal="right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183" fontId="3" fillId="0" borderId="11" xfId="53" applyNumberFormat="1" applyFont="1" applyFill="1" applyBorder="1" applyAlignment="1" applyProtection="1">
      <alignment horizontal="center" vertical="top"/>
      <protection hidden="1"/>
    </xf>
    <xf numFmtId="183" fontId="11" fillId="0" borderId="0" xfId="53" applyNumberFormat="1" applyFont="1" applyFill="1" applyAlignment="1">
      <alignment horizontal="right" vertical="top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right" vertical="top"/>
      <protection/>
    </xf>
    <xf numFmtId="183" fontId="4" fillId="0" borderId="28" xfId="53" applyNumberFormat="1" applyFont="1" applyFill="1" applyBorder="1" applyAlignment="1" applyProtection="1">
      <alignment horizontal="center" vertical="top"/>
      <protection hidden="1"/>
    </xf>
    <xf numFmtId="183" fontId="14" fillId="0" borderId="0" xfId="53" applyNumberFormat="1" applyFont="1" applyFill="1" applyBorder="1" applyAlignment="1" applyProtection="1">
      <alignment horizontal="right" vertical="top"/>
      <protection hidden="1"/>
    </xf>
    <xf numFmtId="0" fontId="28" fillId="0" borderId="0" xfId="53" applyFont="1" applyFill="1">
      <alignment/>
      <protection/>
    </xf>
    <xf numFmtId="0" fontId="28" fillId="0" borderId="0" xfId="53" applyFont="1" applyFill="1" applyAlignment="1">
      <alignment horizontal="justify" vertical="top"/>
      <protection/>
    </xf>
    <xf numFmtId="0" fontId="28" fillId="0" borderId="0" xfId="53" applyFont="1" applyFill="1" applyAlignment="1">
      <alignment horizontal="center" vertical="top"/>
      <protection/>
    </xf>
    <xf numFmtId="49" fontId="28" fillId="0" borderId="0" xfId="53" applyNumberFormat="1" applyFont="1" applyFill="1" applyAlignment="1">
      <alignment horizontal="center" vertical="top"/>
      <protection/>
    </xf>
    <xf numFmtId="183" fontId="28" fillId="0" borderId="0" xfId="53" applyNumberFormat="1" applyFont="1" applyFill="1" applyAlignment="1">
      <alignment horizontal="center" vertical="top"/>
      <protection/>
    </xf>
    <xf numFmtId="0" fontId="28" fillId="0" borderId="0" xfId="53" applyNumberFormat="1" applyFont="1" applyFill="1" applyAlignment="1" applyProtection="1">
      <alignment horizontal="left" vertical="center"/>
      <protection hidden="1"/>
    </xf>
    <xf numFmtId="0" fontId="29" fillId="0" borderId="0" xfId="53" applyFont="1" applyFill="1">
      <alignment/>
      <protection/>
    </xf>
    <xf numFmtId="0" fontId="29" fillId="0" borderId="0" xfId="53" applyFont="1" applyFill="1" applyAlignment="1">
      <alignment horizontal="justify" vertical="top"/>
      <protection/>
    </xf>
    <xf numFmtId="0" fontId="29" fillId="0" borderId="0" xfId="53" applyFont="1" applyFill="1" applyAlignment="1">
      <alignment horizontal="left" vertical="top"/>
      <protection/>
    </xf>
    <xf numFmtId="0" fontId="29" fillId="0" borderId="0" xfId="53" applyFont="1" applyFill="1" applyAlignment="1">
      <alignment horizontal="center" vertical="top"/>
      <protection/>
    </xf>
    <xf numFmtId="49" fontId="29" fillId="0" borderId="0" xfId="53" applyNumberFormat="1" applyFont="1" applyFill="1" applyAlignment="1">
      <alignment horizontal="center" vertical="top"/>
      <protection/>
    </xf>
    <xf numFmtId="183" fontId="29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 vertical="top"/>
      <protection/>
    </xf>
    <xf numFmtId="49" fontId="11" fillId="0" borderId="0" xfId="53" applyNumberFormat="1" applyFont="1" applyFill="1" applyAlignment="1">
      <alignment horizontal="center" vertical="top"/>
      <protection/>
    </xf>
    <xf numFmtId="183" fontId="26" fillId="0" borderId="0" xfId="0" applyNumberFormat="1" applyFont="1" applyAlignment="1">
      <alignment horizontal="right"/>
    </xf>
    <xf numFmtId="0" fontId="11" fillId="33" borderId="0" xfId="53" applyNumberFormat="1" applyFont="1" applyFill="1" applyBorder="1" applyAlignment="1" applyProtection="1">
      <alignment vertical="top" wrapText="1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83" fontId="11" fillId="0" borderId="24" xfId="53" applyNumberFormat="1" applyFont="1" applyFill="1" applyBorder="1" applyAlignment="1">
      <alignment horizontal="right" vertical="top"/>
      <protection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83" fontId="15" fillId="0" borderId="11" xfId="0" applyNumberFormat="1" applyFont="1" applyBorder="1" applyAlignment="1">
      <alignment horizontal="center"/>
    </xf>
    <xf numFmtId="183" fontId="15" fillId="0" borderId="16" xfId="0" applyNumberFormat="1" applyFont="1" applyBorder="1" applyAlignment="1">
      <alignment horizontal="center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9" fillId="0" borderId="0" xfId="0" applyNumberFormat="1" applyFont="1" applyAlignment="1">
      <alignment horizontal="center" vertical="center"/>
    </xf>
    <xf numFmtId="183" fontId="26" fillId="0" borderId="24" xfId="0" applyNumberFormat="1" applyFont="1" applyBorder="1" applyAlignment="1">
      <alignment horizontal="right"/>
    </xf>
    <xf numFmtId="183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49">
      <selection activeCell="B2" sqref="B2"/>
    </sheetView>
  </sheetViews>
  <sheetFormatPr defaultColWidth="9.140625" defaultRowHeight="15"/>
  <cols>
    <col min="1" max="1" width="50.421875" style="35" customWidth="1"/>
    <col min="2" max="2" width="6.57421875" style="36" customWidth="1"/>
    <col min="3" max="3" width="7.28125" style="36" customWidth="1"/>
    <col min="4" max="4" width="10.140625" style="37" customWidth="1"/>
    <col min="5" max="5" width="10.8515625" style="37" customWidth="1"/>
    <col min="6" max="6" width="10.28125" style="37" customWidth="1"/>
    <col min="7" max="16384" width="9.140625" style="37" customWidth="1"/>
  </cols>
  <sheetData>
    <row r="1" ht="15.75">
      <c r="B1" s="174" t="s">
        <v>108</v>
      </c>
    </row>
    <row r="2" ht="18.75" customHeight="1">
      <c r="B2" s="36" t="s">
        <v>366</v>
      </c>
    </row>
    <row r="3" ht="18.75" customHeight="1">
      <c r="B3" s="36" t="s">
        <v>743</v>
      </c>
    </row>
    <row r="4" spans="2:4" ht="19.5" customHeight="1">
      <c r="B4" s="38" t="s">
        <v>350</v>
      </c>
      <c r="C4" s="12"/>
      <c r="D4" s="12"/>
    </row>
    <row r="5" spans="1:2" ht="22.5" customHeight="1">
      <c r="A5" s="37"/>
      <c r="B5" s="173" t="s">
        <v>102</v>
      </c>
    </row>
    <row r="6" spans="1:2" ht="15.75">
      <c r="A6" s="37"/>
      <c r="B6" s="39" t="s">
        <v>366</v>
      </c>
    </row>
    <row r="7" spans="1:2" ht="15.75">
      <c r="A7" s="37"/>
      <c r="B7" s="40" t="s">
        <v>367</v>
      </c>
    </row>
    <row r="8" spans="1:2" ht="15.75">
      <c r="A8" s="37"/>
      <c r="B8" s="40" t="s">
        <v>2</v>
      </c>
    </row>
    <row r="9" spans="1:5" ht="15.75">
      <c r="A9" s="37"/>
      <c r="B9" s="355" t="s">
        <v>3</v>
      </c>
      <c r="C9" s="355"/>
      <c r="D9" s="355"/>
      <c r="E9" s="355"/>
    </row>
    <row r="10" ht="15.75">
      <c r="B10" s="36" t="s">
        <v>101</v>
      </c>
    </row>
    <row r="12" ht="18.75">
      <c r="A12" s="126" t="s">
        <v>365</v>
      </c>
    </row>
    <row r="13" ht="18.75">
      <c r="A13" s="194" t="s">
        <v>4</v>
      </c>
    </row>
    <row r="14" spans="1:6" ht="18.75">
      <c r="A14" s="126"/>
      <c r="E14" s="354" t="s">
        <v>12</v>
      </c>
      <c r="F14" s="354"/>
    </row>
    <row r="15" spans="1:6" s="43" customFormat="1" ht="18" customHeight="1">
      <c r="A15" s="356" t="s">
        <v>510</v>
      </c>
      <c r="B15" s="358" t="s">
        <v>589</v>
      </c>
      <c r="C15" s="360" t="s">
        <v>590</v>
      </c>
      <c r="D15" s="362" t="s">
        <v>504</v>
      </c>
      <c r="E15" s="362"/>
      <c r="F15" s="362"/>
    </row>
    <row r="16" spans="1:6" s="43" customFormat="1" ht="15.75">
      <c r="A16" s="357"/>
      <c r="B16" s="359"/>
      <c r="C16" s="361"/>
      <c r="D16" s="1" t="s">
        <v>10</v>
      </c>
      <c r="E16" s="1" t="s">
        <v>284</v>
      </c>
      <c r="F16" s="1" t="s">
        <v>1</v>
      </c>
    </row>
    <row r="17" spans="1:6" s="43" customFormat="1" ht="15.75">
      <c r="A17" s="41">
        <v>1</v>
      </c>
      <c r="B17" s="42">
        <v>2</v>
      </c>
      <c r="C17" s="42">
        <v>3</v>
      </c>
      <c r="D17" s="1">
        <v>4</v>
      </c>
      <c r="E17" s="1">
        <v>5</v>
      </c>
      <c r="F17" s="1">
        <v>6</v>
      </c>
    </row>
    <row r="18" spans="1:6" ht="15.75">
      <c r="A18" s="44" t="s">
        <v>591</v>
      </c>
      <c r="B18" s="45" t="s">
        <v>564</v>
      </c>
      <c r="C18" s="46"/>
      <c r="D18" s="187">
        <f>SUM(D19:D25)</f>
        <v>107494.8</v>
      </c>
      <c r="E18" s="187">
        <f>SUM(E19:E25)</f>
        <v>70238</v>
      </c>
      <c r="F18" s="187">
        <f>SUM(F19:F25)</f>
        <v>85546.3</v>
      </c>
    </row>
    <row r="19" spans="1:6" ht="51.75" customHeight="1">
      <c r="A19" s="4" t="s">
        <v>569</v>
      </c>
      <c r="B19" s="46" t="s">
        <v>564</v>
      </c>
      <c r="C19" s="46" t="s">
        <v>592</v>
      </c>
      <c r="D19" s="242">
        <f>'Приложение 9'!Q321</f>
        <v>1947</v>
      </c>
      <c r="E19" s="242">
        <f>'Приложение 9'!R321</f>
        <v>1946.9</v>
      </c>
      <c r="F19" s="242">
        <f>'Приложение 9'!S321</f>
        <v>1946.9</v>
      </c>
    </row>
    <row r="20" spans="1:6" ht="63" customHeight="1">
      <c r="A20" s="4" t="s">
        <v>503</v>
      </c>
      <c r="B20" s="46" t="s">
        <v>564</v>
      </c>
      <c r="C20" s="46" t="s">
        <v>593</v>
      </c>
      <c r="D20" s="242">
        <f>'Приложение 9'!Q328</f>
        <v>2145.9</v>
      </c>
      <c r="E20" s="242">
        <f>'Приложение 9'!R328</f>
        <v>2007.4</v>
      </c>
      <c r="F20" s="242">
        <f>'Приложение 9'!S328</f>
        <v>2007.4</v>
      </c>
    </row>
    <row r="21" spans="1:6" ht="63" customHeight="1">
      <c r="A21" s="4" t="s">
        <v>594</v>
      </c>
      <c r="B21" s="46" t="s">
        <v>564</v>
      </c>
      <c r="C21" s="46" t="s">
        <v>588</v>
      </c>
      <c r="D21" s="242">
        <f>'Приложение 9'!Q16</f>
        <v>22216.5</v>
      </c>
      <c r="E21" s="242">
        <f>('Приложение 8'!R26)</f>
        <v>20997.4</v>
      </c>
      <c r="F21" s="242">
        <f>'Приложение 9'!S16</f>
        <v>22839.9</v>
      </c>
    </row>
    <row r="22" spans="1:6" ht="24" customHeight="1">
      <c r="A22" s="4" t="s">
        <v>616</v>
      </c>
      <c r="B22" s="46" t="s">
        <v>564</v>
      </c>
      <c r="C22" s="46" t="s">
        <v>566</v>
      </c>
      <c r="D22" s="242">
        <f>'Приложение 9'!Q36</f>
        <v>9.4</v>
      </c>
      <c r="E22" s="242">
        <f>'Приложение 9'!R36</f>
        <v>10.1</v>
      </c>
      <c r="F22" s="242">
        <f>'Приложение 9'!S36</f>
        <v>28.7</v>
      </c>
    </row>
    <row r="23" spans="1:6" ht="48" customHeight="1">
      <c r="A23" s="4" t="s">
        <v>371</v>
      </c>
      <c r="B23" s="46" t="s">
        <v>564</v>
      </c>
      <c r="C23" s="46" t="s">
        <v>595</v>
      </c>
      <c r="D23" s="242">
        <f>'Приложение 9'!Q356+'Приложение 9'!Q381</f>
        <v>8772.5</v>
      </c>
      <c r="E23" s="242">
        <f>'Приложение 9'!R356+'Приложение 9'!R381</f>
        <v>8314.5</v>
      </c>
      <c r="F23" s="242">
        <f>'Приложение 9'!S356+'Приложение 9'!S381</f>
        <v>8314.5</v>
      </c>
    </row>
    <row r="24" spans="1:6" ht="21.75" customHeight="1">
      <c r="A24" s="47" t="s">
        <v>370</v>
      </c>
      <c r="B24" s="46" t="s">
        <v>564</v>
      </c>
      <c r="C24" s="46" t="s">
        <v>596</v>
      </c>
      <c r="D24" s="242">
        <f>'Приложение 9'!Q39</f>
        <v>0</v>
      </c>
      <c r="E24" s="242">
        <f>'Приложение 9'!R39</f>
        <v>500</v>
      </c>
      <c r="F24" s="242">
        <f>'Приложение 9'!S39</f>
        <v>500</v>
      </c>
    </row>
    <row r="25" spans="1:6" ht="15.75">
      <c r="A25" s="47" t="s">
        <v>535</v>
      </c>
      <c r="B25" s="46" t="s">
        <v>564</v>
      </c>
      <c r="C25" s="46" t="s">
        <v>597</v>
      </c>
      <c r="D25" s="242">
        <f>('Приложение 9'!Q43+'Приложение 9'!Q369+'Приложение 9'!Q401+'Приложение 9'!Q614+'Приложение 9'!Q336)</f>
        <v>72403.5</v>
      </c>
      <c r="E25" s="242">
        <f>('Приложение 10'!Q42+'Приложение 10'!Q304+'Приложение 10'!Q334+'Приложение 10'!Q362+'Приложение 10'!Q546)</f>
        <v>36461.7</v>
      </c>
      <c r="F25" s="242">
        <f>('Приложение 10'!R42+'Приложение 10'!R304+'Приложение 10'!R334+'Приложение 10'!R362+'Приложение 10'!R546)</f>
        <v>49908.9</v>
      </c>
    </row>
    <row r="26" spans="1:6" ht="41.25" customHeight="1">
      <c r="A26" s="44" t="s">
        <v>612</v>
      </c>
      <c r="B26" s="45" t="s">
        <v>593</v>
      </c>
      <c r="C26" s="45"/>
      <c r="D26" s="243">
        <f>SUM(D27:D28)</f>
        <v>2258.7999999999997</v>
      </c>
      <c r="E26" s="243">
        <f>SUM(E27:E28)</f>
        <v>1927</v>
      </c>
      <c r="F26" s="243">
        <f>SUM(F27:F28)</f>
        <v>1927</v>
      </c>
    </row>
    <row r="27" spans="1:6" ht="46.5" customHeight="1">
      <c r="A27" s="47" t="s">
        <v>557</v>
      </c>
      <c r="B27" s="46" t="s">
        <v>593</v>
      </c>
      <c r="C27" s="46" t="s">
        <v>558</v>
      </c>
      <c r="D27" s="242">
        <f>'Приложение 9'!Q83</f>
        <v>2092.7999999999997</v>
      </c>
      <c r="E27" s="242">
        <f>'Приложение 9'!R83</f>
        <v>1756</v>
      </c>
      <c r="F27" s="242">
        <f>'Приложение 9'!S83</f>
        <v>1756</v>
      </c>
    </row>
    <row r="28" spans="1:6" ht="38.25" customHeight="1">
      <c r="A28" s="47" t="s">
        <v>556</v>
      </c>
      <c r="B28" s="46" t="s">
        <v>593</v>
      </c>
      <c r="C28" s="46" t="s">
        <v>561</v>
      </c>
      <c r="D28" s="242">
        <f>'Приложение 9'!Q90</f>
        <v>166</v>
      </c>
      <c r="E28" s="242">
        <f>'Приложение 9'!R90</f>
        <v>171</v>
      </c>
      <c r="F28" s="242">
        <f>'Приложение 9'!S90</f>
        <v>171</v>
      </c>
    </row>
    <row r="29" spans="1:6" ht="15.75">
      <c r="A29" s="44" t="s">
        <v>598</v>
      </c>
      <c r="B29" s="45" t="s">
        <v>588</v>
      </c>
      <c r="C29" s="45"/>
      <c r="D29" s="243">
        <f>SUM(D30:D32)</f>
        <v>72823.40000000001</v>
      </c>
      <c r="E29" s="243">
        <f>SUM(E30:E32)</f>
        <v>21280.7</v>
      </c>
      <c r="F29" s="243">
        <f>SUM(F30:F32)</f>
        <v>21625.7</v>
      </c>
    </row>
    <row r="30" spans="1:6" ht="15.75">
      <c r="A30" s="5" t="s">
        <v>352</v>
      </c>
      <c r="B30" s="46" t="s">
        <v>588</v>
      </c>
      <c r="C30" s="46" t="s">
        <v>562</v>
      </c>
      <c r="D30" s="242">
        <f>'Приложение 9'!Q104</f>
        <v>2270</v>
      </c>
      <c r="E30" s="242">
        <f>'Приложение 9'!R104</f>
        <v>600</v>
      </c>
      <c r="F30" s="242">
        <f>'Приложение 9'!S104</f>
        <v>600</v>
      </c>
    </row>
    <row r="31" spans="1:6" ht="15.75">
      <c r="A31" s="47" t="s">
        <v>337</v>
      </c>
      <c r="B31" s="46" t="s">
        <v>588</v>
      </c>
      <c r="C31" s="46" t="s">
        <v>558</v>
      </c>
      <c r="D31" s="242">
        <f>'Приложение 9'!Q110+'Приложение 9'!Q644</f>
        <v>63621.700000000004</v>
      </c>
      <c r="E31" s="242">
        <f>'Приложение 9'!R110+'Приложение 9'!R644</f>
        <v>13020.7</v>
      </c>
      <c r="F31" s="242">
        <f>'Приложение 9'!S110+'Приложение 9'!S644</f>
        <v>13445.7</v>
      </c>
    </row>
    <row r="32" spans="1:6" ht="31.5">
      <c r="A32" s="4" t="s">
        <v>546</v>
      </c>
      <c r="B32" s="46" t="s">
        <v>588</v>
      </c>
      <c r="C32" s="46" t="s">
        <v>599</v>
      </c>
      <c r="D32" s="242">
        <f>'Приложение 9'!Q137</f>
        <v>6931.700000000001</v>
      </c>
      <c r="E32" s="242">
        <f>'Приложение 9'!R137</f>
        <v>7660</v>
      </c>
      <c r="F32" s="242">
        <f>'Приложение 9'!S137</f>
        <v>7580</v>
      </c>
    </row>
    <row r="33" spans="1:6" s="50" customFormat="1" ht="33" customHeight="1">
      <c r="A33" s="48" t="s">
        <v>600</v>
      </c>
      <c r="B33" s="49" t="s">
        <v>566</v>
      </c>
      <c r="C33" s="49"/>
      <c r="D33" s="189">
        <f>SUM(D34:D37)</f>
        <v>49693.59999999999</v>
      </c>
      <c r="E33" s="189">
        <f>SUM(E34:E37)</f>
        <v>47901.200000000004</v>
      </c>
      <c r="F33" s="189">
        <f>SUM(F34:F37)</f>
        <v>4425.2</v>
      </c>
    </row>
    <row r="34" spans="1:6" s="50" customFormat="1" ht="19.5" customHeight="1">
      <c r="A34" s="238" t="s">
        <v>618</v>
      </c>
      <c r="B34" s="52" t="s">
        <v>566</v>
      </c>
      <c r="C34" s="52" t="s">
        <v>564</v>
      </c>
      <c r="D34" s="190">
        <f>'Приложение 9'!Q176</f>
        <v>43249.49999999999</v>
      </c>
      <c r="E34" s="190">
        <f>'Приложение 9'!R176</f>
        <v>3941.9</v>
      </c>
      <c r="F34" s="190">
        <f>'Приложение 9'!S176</f>
        <v>3299.5</v>
      </c>
    </row>
    <row r="35" spans="1:6" s="50" customFormat="1" ht="19.5" customHeight="1">
      <c r="A35" s="51" t="s">
        <v>739</v>
      </c>
      <c r="B35" s="52" t="s">
        <v>566</v>
      </c>
      <c r="C35" s="52" t="s">
        <v>592</v>
      </c>
      <c r="D35" s="190">
        <f>'Приложение 9'!Q185</f>
        <v>3265</v>
      </c>
      <c r="E35" s="190">
        <f>('Приложение 8'!R189)</f>
        <v>43275</v>
      </c>
      <c r="F35" s="190">
        <f>('Приложение 8'!S189)</f>
        <v>500</v>
      </c>
    </row>
    <row r="36" spans="1:6" s="50" customFormat="1" ht="19.5" customHeight="1">
      <c r="A36" s="238" t="s">
        <v>281</v>
      </c>
      <c r="B36" s="52" t="s">
        <v>566</v>
      </c>
      <c r="C36" s="52" t="s">
        <v>593</v>
      </c>
      <c r="D36" s="190">
        <f>'Приложение 9'!Q197</f>
        <v>313.1</v>
      </c>
      <c r="E36" s="190">
        <f>SUM('Приложение 8'!R196)</f>
        <v>284.3</v>
      </c>
      <c r="F36" s="190">
        <f>SUM('Приложение 8'!S196)</f>
        <v>225.7</v>
      </c>
    </row>
    <row r="37" spans="1:6" s="50" customFormat="1" ht="33" customHeight="1">
      <c r="A37" s="237" t="s">
        <v>646</v>
      </c>
      <c r="B37" s="52" t="s">
        <v>566</v>
      </c>
      <c r="C37" s="52" t="s">
        <v>566</v>
      </c>
      <c r="D37" s="242">
        <f>'Приложение 9'!Q202</f>
        <v>2866</v>
      </c>
      <c r="E37" s="242">
        <f>'Приложение 9'!R202</f>
        <v>400</v>
      </c>
      <c r="F37" s="242">
        <f>'Приложение 9'!S202</f>
        <v>400</v>
      </c>
    </row>
    <row r="38" spans="1:6" s="50" customFormat="1" ht="15.75">
      <c r="A38" s="48" t="s">
        <v>601</v>
      </c>
      <c r="B38" s="49" t="s">
        <v>595</v>
      </c>
      <c r="C38" s="49"/>
      <c r="D38" s="189">
        <f>SUM(D39:D40)</f>
        <v>1667.4</v>
      </c>
      <c r="E38" s="189">
        <f>SUM(E39:E40)</f>
        <v>5336.9</v>
      </c>
      <c r="F38" s="189">
        <f>SUM(F39:F40)</f>
        <v>636.8</v>
      </c>
    </row>
    <row r="39" spans="1:6" s="50" customFormat="1" ht="37.5" customHeight="1">
      <c r="A39" s="54" t="s">
        <v>549</v>
      </c>
      <c r="B39" s="52" t="s">
        <v>595</v>
      </c>
      <c r="C39" s="52" t="s">
        <v>593</v>
      </c>
      <c r="D39" s="242">
        <f>'Приложение 9'!Q213</f>
        <v>27.4</v>
      </c>
      <c r="E39" s="242">
        <f>'Приложение 9'!R213</f>
        <v>27.4</v>
      </c>
      <c r="F39" s="242">
        <f>'Приложение 9'!S213</f>
        <v>27.4</v>
      </c>
    </row>
    <row r="40" spans="1:6" s="50" customFormat="1" ht="34.5" customHeight="1">
      <c r="A40" s="55" t="s">
        <v>548</v>
      </c>
      <c r="B40" s="52" t="s">
        <v>595</v>
      </c>
      <c r="C40" s="52" t="s">
        <v>566</v>
      </c>
      <c r="D40" s="242">
        <f>'Приложение 9'!Q214</f>
        <v>1640</v>
      </c>
      <c r="E40" s="242">
        <f>'Приложение 10'!Q202</f>
        <v>5309.5</v>
      </c>
      <c r="F40" s="242">
        <f>'Приложение 10'!R202</f>
        <v>609.4</v>
      </c>
    </row>
    <row r="41" spans="1:6" ht="15.75">
      <c r="A41" s="44" t="s">
        <v>602</v>
      </c>
      <c r="B41" s="45" t="s">
        <v>568</v>
      </c>
      <c r="C41" s="45"/>
      <c r="D41" s="243">
        <f>SUM(D42:D46)</f>
        <v>284718.2</v>
      </c>
      <c r="E41" s="243">
        <f>SUM(E42:E46)</f>
        <v>270190.00000000006</v>
      </c>
      <c r="F41" s="243">
        <f>SUM(F42:F46)</f>
        <v>290393.4</v>
      </c>
    </row>
    <row r="42" spans="1:6" ht="15.75">
      <c r="A42" s="47" t="s">
        <v>376</v>
      </c>
      <c r="B42" s="46" t="s">
        <v>568</v>
      </c>
      <c r="C42" s="46" t="s">
        <v>564</v>
      </c>
      <c r="D42" s="242">
        <f>'Приложение 9'!Q441</f>
        <v>75498.59999999999</v>
      </c>
      <c r="E42" s="242">
        <f>'Приложение 9'!R441</f>
        <v>78520.2</v>
      </c>
      <c r="F42" s="242">
        <f>'Приложение 9'!S441</f>
        <v>81322.4</v>
      </c>
    </row>
    <row r="43" spans="1:6" ht="15.75">
      <c r="A43" s="47" t="s">
        <v>544</v>
      </c>
      <c r="B43" s="46" t="s">
        <v>568</v>
      </c>
      <c r="C43" s="46" t="s">
        <v>592</v>
      </c>
      <c r="D43" s="242">
        <f>'Приложение 9'!Q468</f>
        <v>180021.69999999998</v>
      </c>
      <c r="E43" s="242">
        <f>'Приложение 10'!Q424</f>
        <v>158333.90000000002</v>
      </c>
      <c r="F43" s="242">
        <f>'Приложение 10'!R424</f>
        <v>164603.90000000002</v>
      </c>
    </row>
    <row r="44" spans="1:6" ht="15.75">
      <c r="A44" s="47" t="s">
        <v>347</v>
      </c>
      <c r="B44" s="46" t="s">
        <v>568</v>
      </c>
      <c r="C44" s="46" t="s">
        <v>593</v>
      </c>
      <c r="D44" s="242">
        <f>'Приложение 9'!Q524+'Приложение 9'!Q223</f>
        <v>12001.8</v>
      </c>
      <c r="E44" s="242">
        <f>'Приложение 10'!Q210+'Приложение 10'!Q466</f>
        <v>12805.6</v>
      </c>
      <c r="F44" s="242">
        <f>'Приложение 10'!R466+'Приложение 10'!R210</f>
        <v>12805.6</v>
      </c>
    </row>
    <row r="45" spans="1:6" ht="18.75" customHeight="1">
      <c r="A45" s="47" t="s">
        <v>338</v>
      </c>
      <c r="B45" s="46" t="s">
        <v>568</v>
      </c>
      <c r="C45" s="46" t="s">
        <v>568</v>
      </c>
      <c r="D45" s="242">
        <f>'Приложение 9'!Q230</f>
        <v>124.7</v>
      </c>
      <c r="E45" s="242">
        <f>'Приложение 9'!R230</f>
        <v>550</v>
      </c>
      <c r="F45" s="242">
        <f>'Приложение 9'!S230</f>
        <v>550</v>
      </c>
    </row>
    <row r="46" spans="1:6" ht="22.5" customHeight="1">
      <c r="A46" s="47" t="s">
        <v>543</v>
      </c>
      <c r="B46" s="46" t="s">
        <v>568</v>
      </c>
      <c r="C46" s="46" t="s">
        <v>558</v>
      </c>
      <c r="D46" s="242">
        <f>'Приложение 9'!Q536</f>
        <v>17071.4</v>
      </c>
      <c r="E46" s="242">
        <f>'Приложение 9'!R536</f>
        <v>19980.300000000003</v>
      </c>
      <c r="F46" s="242">
        <f>'Приложение 9'!S536</f>
        <v>31111.500000000004</v>
      </c>
    </row>
    <row r="47" spans="1:6" ht="22.5" customHeight="1">
      <c r="A47" s="44" t="s">
        <v>615</v>
      </c>
      <c r="B47" s="45" t="s">
        <v>562</v>
      </c>
      <c r="C47" s="45"/>
      <c r="D47" s="187">
        <f>SUM(D48)</f>
        <v>45098</v>
      </c>
      <c r="E47" s="187">
        <f>SUM(E48)</f>
        <v>28683.5</v>
      </c>
      <c r="F47" s="187">
        <f>SUM(F48)</f>
        <v>26972.6</v>
      </c>
    </row>
    <row r="48" spans="1:6" ht="15.75">
      <c r="A48" s="47" t="s">
        <v>381</v>
      </c>
      <c r="B48" s="46" t="s">
        <v>562</v>
      </c>
      <c r="C48" s="46" t="s">
        <v>564</v>
      </c>
      <c r="D48" s="242">
        <f>'Приложение 9'!Q246</f>
        <v>45098</v>
      </c>
      <c r="E48" s="242">
        <f>'Приложение 9'!R246</f>
        <v>28683.5</v>
      </c>
      <c r="F48" s="242">
        <f>'Приложение 9'!S246</f>
        <v>26972.6</v>
      </c>
    </row>
    <row r="49" spans="1:6" ht="17.25" customHeight="1">
      <c r="A49" s="44" t="s">
        <v>603</v>
      </c>
      <c r="B49" s="45" t="s">
        <v>558</v>
      </c>
      <c r="C49" s="46"/>
      <c r="D49" s="187">
        <f>D50</f>
        <v>81.3</v>
      </c>
      <c r="E49" s="187">
        <f>E50</f>
        <v>81.3</v>
      </c>
      <c r="F49" s="187">
        <f>F50</f>
        <v>81.3</v>
      </c>
    </row>
    <row r="50" spans="1:6" ht="17.25" customHeight="1">
      <c r="A50" s="47" t="s">
        <v>567</v>
      </c>
      <c r="B50" s="46" t="s">
        <v>558</v>
      </c>
      <c r="C50" s="46" t="s">
        <v>568</v>
      </c>
      <c r="D50" s="244">
        <f>'Приложение 9'!Q273</f>
        <v>81.3</v>
      </c>
      <c r="E50" s="244">
        <f>('Приложение 10'!Q254)</f>
        <v>81.3</v>
      </c>
      <c r="F50" s="244">
        <f>('Приложение 10'!R254)</f>
        <v>81.3</v>
      </c>
    </row>
    <row r="51" spans="1:6" ht="15.75">
      <c r="A51" s="44" t="s">
        <v>604</v>
      </c>
      <c r="B51" s="45" t="s">
        <v>584</v>
      </c>
      <c r="C51" s="45"/>
      <c r="D51" s="187">
        <f>SUM(D52:D56)</f>
        <v>14962.7</v>
      </c>
      <c r="E51" s="187">
        <f>SUM(E52:E56)</f>
        <v>14150.5</v>
      </c>
      <c r="F51" s="187">
        <f>SUM(F52:F56)</f>
        <v>14149.900000000001</v>
      </c>
    </row>
    <row r="52" spans="1:6" ht="15.75">
      <c r="A52" s="17" t="s">
        <v>380</v>
      </c>
      <c r="B52" s="46" t="s">
        <v>584</v>
      </c>
      <c r="C52" s="46" t="s">
        <v>564</v>
      </c>
      <c r="D52" s="242">
        <f>'Приложение 9'!Q277</f>
        <v>1849.5</v>
      </c>
      <c r="E52" s="242">
        <f>'Приложение 9'!R277</f>
        <v>2100</v>
      </c>
      <c r="F52" s="242">
        <f>'Приложение 9'!S277</f>
        <v>2100</v>
      </c>
    </row>
    <row r="53" spans="1:6" ht="15.75" hidden="1">
      <c r="A53" s="47" t="s">
        <v>379</v>
      </c>
      <c r="B53" s="46" t="s">
        <v>584</v>
      </c>
      <c r="C53" s="46" t="s">
        <v>592</v>
      </c>
      <c r="D53" s="242"/>
      <c r="E53" s="244"/>
      <c r="F53" s="244"/>
    </row>
    <row r="54" spans="1:6" s="50" customFormat="1" ht="21.75" customHeight="1">
      <c r="A54" s="53" t="s">
        <v>605</v>
      </c>
      <c r="B54" s="52" t="s">
        <v>584</v>
      </c>
      <c r="C54" s="52" t="s">
        <v>593</v>
      </c>
      <c r="D54" s="242">
        <f>'Приложение 9'!Q280+'Приложение 9'!Q347+'Приложение 9'!Q650</f>
        <v>8308.6</v>
      </c>
      <c r="E54" s="242">
        <f>SUM('Приложение 10'!Q262+'Приложение 10'!Q316+'Приложение 10'!Q578)</f>
        <v>7463.3</v>
      </c>
      <c r="F54" s="242">
        <f>SUM('Приложение 10'!R262+'Приложение 10'!R316+'Приложение 10'!R578)</f>
        <v>7462.700000000001</v>
      </c>
    </row>
    <row r="55" spans="1:6" s="50" customFormat="1" ht="15.75">
      <c r="A55" s="18" t="s">
        <v>377</v>
      </c>
      <c r="B55" s="52" t="s">
        <v>584</v>
      </c>
      <c r="C55" s="52" t="s">
        <v>588</v>
      </c>
      <c r="D55" s="242">
        <f>'Приложение 9'!Q604</f>
        <v>3455.1</v>
      </c>
      <c r="E55" s="242">
        <f>'Приложение 9'!R604</f>
        <v>3455.1</v>
      </c>
      <c r="F55" s="242">
        <f>'Приложение 9'!S604</f>
        <v>3455.1</v>
      </c>
    </row>
    <row r="56" spans="1:6" ht="15.75">
      <c r="A56" s="17" t="s">
        <v>538</v>
      </c>
      <c r="B56" s="46" t="s">
        <v>584</v>
      </c>
      <c r="C56" s="46" t="s">
        <v>595</v>
      </c>
      <c r="D56" s="242">
        <f>'Приложение 9'!Q292</f>
        <v>1349.5</v>
      </c>
      <c r="E56" s="242">
        <f>'Приложение 9'!R292</f>
        <v>1132.1</v>
      </c>
      <c r="F56" s="242">
        <f>'Приложение 9'!S292</f>
        <v>1132.1</v>
      </c>
    </row>
    <row r="57" spans="1:6" ht="15.75">
      <c r="A57" s="56" t="s">
        <v>606</v>
      </c>
      <c r="B57" s="45" t="s">
        <v>596</v>
      </c>
      <c r="C57" s="45"/>
      <c r="D57" s="187">
        <f>SUM(D58:D60)</f>
        <v>37557.5</v>
      </c>
      <c r="E57" s="187">
        <f>SUM(E58:E60)</f>
        <v>10084.8</v>
      </c>
      <c r="F57" s="187">
        <f>SUM(F58:F60)</f>
        <v>7300</v>
      </c>
    </row>
    <row r="58" spans="1:6" ht="15.75">
      <c r="A58" s="57" t="s">
        <v>607</v>
      </c>
      <c r="B58" s="46" t="s">
        <v>596</v>
      </c>
      <c r="C58" s="46" t="s">
        <v>564</v>
      </c>
      <c r="D58" s="242">
        <f>'Приложение 9'!Q302</f>
        <v>37557.5</v>
      </c>
      <c r="E58" s="242">
        <f>'Приложение 9'!R302</f>
        <v>10084.8</v>
      </c>
      <c r="F58" s="242">
        <f>'Приложение 9'!S302</f>
        <v>7300</v>
      </c>
    </row>
    <row r="59" spans="1:6" ht="15.75" hidden="1">
      <c r="A59" s="58" t="s">
        <v>608</v>
      </c>
      <c r="B59" s="59" t="s">
        <v>596</v>
      </c>
      <c r="C59" s="59" t="s">
        <v>592</v>
      </c>
      <c r="D59" s="242"/>
      <c r="E59" s="244"/>
      <c r="F59" s="244"/>
    </row>
    <row r="60" spans="1:6" ht="31.5" hidden="1">
      <c r="A60" s="58" t="s">
        <v>609</v>
      </c>
      <c r="B60" s="59" t="s">
        <v>596</v>
      </c>
      <c r="C60" s="59" t="s">
        <v>566</v>
      </c>
      <c r="D60" s="242"/>
      <c r="E60" s="244"/>
      <c r="F60" s="244"/>
    </row>
    <row r="61" spans="1:6" ht="31.5">
      <c r="A61" s="60" t="s">
        <v>610</v>
      </c>
      <c r="B61" s="61" t="s">
        <v>597</v>
      </c>
      <c r="C61" s="61"/>
      <c r="D61" s="243">
        <f>SUM(D62)</f>
        <v>96.9</v>
      </c>
      <c r="E61" s="243">
        <f>SUM(E62)</f>
        <v>0</v>
      </c>
      <c r="F61" s="243">
        <f>SUM(F62)</f>
        <v>0</v>
      </c>
    </row>
    <row r="62" spans="1:6" ht="31.5">
      <c r="A62" s="58" t="s">
        <v>554</v>
      </c>
      <c r="B62" s="59" t="s">
        <v>597</v>
      </c>
      <c r="C62" s="59" t="s">
        <v>564</v>
      </c>
      <c r="D62" s="245">
        <f>'Приложение 9'!Q415</f>
        <v>96.9</v>
      </c>
      <c r="E62" s="245">
        <f>'Приложение 9'!R415</f>
        <v>0</v>
      </c>
      <c r="F62" s="245">
        <f>'Приложение 9'!S415</f>
        <v>0</v>
      </c>
    </row>
    <row r="63" spans="1:6" ht="63">
      <c r="A63" s="63" t="s">
        <v>339</v>
      </c>
      <c r="B63" s="61" t="s">
        <v>561</v>
      </c>
      <c r="C63" s="61"/>
      <c r="D63" s="188">
        <f>SUM(D64:D65)</f>
        <v>15216.9</v>
      </c>
      <c r="E63" s="188">
        <f>SUM(E64:E65)</f>
        <v>17823.8</v>
      </c>
      <c r="F63" s="188">
        <f>SUM(F64:F65)</f>
        <v>17916.8</v>
      </c>
    </row>
    <row r="64" spans="1:6" ht="47.25">
      <c r="A64" s="11" t="s">
        <v>587</v>
      </c>
      <c r="B64" s="59" t="s">
        <v>561</v>
      </c>
      <c r="C64" s="59" t="s">
        <v>564</v>
      </c>
      <c r="D64" s="245">
        <f>'Приложение 9'!Q423</f>
        <v>5032.799999999999</v>
      </c>
      <c r="E64" s="245">
        <f>'Приложение 9'!R423</f>
        <v>5252.3</v>
      </c>
      <c r="F64" s="245">
        <f>'Приложение 9'!S423</f>
        <v>5735.7</v>
      </c>
    </row>
    <row r="65" spans="1:6" ht="15.75">
      <c r="A65" s="11" t="s">
        <v>645</v>
      </c>
      <c r="B65" s="59" t="s">
        <v>561</v>
      </c>
      <c r="C65" s="59" t="s">
        <v>592</v>
      </c>
      <c r="D65" s="245">
        <f>'Приложение 9'!Q431</f>
        <v>10184.1</v>
      </c>
      <c r="E65" s="245">
        <f>'Приложение 9'!R431</f>
        <v>12571.5</v>
      </c>
      <c r="F65" s="245">
        <f>'Приложение 9'!S431</f>
        <v>12181.1</v>
      </c>
    </row>
    <row r="66" spans="1:6" ht="15.75">
      <c r="A66" s="44" t="s">
        <v>611</v>
      </c>
      <c r="B66" s="45"/>
      <c r="C66" s="45"/>
      <c r="D66" s="187">
        <f>D63+D61+D57+D51+D47+D49+D41+D38+D29+D26+D18+D33</f>
        <v>631669.5</v>
      </c>
      <c r="E66" s="187">
        <f>E63+E61+E57+E51+E47+E49+E41+E38+E29+E26+E18+E33</f>
        <v>487697.7000000001</v>
      </c>
      <c r="F66" s="187">
        <f>F63+F61+F57+F51+F47+F49+F41+F38+F29+F26+F18+F33</f>
        <v>470975</v>
      </c>
    </row>
    <row r="67" spans="1:6" ht="15.75">
      <c r="A67" s="44" t="s">
        <v>17</v>
      </c>
      <c r="B67" s="209"/>
      <c r="C67" s="209"/>
      <c r="D67" s="187" t="s">
        <v>621</v>
      </c>
      <c r="E67" s="187">
        <f>'Приложение 10'!Q584</f>
        <v>6200</v>
      </c>
      <c r="F67" s="187">
        <f>'Приложение 10'!R584</f>
        <v>12500</v>
      </c>
    </row>
    <row r="68" spans="1:6" ht="15.75">
      <c r="A68" s="44" t="s">
        <v>18</v>
      </c>
      <c r="B68" s="209"/>
      <c r="C68" s="209"/>
      <c r="D68" s="210">
        <f>D66</f>
        <v>631669.5</v>
      </c>
      <c r="E68" s="187">
        <f>E66+E67</f>
        <v>493897.7000000001</v>
      </c>
      <c r="F68" s="187">
        <f>F66+F67</f>
        <v>483475</v>
      </c>
    </row>
    <row r="69" spans="1:6" ht="15.75">
      <c r="A69" s="64"/>
      <c r="F69" s="211" t="s">
        <v>528</v>
      </c>
    </row>
    <row r="70" ht="15.75">
      <c r="A70" s="64"/>
    </row>
    <row r="71" ht="18" customHeight="1">
      <c r="A71" s="64"/>
    </row>
    <row r="72" ht="15.75">
      <c r="A72" s="64"/>
    </row>
    <row r="73" ht="34.5" customHeight="1">
      <c r="A73" s="64"/>
    </row>
    <row r="74" ht="27" customHeight="1">
      <c r="A74" s="64"/>
    </row>
    <row r="75" ht="15.75">
      <c r="A75" s="64"/>
    </row>
    <row r="76" ht="15.75">
      <c r="A76" s="64"/>
    </row>
    <row r="77" ht="15.75">
      <c r="A77" s="64"/>
    </row>
    <row r="78" spans="1:6" s="62" customFormat="1" ht="15.75">
      <c r="A78" s="64"/>
      <c r="B78" s="36"/>
      <c r="C78" s="36"/>
      <c r="D78" s="37"/>
      <c r="E78" s="37"/>
      <c r="F78" s="37"/>
    </row>
    <row r="79" spans="1:6" s="62" customFormat="1" ht="30.75" customHeight="1">
      <c r="A79" s="64"/>
      <c r="B79" s="36"/>
      <c r="C79" s="36"/>
      <c r="D79" s="37"/>
      <c r="E79" s="37"/>
      <c r="F79" s="37"/>
    </row>
    <row r="80" spans="1:6" s="62" customFormat="1" ht="58.5" customHeight="1">
      <c r="A80" s="64"/>
      <c r="B80" s="36"/>
      <c r="C80" s="36"/>
      <c r="D80" s="37"/>
      <c r="E80" s="37"/>
      <c r="F80" s="37"/>
    </row>
    <row r="81" spans="1:6" s="62" customFormat="1" ht="49.5" customHeight="1">
      <c r="A81" s="64"/>
      <c r="B81" s="36"/>
      <c r="C81" s="36"/>
      <c r="D81" s="37"/>
      <c r="E81" s="37"/>
      <c r="F81" s="37"/>
    </row>
    <row r="82" spans="1:6" s="62" customFormat="1" ht="15.75">
      <c r="A82" s="64"/>
      <c r="B82" s="36"/>
      <c r="C82" s="36"/>
      <c r="D82" s="37"/>
      <c r="E82" s="37"/>
      <c r="F82" s="37"/>
    </row>
    <row r="83" ht="15" customHeight="1">
      <c r="A83" s="64"/>
    </row>
    <row r="84" spans="1:6" s="62" customFormat="1" ht="15.75">
      <c r="A84" s="64"/>
      <c r="B84" s="36"/>
      <c r="C84" s="36"/>
      <c r="D84" s="37"/>
      <c r="E84" s="37"/>
      <c r="F84" s="37"/>
    </row>
    <row r="85" spans="1:6" s="62" customFormat="1" ht="15.75">
      <c r="A85" s="35"/>
      <c r="B85" s="36"/>
      <c r="C85" s="36"/>
      <c r="D85" s="37"/>
      <c r="E85" s="37"/>
      <c r="F85" s="37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7"/>
  <sheetViews>
    <sheetView showGridLines="0" zoomScale="75" zoomScaleNormal="75" zoomScaleSheetLayoutView="100" workbookViewId="0" topLeftCell="H564">
      <selection activeCell="Q421" sqref="Q421"/>
    </sheetView>
  </sheetViews>
  <sheetFormatPr defaultColWidth="9.140625" defaultRowHeight="15"/>
  <cols>
    <col min="1" max="7" width="0" style="31" hidden="1" customWidth="1"/>
    <col min="8" max="8" width="111.8515625" style="307" customWidth="1"/>
    <col min="9" max="9" width="7.8515625" style="175" hidden="1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9.7109375" style="175" customWidth="1"/>
    <col min="17" max="17" width="38.28125" style="65" customWidth="1"/>
    <col min="18" max="18" width="16.8515625" style="309" hidden="1" customWidth="1"/>
    <col min="19" max="19" width="18.00390625" style="309" hidden="1" customWidth="1"/>
    <col min="20" max="16384" width="9.140625" style="31" customWidth="1"/>
  </cols>
  <sheetData>
    <row r="1" spans="8:19" s="330" customFormat="1" ht="13.5" customHeight="1">
      <c r="H1" s="331"/>
      <c r="I1" s="332" t="s">
        <v>827</v>
      </c>
      <c r="J1" s="333"/>
      <c r="K1" s="333"/>
      <c r="L1" s="334"/>
      <c r="M1" s="334"/>
      <c r="N1" s="334"/>
      <c r="O1" s="334"/>
      <c r="P1" s="372" t="s">
        <v>207</v>
      </c>
      <c r="Q1" s="372"/>
      <c r="R1" s="335"/>
      <c r="S1" s="335"/>
    </row>
    <row r="2" spans="8:18" s="336" customFormat="1" ht="15.75">
      <c r="H2" s="317"/>
      <c r="I2" s="176" t="s">
        <v>827</v>
      </c>
      <c r="J2" s="337"/>
      <c r="K2" s="337"/>
      <c r="L2" s="338"/>
      <c r="M2" s="338"/>
      <c r="N2" s="338"/>
      <c r="O2" s="338"/>
      <c r="P2" s="372" t="s">
        <v>498</v>
      </c>
      <c r="Q2" s="372"/>
      <c r="R2" s="309"/>
    </row>
    <row r="3" spans="8:18" s="336" customFormat="1" ht="15.75">
      <c r="H3" s="317"/>
      <c r="I3" s="176" t="s">
        <v>529</v>
      </c>
      <c r="J3" s="337"/>
      <c r="K3" s="337"/>
      <c r="L3" s="338"/>
      <c r="M3" s="338"/>
      <c r="N3" s="338"/>
      <c r="O3" s="338"/>
      <c r="P3" s="372" t="s">
        <v>109</v>
      </c>
      <c r="Q3" s="372"/>
      <c r="R3" s="309"/>
    </row>
    <row r="4" spans="8:18" s="324" customFormat="1" ht="12.75">
      <c r="H4" s="325"/>
      <c r="I4" s="329" t="s">
        <v>530</v>
      </c>
      <c r="J4" s="326"/>
      <c r="K4" s="326"/>
      <c r="L4" s="327"/>
      <c r="M4" s="327"/>
      <c r="N4" s="327"/>
      <c r="O4" s="327"/>
      <c r="P4" s="326"/>
      <c r="Q4" s="328"/>
      <c r="R4" s="328"/>
    </row>
    <row r="5" spans="8:19" ht="15.75">
      <c r="H5" s="67"/>
      <c r="I5" s="68" t="s">
        <v>621</v>
      </c>
      <c r="J5" s="365" t="s">
        <v>105</v>
      </c>
      <c r="K5" s="365"/>
      <c r="L5" s="365"/>
      <c r="M5" s="365"/>
      <c r="N5" s="365"/>
      <c r="O5" s="365"/>
      <c r="P5" s="365"/>
      <c r="Q5" s="365"/>
      <c r="R5" s="365"/>
      <c r="S5" s="365"/>
    </row>
    <row r="6" spans="1:19" ht="19.5" customHeight="1">
      <c r="A6" s="66"/>
      <c r="B6" s="66"/>
      <c r="C6" s="66"/>
      <c r="D6" s="66"/>
      <c r="E6" s="66"/>
      <c r="F6" s="66"/>
      <c r="G6" s="66"/>
      <c r="H6" s="67"/>
      <c r="I6" s="68" t="s">
        <v>621</v>
      </c>
      <c r="J6" s="365" t="s">
        <v>11</v>
      </c>
      <c r="K6" s="365"/>
      <c r="L6" s="365"/>
      <c r="M6" s="365"/>
      <c r="N6" s="365"/>
      <c r="O6" s="365"/>
      <c r="P6" s="365"/>
      <c r="Q6" s="365"/>
      <c r="R6" s="365"/>
      <c r="S6" s="365"/>
    </row>
    <row r="7" spans="1:19" ht="15.75" customHeight="1">
      <c r="A7" s="66"/>
      <c r="B7" s="66"/>
      <c r="C7" s="66"/>
      <c r="D7" s="66"/>
      <c r="E7" s="66"/>
      <c r="F7" s="66"/>
      <c r="G7" s="66"/>
      <c r="H7" s="67"/>
      <c r="I7" s="68" t="s">
        <v>621</v>
      </c>
      <c r="J7" s="365" t="s">
        <v>697</v>
      </c>
      <c r="K7" s="365"/>
      <c r="L7" s="365"/>
      <c r="M7" s="365"/>
      <c r="N7" s="365"/>
      <c r="O7" s="365"/>
      <c r="P7" s="365"/>
      <c r="Q7" s="365"/>
      <c r="R7" s="365"/>
      <c r="S7" s="365"/>
    </row>
    <row r="8" spans="1:19" ht="14.25" customHeight="1">
      <c r="A8" s="66"/>
      <c r="B8" s="66"/>
      <c r="C8" s="66"/>
      <c r="D8" s="66"/>
      <c r="E8" s="66"/>
      <c r="F8" s="66"/>
      <c r="G8" s="66"/>
      <c r="H8" s="67"/>
      <c r="I8" s="69" t="s">
        <v>621</v>
      </c>
      <c r="J8" s="366" t="s">
        <v>696</v>
      </c>
      <c r="K8" s="366"/>
      <c r="L8" s="366"/>
      <c r="M8" s="366"/>
      <c r="N8" s="366"/>
      <c r="O8" s="366"/>
      <c r="P8" s="366"/>
      <c r="Q8" s="366"/>
      <c r="R8" s="366"/>
      <c r="S8" s="366"/>
    </row>
    <row r="9" spans="1:19" ht="27.75" customHeight="1">
      <c r="A9" s="74"/>
      <c r="B9" s="74"/>
      <c r="C9" s="74"/>
      <c r="D9" s="74"/>
      <c r="E9" s="74"/>
      <c r="F9" s="74"/>
      <c r="G9" s="74"/>
      <c r="H9" s="67" t="s">
        <v>621</v>
      </c>
      <c r="I9" s="72" t="s">
        <v>621</v>
      </c>
      <c r="J9" s="368" t="s">
        <v>695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ht="18.75" customHeight="1" thickBot="1">
      <c r="A10" s="76"/>
      <c r="B10" s="76"/>
      <c r="C10" s="76"/>
      <c r="D10" s="76"/>
      <c r="E10" s="76"/>
      <c r="F10" s="76"/>
      <c r="G10" s="76"/>
      <c r="H10" s="67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48" customHeight="1">
      <c r="A11" s="77"/>
      <c r="B11" s="77" t="s">
        <v>516</v>
      </c>
      <c r="C11" s="78" t="s">
        <v>515</v>
      </c>
      <c r="D11" s="78" t="s">
        <v>514</v>
      </c>
      <c r="E11" s="78" t="s">
        <v>513</v>
      </c>
      <c r="F11" s="78" t="s">
        <v>512</v>
      </c>
      <c r="G11" s="78" t="s">
        <v>511</v>
      </c>
      <c r="H11" s="369" t="s">
        <v>706</v>
      </c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</row>
    <row r="12" spans="1:19" ht="21.75" customHeight="1">
      <c r="A12" s="199"/>
      <c r="B12" s="199"/>
      <c r="C12" s="199"/>
      <c r="D12" s="199"/>
      <c r="E12" s="199"/>
      <c r="F12" s="199"/>
      <c r="G12" s="199"/>
      <c r="H12" s="251"/>
      <c r="I12" s="251"/>
      <c r="J12" s="251"/>
      <c r="K12" s="251"/>
      <c r="L12" s="251"/>
      <c r="M12" s="251"/>
      <c r="N12" s="251"/>
      <c r="O12" s="251"/>
      <c r="P12" s="251"/>
      <c r="Q12" s="263" t="s">
        <v>12</v>
      </c>
      <c r="R12" s="251"/>
      <c r="S12" s="310" t="s">
        <v>12</v>
      </c>
    </row>
    <row r="13" spans="1:19" ht="42.75" customHeight="1">
      <c r="A13" s="199"/>
      <c r="B13" s="199"/>
      <c r="C13" s="199"/>
      <c r="D13" s="199"/>
      <c r="E13" s="199"/>
      <c r="F13" s="199"/>
      <c r="G13" s="199"/>
      <c r="H13" s="79" t="s">
        <v>510</v>
      </c>
      <c r="I13" s="80" t="s">
        <v>509</v>
      </c>
      <c r="J13" s="80" t="s">
        <v>508</v>
      </c>
      <c r="K13" s="79" t="s">
        <v>507</v>
      </c>
      <c r="L13" s="373" t="s">
        <v>506</v>
      </c>
      <c r="M13" s="374"/>
      <c r="N13" s="374"/>
      <c r="O13" s="375"/>
      <c r="P13" s="79" t="s">
        <v>505</v>
      </c>
      <c r="Q13" s="378" t="s">
        <v>504</v>
      </c>
      <c r="R13" s="378"/>
      <c r="S13" s="378"/>
    </row>
    <row r="14" spans="1:19" ht="21.75" customHeight="1">
      <c r="A14" s="199"/>
      <c r="B14" s="199"/>
      <c r="C14" s="199"/>
      <c r="D14" s="199"/>
      <c r="E14" s="199"/>
      <c r="F14" s="199"/>
      <c r="G14" s="199"/>
      <c r="H14" s="79">
        <v>1</v>
      </c>
      <c r="I14" s="193"/>
      <c r="J14" s="80">
        <v>2</v>
      </c>
      <c r="K14" s="79">
        <v>3</v>
      </c>
      <c r="L14" s="196"/>
      <c r="M14" s="197"/>
      <c r="N14" s="197" t="s">
        <v>560</v>
      </c>
      <c r="O14" s="198"/>
      <c r="P14" s="79">
        <v>5</v>
      </c>
      <c r="Q14" s="262">
        <v>6</v>
      </c>
      <c r="R14" s="262">
        <v>6</v>
      </c>
      <c r="S14" s="261"/>
    </row>
    <row r="15" spans="1:19" s="179" customFormat="1" ht="18.75" customHeight="1">
      <c r="A15" s="370">
        <v>100</v>
      </c>
      <c r="B15" s="370"/>
      <c r="C15" s="371"/>
      <c r="D15" s="371"/>
      <c r="E15" s="371"/>
      <c r="F15" s="371"/>
      <c r="G15" s="136">
        <v>120</v>
      </c>
      <c r="H15" s="137" t="s">
        <v>536</v>
      </c>
      <c r="I15" s="138">
        <v>27</v>
      </c>
      <c r="J15" s="148">
        <v>1</v>
      </c>
      <c r="K15" s="148" t="s">
        <v>621</v>
      </c>
      <c r="L15" s="140" t="s">
        <v>534</v>
      </c>
      <c r="M15" s="141" t="s">
        <v>534</v>
      </c>
      <c r="N15" s="141"/>
      <c r="O15" s="141" t="s">
        <v>534</v>
      </c>
      <c r="P15" s="138" t="s">
        <v>534</v>
      </c>
      <c r="Q15" s="213">
        <f>Q16+Q23+Q31+Q51+Q54+Q84+Q88</f>
        <v>107494.90000000001</v>
      </c>
      <c r="R15" s="213" t="e">
        <f>R16+R23+R31+R51+R54+R84+R88</f>
        <v>#REF!</v>
      </c>
      <c r="S15" s="213" t="e">
        <f>S16+S23+S31+S51+S54+S84+S88</f>
        <v>#REF!</v>
      </c>
    </row>
    <row r="16" spans="1:19" s="179" customFormat="1" ht="36" customHeight="1">
      <c r="A16" s="142"/>
      <c r="B16" s="143"/>
      <c r="C16" s="153"/>
      <c r="D16" s="150"/>
      <c r="E16" s="154"/>
      <c r="F16" s="154"/>
      <c r="G16" s="136"/>
      <c r="H16" s="137" t="s">
        <v>569</v>
      </c>
      <c r="I16" s="138">
        <v>28</v>
      </c>
      <c r="J16" s="148">
        <v>1</v>
      </c>
      <c r="K16" s="148">
        <v>2</v>
      </c>
      <c r="L16" s="185"/>
      <c r="M16" s="186"/>
      <c r="N16" s="186"/>
      <c r="O16" s="186"/>
      <c r="P16" s="138"/>
      <c r="Q16" s="213">
        <f aca="true" t="shared" si="0" ref="Q16:S17">Q17</f>
        <v>1947</v>
      </c>
      <c r="R16" s="213">
        <f t="shared" si="0"/>
        <v>1946.9</v>
      </c>
      <c r="S16" s="213">
        <f t="shared" si="0"/>
        <v>1946.9</v>
      </c>
    </row>
    <row r="17" spans="1:19" s="179" customFormat="1" ht="21.75" customHeight="1">
      <c r="A17" s="142"/>
      <c r="B17" s="143"/>
      <c r="C17" s="153"/>
      <c r="D17" s="150"/>
      <c r="E17" s="154"/>
      <c r="F17" s="154"/>
      <c r="G17" s="136"/>
      <c r="H17" s="11" t="s">
        <v>581</v>
      </c>
      <c r="I17" s="10">
        <v>28</v>
      </c>
      <c r="J17" s="7">
        <v>1</v>
      </c>
      <c r="K17" s="7">
        <v>2</v>
      </c>
      <c r="L17" s="16" t="s">
        <v>582</v>
      </c>
      <c r="M17" s="96" t="s">
        <v>563</v>
      </c>
      <c r="N17" s="96" t="s">
        <v>583</v>
      </c>
      <c r="O17" s="96" t="s">
        <v>620</v>
      </c>
      <c r="P17" s="10" t="s">
        <v>534</v>
      </c>
      <c r="Q17" s="214">
        <f>Q18+Q21</f>
        <v>1947</v>
      </c>
      <c r="R17" s="214">
        <f t="shared" si="0"/>
        <v>1946.9</v>
      </c>
      <c r="S17" s="214">
        <f t="shared" si="0"/>
        <v>1946.9</v>
      </c>
    </row>
    <row r="18" spans="1:19" ht="23.25" customHeight="1">
      <c r="A18" s="97"/>
      <c r="B18" s="98"/>
      <c r="C18" s="103"/>
      <c r="D18" s="101"/>
      <c r="E18" s="113"/>
      <c r="F18" s="113"/>
      <c r="G18" s="89"/>
      <c r="H18" s="11" t="s">
        <v>766</v>
      </c>
      <c r="I18" s="10">
        <v>28</v>
      </c>
      <c r="J18" s="7">
        <v>1</v>
      </c>
      <c r="K18" s="7">
        <v>2</v>
      </c>
      <c r="L18" s="122" t="s">
        <v>582</v>
      </c>
      <c r="M18" s="123" t="s">
        <v>563</v>
      </c>
      <c r="N18" s="123" t="s">
        <v>583</v>
      </c>
      <c r="O18" s="123" t="s">
        <v>648</v>
      </c>
      <c r="P18" s="10"/>
      <c r="Q18" s="214">
        <f>SUM(Q19:Q20)</f>
        <v>1633.8</v>
      </c>
      <c r="R18" s="214">
        <f>SUM(R19:R20)</f>
        <v>1946.9</v>
      </c>
      <c r="S18" s="214">
        <f>SUM(S19:S20)</f>
        <v>1946.9</v>
      </c>
    </row>
    <row r="19" spans="1:19" ht="24.75" customHeight="1">
      <c r="A19" s="97"/>
      <c r="B19" s="98"/>
      <c r="C19" s="103"/>
      <c r="D19" s="101"/>
      <c r="E19" s="113"/>
      <c r="F19" s="113"/>
      <c r="G19" s="89"/>
      <c r="H19" s="11" t="s">
        <v>533</v>
      </c>
      <c r="I19" s="10">
        <v>28</v>
      </c>
      <c r="J19" s="7">
        <v>1</v>
      </c>
      <c r="K19" s="7">
        <v>2</v>
      </c>
      <c r="L19" s="122" t="s">
        <v>582</v>
      </c>
      <c r="M19" s="123" t="s">
        <v>563</v>
      </c>
      <c r="N19" s="123" t="s">
        <v>583</v>
      </c>
      <c r="O19" s="123" t="s">
        <v>648</v>
      </c>
      <c r="P19" s="10">
        <v>120</v>
      </c>
      <c r="Q19" s="214">
        <v>1633.8</v>
      </c>
      <c r="R19" s="214">
        <v>1633.8</v>
      </c>
      <c r="S19" s="214">
        <v>1633.8</v>
      </c>
    </row>
    <row r="20" spans="1:19" ht="29.25" customHeight="1" hidden="1">
      <c r="A20" s="97"/>
      <c r="B20" s="98"/>
      <c r="C20" s="103"/>
      <c r="D20" s="101"/>
      <c r="E20" s="113"/>
      <c r="F20" s="113"/>
      <c r="G20" s="89"/>
      <c r="H20" s="11" t="s">
        <v>720</v>
      </c>
      <c r="I20" s="10">
        <v>28</v>
      </c>
      <c r="J20" s="7">
        <v>1</v>
      </c>
      <c r="K20" s="7">
        <v>2</v>
      </c>
      <c r="L20" s="122" t="s">
        <v>582</v>
      </c>
      <c r="M20" s="123" t="s">
        <v>563</v>
      </c>
      <c r="N20" s="123" t="s">
        <v>583</v>
      </c>
      <c r="O20" s="123" t="s">
        <v>648</v>
      </c>
      <c r="P20" s="10">
        <v>240</v>
      </c>
      <c r="Q20" s="214">
        <f>'Приложение 9'!Q325</f>
        <v>0</v>
      </c>
      <c r="R20" s="214">
        <v>313.1</v>
      </c>
      <c r="S20" s="214">
        <v>313.1</v>
      </c>
    </row>
    <row r="21" spans="1:19" ht="37.5" customHeight="1">
      <c r="A21" s="97"/>
      <c r="B21" s="98"/>
      <c r="C21" s="103"/>
      <c r="D21" s="101"/>
      <c r="E21" s="113"/>
      <c r="F21" s="113"/>
      <c r="G21" s="89"/>
      <c r="H21" s="11" t="str">
        <f>'Приложение 9'!H326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1" s="10">
        <f>'Приложение 9'!I326</f>
        <v>28</v>
      </c>
      <c r="J21" s="7">
        <f>'Приложение 9'!J326</f>
        <v>1</v>
      </c>
      <c r="K21" s="7">
        <f>'Приложение 9'!K326</f>
        <v>2</v>
      </c>
      <c r="L21" s="122" t="str">
        <f>'Приложение 9'!L326</f>
        <v>92</v>
      </c>
      <c r="M21" s="123" t="str">
        <f>'Приложение 9'!M326</f>
        <v>0</v>
      </c>
      <c r="N21" s="123" t="str">
        <f>'Приложение 9'!N326</f>
        <v>00</v>
      </c>
      <c r="O21" s="123" t="str">
        <f>'Приложение 9'!O326</f>
        <v>70030</v>
      </c>
      <c r="P21" s="10" t="s">
        <v>621</v>
      </c>
      <c r="Q21" s="214">
        <f>'Приложение 9'!Q326</f>
        <v>313.2</v>
      </c>
      <c r="R21" s="214"/>
      <c r="S21" s="214"/>
    </row>
    <row r="22" spans="1:19" ht="29.25" customHeight="1">
      <c r="A22" s="97"/>
      <c r="B22" s="98"/>
      <c r="C22" s="103"/>
      <c r="D22" s="101"/>
      <c r="E22" s="113"/>
      <c r="F22" s="113"/>
      <c r="G22" s="89"/>
      <c r="H22" s="11" t="str">
        <f>'Приложение 9'!H327</f>
        <v>Расходы на выплаты персоналу государственных (муниципальных) органов</v>
      </c>
      <c r="I22" s="10">
        <f>'Приложение 9'!I327</f>
        <v>28</v>
      </c>
      <c r="J22" s="7">
        <f>'Приложение 9'!J327</f>
        <v>1</v>
      </c>
      <c r="K22" s="7">
        <f>'Приложение 9'!K327</f>
        <v>2</v>
      </c>
      <c r="L22" s="122" t="str">
        <f>'Приложение 9'!L327</f>
        <v>92</v>
      </c>
      <c r="M22" s="123" t="str">
        <f>'Приложение 9'!M327</f>
        <v>0</v>
      </c>
      <c r="N22" s="123" t="str">
        <f>'Приложение 9'!N327</f>
        <v>00</v>
      </c>
      <c r="O22" s="123" t="str">
        <f>'Приложение 9'!O327</f>
        <v>70030</v>
      </c>
      <c r="P22" s="10">
        <f>'Приложение 9'!P327</f>
        <v>120</v>
      </c>
      <c r="Q22" s="214">
        <f>'Приложение 9'!Q327</f>
        <v>313.2</v>
      </c>
      <c r="R22" s="214"/>
      <c r="S22" s="214"/>
    </row>
    <row r="23" spans="1:19" s="179" customFormat="1" ht="36" customHeight="1">
      <c r="A23" s="142"/>
      <c r="B23" s="143"/>
      <c r="C23" s="153"/>
      <c r="D23" s="150"/>
      <c r="E23" s="154"/>
      <c r="F23" s="154"/>
      <c r="G23" s="136"/>
      <c r="H23" s="137" t="s">
        <v>503</v>
      </c>
      <c r="I23" s="138">
        <v>28</v>
      </c>
      <c r="J23" s="148">
        <v>1</v>
      </c>
      <c r="K23" s="148">
        <v>3</v>
      </c>
      <c r="L23" s="185"/>
      <c r="M23" s="186"/>
      <c r="N23" s="186"/>
      <c r="O23" s="186"/>
      <c r="P23" s="138"/>
      <c r="Q23" s="213">
        <f aca="true" t="shared" si="1" ref="Q23:S24">Q24</f>
        <v>2145.9</v>
      </c>
      <c r="R23" s="213">
        <f t="shared" si="1"/>
        <v>2007.4</v>
      </c>
      <c r="S23" s="213">
        <f t="shared" si="1"/>
        <v>2007.4</v>
      </c>
    </row>
    <row r="24" spans="1:19" s="179" customFormat="1" ht="21.75" customHeight="1">
      <c r="A24" s="142"/>
      <c r="B24" s="143"/>
      <c r="C24" s="153"/>
      <c r="D24" s="150"/>
      <c r="E24" s="154"/>
      <c r="F24" s="154"/>
      <c r="G24" s="136"/>
      <c r="H24" s="11" t="s">
        <v>581</v>
      </c>
      <c r="I24" s="10">
        <v>28</v>
      </c>
      <c r="J24" s="7">
        <v>1</v>
      </c>
      <c r="K24" s="7">
        <v>3</v>
      </c>
      <c r="L24" s="16" t="s">
        <v>582</v>
      </c>
      <c r="M24" s="96" t="s">
        <v>563</v>
      </c>
      <c r="N24" s="96" t="s">
        <v>583</v>
      </c>
      <c r="O24" s="96" t="s">
        <v>620</v>
      </c>
      <c r="P24" s="138"/>
      <c r="Q24" s="213">
        <f>Q25+Q29</f>
        <v>2145.9</v>
      </c>
      <c r="R24" s="213">
        <f t="shared" si="1"/>
        <v>2007.4</v>
      </c>
      <c r="S24" s="213">
        <f t="shared" si="1"/>
        <v>2007.4</v>
      </c>
    </row>
    <row r="25" spans="1:19" ht="20.25" customHeight="1">
      <c r="A25" s="97"/>
      <c r="B25" s="98"/>
      <c r="C25" s="103"/>
      <c r="D25" s="101"/>
      <c r="E25" s="113"/>
      <c r="F25" s="113"/>
      <c r="G25" s="89"/>
      <c r="H25" s="11" t="s">
        <v>766</v>
      </c>
      <c r="I25" s="10">
        <v>28</v>
      </c>
      <c r="J25" s="7">
        <v>1</v>
      </c>
      <c r="K25" s="7">
        <v>3</v>
      </c>
      <c r="L25" s="122" t="s">
        <v>582</v>
      </c>
      <c r="M25" s="123" t="s">
        <v>563</v>
      </c>
      <c r="N25" s="123" t="s">
        <v>583</v>
      </c>
      <c r="O25" s="123" t="s">
        <v>648</v>
      </c>
      <c r="P25" s="10"/>
      <c r="Q25" s="214">
        <f>SUM(Q26:Q28)</f>
        <v>1928.7</v>
      </c>
      <c r="R25" s="214">
        <f>SUM(R26:R27)</f>
        <v>2007.4</v>
      </c>
      <c r="S25" s="214">
        <f>SUM(S26:S27)</f>
        <v>2007.4</v>
      </c>
    </row>
    <row r="26" spans="1:19" ht="24.75" customHeight="1">
      <c r="A26" s="97"/>
      <c r="B26" s="98"/>
      <c r="C26" s="103"/>
      <c r="D26" s="101"/>
      <c r="E26" s="113"/>
      <c r="F26" s="113"/>
      <c r="G26" s="89"/>
      <c r="H26" s="11" t="s">
        <v>533</v>
      </c>
      <c r="I26" s="10">
        <v>28</v>
      </c>
      <c r="J26" s="7">
        <v>1</v>
      </c>
      <c r="K26" s="7">
        <v>3</v>
      </c>
      <c r="L26" s="122" t="s">
        <v>582</v>
      </c>
      <c r="M26" s="123" t="s">
        <v>563</v>
      </c>
      <c r="N26" s="123" t="s">
        <v>583</v>
      </c>
      <c r="O26" s="123" t="s">
        <v>648</v>
      </c>
      <c r="P26" s="10">
        <v>120</v>
      </c>
      <c r="Q26" s="214">
        <f>'Приложение 9'!Q331</f>
        <v>1125.4</v>
      </c>
      <c r="R26" s="214">
        <v>1125.7</v>
      </c>
      <c r="S26" s="214">
        <v>1125.7</v>
      </c>
    </row>
    <row r="27" spans="1:19" ht="23.25" customHeight="1">
      <c r="A27" s="97"/>
      <c r="B27" s="98"/>
      <c r="C27" s="103"/>
      <c r="D27" s="101"/>
      <c r="E27" s="113"/>
      <c r="F27" s="113"/>
      <c r="G27" s="89"/>
      <c r="H27" s="11" t="s">
        <v>720</v>
      </c>
      <c r="I27" s="10">
        <v>28</v>
      </c>
      <c r="J27" s="7">
        <v>1</v>
      </c>
      <c r="K27" s="7">
        <v>3</v>
      </c>
      <c r="L27" s="122" t="s">
        <v>582</v>
      </c>
      <c r="M27" s="123" t="s">
        <v>563</v>
      </c>
      <c r="N27" s="123" t="s">
        <v>583</v>
      </c>
      <c r="O27" s="123" t="s">
        <v>648</v>
      </c>
      <c r="P27" s="10">
        <v>240</v>
      </c>
      <c r="Q27" s="214">
        <f>'Приложение 9'!Q332</f>
        <v>803</v>
      </c>
      <c r="R27" s="214">
        <v>881.7</v>
      </c>
      <c r="S27" s="214">
        <v>881.7</v>
      </c>
    </row>
    <row r="28" spans="1:19" ht="23.25" customHeight="1">
      <c r="A28" s="97"/>
      <c r="B28" s="98"/>
      <c r="C28" s="103"/>
      <c r="D28" s="107"/>
      <c r="E28" s="104"/>
      <c r="F28" s="104"/>
      <c r="G28" s="89"/>
      <c r="H28" s="11" t="str">
        <f>'Приложение 9'!H333</f>
        <v>Уплата налогов, сборов и иных платежей</v>
      </c>
      <c r="I28" s="10">
        <f>'Приложение 9'!I333</f>
        <v>28</v>
      </c>
      <c r="J28" s="7">
        <f>'Приложение 9'!J333</f>
        <v>1</v>
      </c>
      <c r="K28" s="7">
        <f>'Приложение 9'!K333</f>
        <v>3</v>
      </c>
      <c r="L28" s="122" t="str">
        <f>'Приложение 9'!L333</f>
        <v>92</v>
      </c>
      <c r="M28" s="123" t="str">
        <f>'Приложение 9'!M333</f>
        <v>0</v>
      </c>
      <c r="N28" s="123" t="str">
        <f>'Приложение 9'!N333</f>
        <v>00</v>
      </c>
      <c r="O28" s="123" t="str">
        <f>'Приложение 9'!O333</f>
        <v>00190</v>
      </c>
      <c r="P28" s="10">
        <f>'Приложение 9'!P333</f>
        <v>850</v>
      </c>
      <c r="Q28" s="214">
        <f>'Приложение 9'!Q333</f>
        <v>0.3</v>
      </c>
      <c r="R28" s="214"/>
      <c r="S28" s="214"/>
    </row>
    <row r="29" spans="1:19" ht="30" customHeight="1">
      <c r="A29" s="97"/>
      <c r="B29" s="98"/>
      <c r="C29" s="103"/>
      <c r="D29" s="107"/>
      <c r="E29" s="104"/>
      <c r="F29" s="104"/>
      <c r="G29" s="89"/>
      <c r="H29" s="11" t="str">
        <f>'Приложение 9'!H334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9" s="10">
        <f>'Приложение 9'!I334</f>
        <v>28</v>
      </c>
      <c r="J29" s="7">
        <f>'Приложение 9'!J334</f>
        <v>1</v>
      </c>
      <c r="K29" s="7">
        <f>'Приложение 9'!K334</f>
        <v>3</v>
      </c>
      <c r="L29" s="122" t="str">
        <f>'Приложение 9'!L334</f>
        <v>92</v>
      </c>
      <c r="M29" s="123" t="str">
        <f>'Приложение 9'!M334</f>
        <v>0</v>
      </c>
      <c r="N29" s="123" t="str">
        <f>'Приложение 9'!N334</f>
        <v>00</v>
      </c>
      <c r="O29" s="123" t="str">
        <f>'Приложение 9'!O334</f>
        <v>70030</v>
      </c>
      <c r="P29" s="10" t="s">
        <v>621</v>
      </c>
      <c r="Q29" s="214">
        <f>'Приложение 9'!Q334</f>
        <v>217.2</v>
      </c>
      <c r="R29" s="214"/>
      <c r="S29" s="214"/>
    </row>
    <row r="30" spans="1:19" ht="23.25" customHeight="1">
      <c r="A30" s="97"/>
      <c r="B30" s="98"/>
      <c r="C30" s="103"/>
      <c r="D30" s="107"/>
      <c r="E30" s="104"/>
      <c r="F30" s="104"/>
      <c r="G30" s="89"/>
      <c r="H30" s="11" t="str">
        <f>'Приложение 9'!H335</f>
        <v>Расходы на выплаты персоналу государственных (муниципальных) органов</v>
      </c>
      <c r="I30" s="10">
        <f>'Приложение 9'!I335</f>
        <v>28</v>
      </c>
      <c r="J30" s="7">
        <f>'Приложение 9'!J335</f>
        <v>1</v>
      </c>
      <c r="K30" s="7">
        <f>'Приложение 9'!K335</f>
        <v>3</v>
      </c>
      <c r="L30" s="122" t="str">
        <f>'Приложение 9'!L335</f>
        <v>92</v>
      </c>
      <c r="M30" s="123" t="str">
        <f>'Приложение 9'!M335</f>
        <v>0</v>
      </c>
      <c r="N30" s="123" t="str">
        <f>'Приложение 9'!N335</f>
        <v>00</v>
      </c>
      <c r="O30" s="123" t="str">
        <f>'Приложение 9'!O335</f>
        <v>70030</v>
      </c>
      <c r="P30" s="10">
        <f>'Приложение 9'!P335</f>
        <v>120</v>
      </c>
      <c r="Q30" s="214">
        <f>'Приложение 9'!Q335</f>
        <v>217.2</v>
      </c>
      <c r="R30" s="214"/>
      <c r="S30" s="214"/>
    </row>
    <row r="31" spans="1:19" s="179" customFormat="1" ht="45" customHeight="1">
      <c r="A31" s="142"/>
      <c r="B31" s="143"/>
      <c r="C31" s="370">
        <v>104</v>
      </c>
      <c r="D31" s="371"/>
      <c r="E31" s="371"/>
      <c r="F31" s="371"/>
      <c r="G31" s="136">
        <v>120</v>
      </c>
      <c r="H31" s="137" t="s">
        <v>502</v>
      </c>
      <c r="I31" s="138">
        <v>27</v>
      </c>
      <c r="J31" s="148">
        <v>1</v>
      </c>
      <c r="K31" s="148">
        <v>4</v>
      </c>
      <c r="L31" s="140" t="s">
        <v>534</v>
      </c>
      <c r="M31" s="141" t="s">
        <v>534</v>
      </c>
      <c r="N31" s="141" t="s">
        <v>621</v>
      </c>
      <c r="O31" s="141" t="s">
        <v>534</v>
      </c>
      <c r="P31" s="138" t="s">
        <v>534</v>
      </c>
      <c r="Q31" s="213">
        <f>Q32</f>
        <v>22216.5</v>
      </c>
      <c r="R31" s="213">
        <f>R32</f>
        <v>22997.4</v>
      </c>
      <c r="S31" s="213">
        <f>S32</f>
        <v>22839.9</v>
      </c>
    </row>
    <row r="32" spans="1:19" ht="27" customHeight="1">
      <c r="A32" s="99"/>
      <c r="B32" s="98"/>
      <c r="C32" s="97"/>
      <c r="D32" s="94"/>
      <c r="E32" s="94"/>
      <c r="F32" s="94"/>
      <c r="G32" s="89"/>
      <c r="H32" s="11" t="s">
        <v>341</v>
      </c>
      <c r="I32" s="10">
        <v>27</v>
      </c>
      <c r="J32" s="7">
        <v>1</v>
      </c>
      <c r="K32" s="7">
        <v>4</v>
      </c>
      <c r="L32" s="16" t="s">
        <v>580</v>
      </c>
      <c r="M32" s="96" t="s">
        <v>563</v>
      </c>
      <c r="N32" s="96" t="s">
        <v>583</v>
      </c>
      <c r="O32" s="96" t="s">
        <v>620</v>
      </c>
      <c r="P32" s="10"/>
      <c r="Q32" s="214">
        <f>Q33+Q39+Q42+Q44+Q47+Q49+Q37</f>
        <v>22216.5</v>
      </c>
      <c r="R32" s="214">
        <f>R33+R39+R42+R44+R47+R49</f>
        <v>22997.4</v>
      </c>
      <c r="S32" s="214">
        <f>S33+S39+S42+S44+S47+S49</f>
        <v>22839.9</v>
      </c>
    </row>
    <row r="33" spans="1:19" ht="29.25" customHeight="1">
      <c r="A33" s="99"/>
      <c r="B33" s="98"/>
      <c r="C33" s="97"/>
      <c r="D33" s="363">
        <v>20000</v>
      </c>
      <c r="E33" s="364"/>
      <c r="F33" s="364"/>
      <c r="G33" s="89">
        <v>120</v>
      </c>
      <c r="H33" s="11" t="s">
        <v>342</v>
      </c>
      <c r="I33" s="10">
        <v>27</v>
      </c>
      <c r="J33" s="7">
        <v>1</v>
      </c>
      <c r="K33" s="7">
        <v>4</v>
      </c>
      <c r="L33" s="16" t="s">
        <v>580</v>
      </c>
      <c r="M33" s="96" t="s">
        <v>563</v>
      </c>
      <c r="N33" s="96" t="s">
        <v>583</v>
      </c>
      <c r="O33" s="96" t="s">
        <v>648</v>
      </c>
      <c r="P33" s="10" t="s">
        <v>534</v>
      </c>
      <c r="Q33" s="214">
        <f>SUM(Q34:Q36)</f>
        <v>17914.5</v>
      </c>
      <c r="R33" s="214">
        <f>SUM(R34:R36)</f>
        <v>22997.4</v>
      </c>
      <c r="S33" s="214">
        <f>SUM(S34:S36)</f>
        <v>22839.9</v>
      </c>
    </row>
    <row r="34" spans="1:19" ht="29.25" customHeight="1">
      <c r="A34" s="99"/>
      <c r="B34" s="98"/>
      <c r="C34" s="97"/>
      <c r="D34" s="101"/>
      <c r="E34" s="102"/>
      <c r="F34" s="102"/>
      <c r="G34" s="89"/>
      <c r="H34" s="11" t="s">
        <v>533</v>
      </c>
      <c r="I34" s="6">
        <v>27</v>
      </c>
      <c r="J34" s="7">
        <v>1</v>
      </c>
      <c r="K34" s="7">
        <v>4</v>
      </c>
      <c r="L34" s="16">
        <v>91</v>
      </c>
      <c r="M34" s="96" t="s">
        <v>563</v>
      </c>
      <c r="N34" s="96" t="s">
        <v>583</v>
      </c>
      <c r="O34" s="96" t="s">
        <v>648</v>
      </c>
      <c r="P34" s="10">
        <v>120</v>
      </c>
      <c r="Q34" s="214">
        <f>'Приложение 9'!Q19</f>
        <v>14469.7</v>
      </c>
      <c r="R34" s="214">
        <v>14355.1</v>
      </c>
      <c r="S34" s="214">
        <v>14355.1</v>
      </c>
    </row>
    <row r="35" spans="1:19" ht="26.25" customHeight="1">
      <c r="A35" s="99"/>
      <c r="B35" s="98"/>
      <c r="C35" s="103"/>
      <c r="D35" s="101"/>
      <c r="E35" s="104"/>
      <c r="F35" s="104"/>
      <c r="G35" s="105"/>
      <c r="H35" s="5" t="s">
        <v>720</v>
      </c>
      <c r="I35" s="8">
        <v>27</v>
      </c>
      <c r="J35" s="7">
        <v>1</v>
      </c>
      <c r="K35" s="7">
        <v>4</v>
      </c>
      <c r="L35" s="16">
        <v>91</v>
      </c>
      <c r="M35" s="96" t="s">
        <v>563</v>
      </c>
      <c r="N35" s="96" t="s">
        <v>583</v>
      </c>
      <c r="O35" s="96" t="s">
        <v>648</v>
      </c>
      <c r="P35" s="6">
        <v>240</v>
      </c>
      <c r="Q35" s="214">
        <f>'Приложение 9'!Q20</f>
        <v>2694.8</v>
      </c>
      <c r="R35" s="214">
        <v>7892.3</v>
      </c>
      <c r="S35" s="214">
        <v>7734.8</v>
      </c>
    </row>
    <row r="36" spans="1:19" ht="20.25" customHeight="1">
      <c r="A36" s="99"/>
      <c r="B36" s="98"/>
      <c r="C36" s="106"/>
      <c r="D36" s="107"/>
      <c r="E36" s="104"/>
      <c r="F36" s="104"/>
      <c r="G36" s="89"/>
      <c r="H36" s="108" t="s">
        <v>721</v>
      </c>
      <c r="I36" s="8">
        <v>27</v>
      </c>
      <c r="J36" s="7">
        <v>1</v>
      </c>
      <c r="K36" s="7">
        <v>4</v>
      </c>
      <c r="L36" s="16">
        <v>91</v>
      </c>
      <c r="M36" s="96" t="s">
        <v>563</v>
      </c>
      <c r="N36" s="96" t="s">
        <v>583</v>
      </c>
      <c r="O36" s="96" t="s">
        <v>648</v>
      </c>
      <c r="P36" s="6">
        <v>850</v>
      </c>
      <c r="Q36" s="214">
        <v>750</v>
      </c>
      <c r="R36" s="214">
        <v>750</v>
      </c>
      <c r="S36" s="214">
        <v>750</v>
      </c>
    </row>
    <row r="37" spans="1:19" ht="20.25" customHeight="1">
      <c r="A37" s="99"/>
      <c r="B37" s="98"/>
      <c r="C37" s="106"/>
      <c r="D37" s="107"/>
      <c r="E37" s="104"/>
      <c r="F37" s="104"/>
      <c r="G37" s="89"/>
      <c r="H37" s="108" t="s">
        <v>61</v>
      </c>
      <c r="I37" s="13"/>
      <c r="J37" s="7">
        <v>1</v>
      </c>
      <c r="K37" s="7">
        <v>4</v>
      </c>
      <c r="L37" s="16">
        <v>91</v>
      </c>
      <c r="M37" s="96" t="s">
        <v>563</v>
      </c>
      <c r="N37" s="96" t="s">
        <v>583</v>
      </c>
      <c r="O37" s="96" t="s">
        <v>60</v>
      </c>
      <c r="P37" s="10"/>
      <c r="Q37" s="214">
        <f>Q38</f>
        <v>2785.9</v>
      </c>
      <c r="R37" s="214"/>
      <c r="S37" s="214"/>
    </row>
    <row r="38" spans="1:19" ht="20.25" customHeight="1">
      <c r="A38" s="99"/>
      <c r="B38" s="98"/>
      <c r="C38" s="106"/>
      <c r="D38" s="107"/>
      <c r="E38" s="104"/>
      <c r="F38" s="104"/>
      <c r="G38" s="89"/>
      <c r="H38" s="5" t="s">
        <v>533</v>
      </c>
      <c r="I38" s="13"/>
      <c r="J38" s="7">
        <v>1</v>
      </c>
      <c r="K38" s="7">
        <v>4</v>
      </c>
      <c r="L38" s="16">
        <v>91</v>
      </c>
      <c r="M38" s="96" t="s">
        <v>563</v>
      </c>
      <c r="N38" s="96" t="s">
        <v>583</v>
      </c>
      <c r="O38" s="96" t="s">
        <v>60</v>
      </c>
      <c r="P38" s="10">
        <v>120</v>
      </c>
      <c r="Q38" s="214">
        <f>'Приложение 9'!Q23</f>
        <v>2785.9</v>
      </c>
      <c r="R38" s="214"/>
      <c r="S38" s="214"/>
    </row>
    <row r="39" spans="1:19" ht="36" customHeight="1">
      <c r="A39" s="99"/>
      <c r="B39" s="98"/>
      <c r="C39" s="106"/>
      <c r="D39" s="107"/>
      <c r="E39" s="104"/>
      <c r="F39" s="104"/>
      <c r="G39" s="89"/>
      <c r="H39" s="11" t="s">
        <v>58</v>
      </c>
      <c r="I39" s="10">
        <v>27</v>
      </c>
      <c r="J39" s="7">
        <v>1</v>
      </c>
      <c r="K39" s="7">
        <v>4</v>
      </c>
      <c r="L39" s="16">
        <v>91</v>
      </c>
      <c r="M39" s="96" t="s">
        <v>563</v>
      </c>
      <c r="N39" s="96" t="s">
        <v>583</v>
      </c>
      <c r="O39" s="96" t="s">
        <v>57</v>
      </c>
      <c r="P39" s="10"/>
      <c r="Q39" s="214">
        <f>SUM(Q40:Q41)</f>
        <v>812.4</v>
      </c>
      <c r="R39" s="214">
        <f>SUM(R40:R41)</f>
        <v>0</v>
      </c>
      <c r="S39" s="214">
        <f>SUM(S40:S41)</f>
        <v>0</v>
      </c>
    </row>
    <row r="40" spans="1:19" ht="18" customHeight="1">
      <c r="A40" s="99"/>
      <c r="B40" s="98"/>
      <c r="C40" s="106"/>
      <c r="D40" s="107"/>
      <c r="E40" s="104"/>
      <c r="F40" s="104"/>
      <c r="G40" s="89"/>
      <c r="H40" s="11" t="s">
        <v>533</v>
      </c>
      <c r="I40" s="10">
        <v>27</v>
      </c>
      <c r="J40" s="7">
        <v>1</v>
      </c>
      <c r="K40" s="7">
        <v>4</v>
      </c>
      <c r="L40" s="16">
        <v>91</v>
      </c>
      <c r="M40" s="96" t="s">
        <v>563</v>
      </c>
      <c r="N40" s="96" t="s">
        <v>583</v>
      </c>
      <c r="O40" s="96" t="s">
        <v>57</v>
      </c>
      <c r="P40" s="10">
        <v>120</v>
      </c>
      <c r="Q40" s="214">
        <f>'Приложение 9'!Q25</f>
        <v>797.4</v>
      </c>
      <c r="R40" s="214">
        <v>0</v>
      </c>
      <c r="S40" s="214">
        <v>0</v>
      </c>
    </row>
    <row r="41" spans="1:19" ht="17.25" customHeight="1">
      <c r="A41" s="99"/>
      <c r="B41" s="98"/>
      <c r="C41" s="106"/>
      <c r="D41" s="107"/>
      <c r="E41" s="104"/>
      <c r="F41" s="104"/>
      <c r="G41" s="89"/>
      <c r="H41" s="11" t="s">
        <v>720</v>
      </c>
      <c r="I41" s="10">
        <v>27</v>
      </c>
      <c r="J41" s="7">
        <v>1</v>
      </c>
      <c r="K41" s="7">
        <v>4</v>
      </c>
      <c r="L41" s="16">
        <v>91</v>
      </c>
      <c r="M41" s="96" t="s">
        <v>563</v>
      </c>
      <c r="N41" s="96" t="s">
        <v>583</v>
      </c>
      <c r="O41" s="96" t="s">
        <v>57</v>
      </c>
      <c r="P41" s="10">
        <v>240</v>
      </c>
      <c r="Q41" s="214">
        <f>'Приложение 9'!Q26</f>
        <v>15</v>
      </c>
      <c r="R41" s="214">
        <v>0</v>
      </c>
      <c r="S41" s="214">
        <v>0</v>
      </c>
    </row>
    <row r="42" spans="1:19" ht="56.25" customHeight="1">
      <c r="A42" s="99"/>
      <c r="B42" s="98"/>
      <c r="C42" s="106"/>
      <c r="D42" s="107"/>
      <c r="E42" s="104"/>
      <c r="F42" s="104"/>
      <c r="G42" s="89"/>
      <c r="H42" s="11" t="s">
        <v>240</v>
      </c>
      <c r="I42" s="10">
        <v>27</v>
      </c>
      <c r="J42" s="7">
        <v>1</v>
      </c>
      <c r="K42" s="7">
        <v>4</v>
      </c>
      <c r="L42" s="16">
        <v>91</v>
      </c>
      <c r="M42" s="96" t="s">
        <v>563</v>
      </c>
      <c r="N42" s="96" t="s">
        <v>583</v>
      </c>
      <c r="O42" s="96" t="s">
        <v>59</v>
      </c>
      <c r="P42" s="10"/>
      <c r="Q42" s="214">
        <f>Q43</f>
        <v>95.6</v>
      </c>
      <c r="R42" s="214">
        <v>0</v>
      </c>
      <c r="S42" s="214">
        <v>0</v>
      </c>
    </row>
    <row r="43" spans="1:19" ht="27.75" customHeight="1">
      <c r="A43" s="99"/>
      <c r="B43" s="98"/>
      <c r="C43" s="106"/>
      <c r="D43" s="107"/>
      <c r="E43" s="104"/>
      <c r="F43" s="104"/>
      <c r="G43" s="89"/>
      <c r="H43" s="11" t="s">
        <v>533</v>
      </c>
      <c r="I43" s="10">
        <v>27</v>
      </c>
      <c r="J43" s="7">
        <v>1</v>
      </c>
      <c r="K43" s="7">
        <v>4</v>
      </c>
      <c r="L43" s="16">
        <v>91</v>
      </c>
      <c r="M43" s="96" t="s">
        <v>563</v>
      </c>
      <c r="N43" s="96" t="s">
        <v>583</v>
      </c>
      <c r="O43" s="96" t="s">
        <v>59</v>
      </c>
      <c r="P43" s="10">
        <v>120</v>
      </c>
      <c r="Q43" s="214">
        <f>'Приложение 9'!Q28</f>
        <v>95.6</v>
      </c>
      <c r="R43" s="214">
        <v>0</v>
      </c>
      <c r="S43" s="214">
        <v>0</v>
      </c>
    </row>
    <row r="44" spans="1:19" ht="66" customHeight="1">
      <c r="A44" s="99"/>
      <c r="B44" s="98"/>
      <c r="C44" s="106"/>
      <c r="D44" s="107"/>
      <c r="E44" s="104"/>
      <c r="F44" s="104"/>
      <c r="G44" s="89"/>
      <c r="H44" s="11" t="s">
        <v>755</v>
      </c>
      <c r="I44" s="10">
        <v>27</v>
      </c>
      <c r="J44" s="7">
        <v>1</v>
      </c>
      <c r="K44" s="7">
        <v>4</v>
      </c>
      <c r="L44" s="16">
        <v>91</v>
      </c>
      <c r="M44" s="96" t="s">
        <v>563</v>
      </c>
      <c r="N44" s="96" t="s">
        <v>583</v>
      </c>
      <c r="O44" s="96" t="s">
        <v>753</v>
      </c>
      <c r="P44" s="10"/>
      <c r="Q44" s="214">
        <f>SUM(Q45:Q46)</f>
        <v>448.50000000000006</v>
      </c>
      <c r="R44" s="214">
        <f>SUM(R45:R46)</f>
        <v>0</v>
      </c>
      <c r="S44" s="214">
        <f>SUM(S45:S46)</f>
        <v>0</v>
      </c>
    </row>
    <row r="45" spans="1:19" ht="26.25" customHeight="1">
      <c r="A45" s="99"/>
      <c r="B45" s="98"/>
      <c r="C45" s="106"/>
      <c r="D45" s="107"/>
      <c r="E45" s="104"/>
      <c r="F45" s="104"/>
      <c r="G45" s="89"/>
      <c r="H45" s="11" t="s">
        <v>533</v>
      </c>
      <c r="I45" s="10">
        <v>27</v>
      </c>
      <c r="J45" s="7">
        <v>1</v>
      </c>
      <c r="K45" s="7">
        <v>4</v>
      </c>
      <c r="L45" s="16">
        <v>91</v>
      </c>
      <c r="M45" s="96" t="s">
        <v>563</v>
      </c>
      <c r="N45" s="96" t="s">
        <v>583</v>
      </c>
      <c r="O45" s="96" t="s">
        <v>753</v>
      </c>
      <c r="P45" s="10">
        <v>120</v>
      </c>
      <c r="Q45" s="214">
        <f>'Приложение 9'!Q30</f>
        <v>440.00000000000006</v>
      </c>
      <c r="R45" s="214">
        <v>0</v>
      </c>
      <c r="S45" s="214">
        <v>0</v>
      </c>
    </row>
    <row r="46" spans="1:19" ht="30" customHeight="1">
      <c r="A46" s="99"/>
      <c r="B46" s="98"/>
      <c r="C46" s="106"/>
      <c r="D46" s="107"/>
      <c r="E46" s="104"/>
      <c r="F46" s="104"/>
      <c r="G46" s="89"/>
      <c r="H46" s="11" t="s">
        <v>720</v>
      </c>
      <c r="I46" s="10">
        <v>27</v>
      </c>
      <c r="J46" s="7">
        <v>1</v>
      </c>
      <c r="K46" s="7">
        <v>4</v>
      </c>
      <c r="L46" s="16">
        <v>91</v>
      </c>
      <c r="M46" s="96" t="s">
        <v>563</v>
      </c>
      <c r="N46" s="96" t="s">
        <v>583</v>
      </c>
      <c r="O46" s="96" t="s">
        <v>753</v>
      </c>
      <c r="P46" s="10">
        <v>240</v>
      </c>
      <c r="Q46" s="214">
        <f>'Приложение 9'!Q31</f>
        <v>8.5</v>
      </c>
      <c r="R46" s="215">
        <v>0</v>
      </c>
      <c r="S46" s="215">
        <v>0</v>
      </c>
    </row>
    <row r="47" spans="1:19" ht="27" customHeight="1">
      <c r="A47" s="99"/>
      <c r="B47" s="98"/>
      <c r="C47" s="106"/>
      <c r="D47" s="107"/>
      <c r="E47" s="104"/>
      <c r="F47" s="104"/>
      <c r="G47" s="89"/>
      <c r="H47" s="11" t="s">
        <v>756</v>
      </c>
      <c r="I47" s="10">
        <v>27</v>
      </c>
      <c r="J47" s="7">
        <v>1</v>
      </c>
      <c r="K47" s="7">
        <v>4</v>
      </c>
      <c r="L47" s="16">
        <v>91</v>
      </c>
      <c r="M47" s="96" t="s">
        <v>563</v>
      </c>
      <c r="N47" s="96" t="s">
        <v>583</v>
      </c>
      <c r="O47" s="96" t="s">
        <v>754</v>
      </c>
      <c r="P47" s="10"/>
      <c r="Q47" s="214">
        <f>Q48</f>
        <v>159.1</v>
      </c>
      <c r="R47" s="214">
        <f>R48</f>
        <v>0</v>
      </c>
      <c r="S47" s="214">
        <f>S48</f>
        <v>0</v>
      </c>
    </row>
    <row r="48" spans="1:19" ht="24" customHeight="1">
      <c r="A48" s="99"/>
      <c r="B48" s="98"/>
      <c r="C48" s="106"/>
      <c r="D48" s="107"/>
      <c r="E48" s="104"/>
      <c r="F48" s="104"/>
      <c r="G48" s="89"/>
      <c r="H48" s="11" t="s">
        <v>533</v>
      </c>
      <c r="I48" s="10">
        <v>27</v>
      </c>
      <c r="J48" s="7">
        <v>1</v>
      </c>
      <c r="K48" s="7">
        <v>4</v>
      </c>
      <c r="L48" s="16">
        <v>91</v>
      </c>
      <c r="M48" s="96" t="s">
        <v>563</v>
      </c>
      <c r="N48" s="96" t="s">
        <v>583</v>
      </c>
      <c r="O48" s="96" t="s">
        <v>754</v>
      </c>
      <c r="P48" s="10">
        <v>120</v>
      </c>
      <c r="Q48" s="214">
        <f>'Приложение 9'!Q33</f>
        <v>159.1</v>
      </c>
      <c r="R48" s="214"/>
      <c r="S48" s="214"/>
    </row>
    <row r="49" spans="1:19" ht="67.5" customHeight="1">
      <c r="A49" s="99"/>
      <c r="B49" s="98"/>
      <c r="C49" s="106"/>
      <c r="D49" s="107"/>
      <c r="E49" s="104"/>
      <c r="F49" s="104"/>
      <c r="G49" s="89"/>
      <c r="H49" s="11" t="s">
        <v>662</v>
      </c>
      <c r="I49" s="10">
        <v>27</v>
      </c>
      <c r="J49" s="7">
        <v>1</v>
      </c>
      <c r="K49" s="7">
        <v>4</v>
      </c>
      <c r="L49" s="16">
        <v>91</v>
      </c>
      <c r="M49" s="96" t="s">
        <v>563</v>
      </c>
      <c r="N49" s="96" t="s">
        <v>583</v>
      </c>
      <c r="O49" s="96" t="s">
        <v>5</v>
      </c>
      <c r="P49" s="10"/>
      <c r="Q49" s="214">
        <f>Q50</f>
        <v>0.5</v>
      </c>
      <c r="R49" s="214">
        <v>0</v>
      </c>
      <c r="S49" s="214">
        <v>0</v>
      </c>
    </row>
    <row r="50" spans="1:19" ht="24" customHeight="1">
      <c r="A50" s="99"/>
      <c r="B50" s="98"/>
      <c r="C50" s="106"/>
      <c r="D50" s="107"/>
      <c r="E50" s="104"/>
      <c r="F50" s="104"/>
      <c r="G50" s="89"/>
      <c r="H50" s="11" t="s">
        <v>720</v>
      </c>
      <c r="I50" s="10">
        <v>27</v>
      </c>
      <c r="J50" s="7">
        <v>1</v>
      </c>
      <c r="K50" s="7">
        <v>4</v>
      </c>
      <c r="L50" s="16">
        <v>91</v>
      </c>
      <c r="M50" s="96" t="s">
        <v>563</v>
      </c>
      <c r="N50" s="96" t="s">
        <v>583</v>
      </c>
      <c r="O50" s="96" t="s">
        <v>5</v>
      </c>
      <c r="P50" s="10">
        <v>240</v>
      </c>
      <c r="Q50" s="214">
        <v>0.5</v>
      </c>
      <c r="R50" s="214">
        <v>0</v>
      </c>
      <c r="S50" s="214">
        <v>0</v>
      </c>
    </row>
    <row r="51" spans="1:19" s="179" customFormat="1" ht="27.75" customHeight="1">
      <c r="A51" s="142"/>
      <c r="B51" s="143"/>
      <c r="C51" s="157"/>
      <c r="D51" s="170"/>
      <c r="E51" s="145"/>
      <c r="F51" s="145"/>
      <c r="G51" s="136"/>
      <c r="H51" s="137" t="s">
        <v>616</v>
      </c>
      <c r="I51" s="138">
        <v>27</v>
      </c>
      <c r="J51" s="148">
        <v>1</v>
      </c>
      <c r="K51" s="148">
        <v>5</v>
      </c>
      <c r="L51" s="139"/>
      <c r="M51" s="141"/>
      <c r="N51" s="141"/>
      <c r="O51" s="141"/>
      <c r="P51" s="138"/>
      <c r="Q51" s="213">
        <f aca="true" t="shared" si="2" ref="Q51:S52">Q52</f>
        <v>9.4</v>
      </c>
      <c r="R51" s="213">
        <f t="shared" si="2"/>
        <v>10.1</v>
      </c>
      <c r="S51" s="213">
        <f t="shared" si="2"/>
        <v>28.7</v>
      </c>
    </row>
    <row r="52" spans="1:19" ht="36.75" customHeight="1">
      <c r="A52" s="99"/>
      <c r="B52" s="98"/>
      <c r="C52" s="106"/>
      <c r="D52" s="107"/>
      <c r="E52" s="104"/>
      <c r="F52" s="104"/>
      <c r="G52" s="89"/>
      <c r="H52" s="11" t="s">
        <v>764</v>
      </c>
      <c r="I52" s="10">
        <v>27</v>
      </c>
      <c r="J52" s="7">
        <v>1</v>
      </c>
      <c r="K52" s="7">
        <v>5</v>
      </c>
      <c r="L52" s="16">
        <v>91</v>
      </c>
      <c r="M52" s="96" t="s">
        <v>563</v>
      </c>
      <c r="N52" s="96" t="s">
        <v>583</v>
      </c>
      <c r="O52" s="96" t="s">
        <v>763</v>
      </c>
      <c r="P52" s="10"/>
      <c r="Q52" s="214">
        <f t="shared" si="2"/>
        <v>9.4</v>
      </c>
      <c r="R52" s="214">
        <f t="shared" si="2"/>
        <v>10.1</v>
      </c>
      <c r="S52" s="214">
        <f t="shared" si="2"/>
        <v>28.7</v>
      </c>
    </row>
    <row r="53" spans="1:19" ht="27.75" customHeight="1">
      <c r="A53" s="99"/>
      <c r="B53" s="98"/>
      <c r="C53" s="106"/>
      <c r="D53" s="107"/>
      <c r="E53" s="104"/>
      <c r="F53" s="104"/>
      <c r="G53" s="89"/>
      <c r="H53" s="11" t="s">
        <v>720</v>
      </c>
      <c r="I53" s="10">
        <v>27</v>
      </c>
      <c r="J53" s="7">
        <v>1</v>
      </c>
      <c r="K53" s="7">
        <v>5</v>
      </c>
      <c r="L53" s="16">
        <v>91</v>
      </c>
      <c r="M53" s="96" t="s">
        <v>563</v>
      </c>
      <c r="N53" s="96" t="s">
        <v>583</v>
      </c>
      <c r="O53" s="96" t="s">
        <v>763</v>
      </c>
      <c r="P53" s="10">
        <v>240</v>
      </c>
      <c r="Q53" s="214">
        <v>9.4</v>
      </c>
      <c r="R53" s="214">
        <v>10.1</v>
      </c>
      <c r="S53" s="214">
        <v>28.7</v>
      </c>
    </row>
    <row r="54" spans="1:19" s="179" customFormat="1" ht="36.75" customHeight="1">
      <c r="A54" s="142"/>
      <c r="B54" s="143"/>
      <c r="C54" s="153"/>
      <c r="D54" s="150"/>
      <c r="E54" s="379">
        <v>5201000</v>
      </c>
      <c r="F54" s="379"/>
      <c r="G54" s="136">
        <v>530</v>
      </c>
      <c r="H54" s="137" t="s">
        <v>371</v>
      </c>
      <c r="I54" s="138">
        <v>661</v>
      </c>
      <c r="J54" s="148">
        <v>1</v>
      </c>
      <c r="K54" s="148">
        <v>6</v>
      </c>
      <c r="L54" s="140" t="s">
        <v>534</v>
      </c>
      <c r="M54" s="141" t="s">
        <v>534</v>
      </c>
      <c r="N54" s="141"/>
      <c r="O54" s="141" t="s">
        <v>534</v>
      </c>
      <c r="P54" s="146" t="s">
        <v>534</v>
      </c>
      <c r="Q54" s="217">
        <f>Q55+Q74+Q80+Q78</f>
        <v>8772.5</v>
      </c>
      <c r="R54" s="217">
        <f>R55+R74+R80</f>
        <v>8314.5</v>
      </c>
      <c r="S54" s="217">
        <f>S55+S74+S80</f>
        <v>8314.5</v>
      </c>
    </row>
    <row r="55" spans="1:19" ht="36.75" customHeight="1">
      <c r="A55" s="97"/>
      <c r="B55" s="98"/>
      <c r="C55" s="103"/>
      <c r="D55" s="101"/>
      <c r="E55" s="104"/>
      <c r="F55" s="104"/>
      <c r="G55" s="89"/>
      <c r="H55" s="11" t="s">
        <v>35</v>
      </c>
      <c r="I55" s="10">
        <v>661</v>
      </c>
      <c r="J55" s="7">
        <v>1</v>
      </c>
      <c r="K55" s="7">
        <v>6</v>
      </c>
      <c r="L55" s="95" t="s">
        <v>596</v>
      </c>
      <c r="M55" s="96" t="s">
        <v>563</v>
      </c>
      <c r="N55" s="96" t="s">
        <v>583</v>
      </c>
      <c r="O55" s="96" t="s">
        <v>620</v>
      </c>
      <c r="P55" s="6"/>
      <c r="Q55" s="216">
        <f>Q56+Q60</f>
        <v>7013.299999999999</v>
      </c>
      <c r="R55" s="216">
        <f>R56+R60</f>
        <v>6771.8</v>
      </c>
      <c r="S55" s="216">
        <f>S56+S60</f>
        <v>6771.8</v>
      </c>
    </row>
    <row r="56" spans="1:19" ht="36.75" customHeight="1">
      <c r="A56" s="97"/>
      <c r="B56" s="98"/>
      <c r="C56" s="114"/>
      <c r="D56" s="107"/>
      <c r="E56" s="104"/>
      <c r="F56" s="104"/>
      <c r="G56" s="89"/>
      <c r="H56" s="11" t="s">
        <v>36</v>
      </c>
      <c r="I56" s="10">
        <v>661</v>
      </c>
      <c r="J56" s="7">
        <v>1</v>
      </c>
      <c r="K56" s="7">
        <v>6</v>
      </c>
      <c r="L56" s="95" t="s">
        <v>596</v>
      </c>
      <c r="M56" s="96" t="s">
        <v>565</v>
      </c>
      <c r="N56" s="96" t="s">
        <v>583</v>
      </c>
      <c r="O56" s="96" t="s">
        <v>620</v>
      </c>
      <c r="P56" s="6"/>
      <c r="Q56" s="216">
        <f>Q57</f>
        <v>50</v>
      </c>
      <c r="R56" s="216">
        <f aca="true" t="shared" si="3" ref="R56:S58">R57</f>
        <v>50</v>
      </c>
      <c r="S56" s="216">
        <f t="shared" si="3"/>
        <v>50</v>
      </c>
    </row>
    <row r="57" spans="1:19" ht="36.75" customHeight="1">
      <c r="A57" s="97"/>
      <c r="B57" s="98"/>
      <c r="C57" s="114"/>
      <c r="D57" s="107"/>
      <c r="E57" s="104"/>
      <c r="F57" s="104"/>
      <c r="G57" s="89"/>
      <c r="H57" s="11" t="s">
        <v>37</v>
      </c>
      <c r="I57" s="10">
        <v>661</v>
      </c>
      <c r="J57" s="7">
        <v>1</v>
      </c>
      <c r="K57" s="7">
        <v>6</v>
      </c>
      <c r="L57" s="95" t="s">
        <v>596</v>
      </c>
      <c r="M57" s="96" t="s">
        <v>565</v>
      </c>
      <c r="N57" s="96" t="s">
        <v>564</v>
      </c>
      <c r="O57" s="96" t="s">
        <v>620</v>
      </c>
      <c r="P57" s="6"/>
      <c r="Q57" s="216">
        <f>Q58</f>
        <v>50</v>
      </c>
      <c r="R57" s="216">
        <f t="shared" si="3"/>
        <v>50</v>
      </c>
      <c r="S57" s="216">
        <f t="shared" si="3"/>
        <v>50</v>
      </c>
    </row>
    <row r="58" spans="1:19" ht="21.75" customHeight="1">
      <c r="A58" s="97"/>
      <c r="B58" s="98"/>
      <c r="C58" s="114"/>
      <c r="D58" s="107"/>
      <c r="E58" s="104"/>
      <c r="F58" s="104"/>
      <c r="G58" s="89"/>
      <c r="H58" s="11" t="s">
        <v>342</v>
      </c>
      <c r="I58" s="10">
        <v>661</v>
      </c>
      <c r="J58" s="7">
        <v>1</v>
      </c>
      <c r="K58" s="7">
        <v>6</v>
      </c>
      <c r="L58" s="95" t="s">
        <v>596</v>
      </c>
      <c r="M58" s="96" t="s">
        <v>565</v>
      </c>
      <c r="N58" s="96" t="s">
        <v>564</v>
      </c>
      <c r="O58" s="96" t="s">
        <v>648</v>
      </c>
      <c r="P58" s="6"/>
      <c r="Q58" s="216">
        <f>Q59</f>
        <v>50</v>
      </c>
      <c r="R58" s="216">
        <f t="shared" si="3"/>
        <v>50</v>
      </c>
      <c r="S58" s="216">
        <f t="shared" si="3"/>
        <v>50</v>
      </c>
    </row>
    <row r="59" spans="1:19" ht="28.5" customHeight="1">
      <c r="A59" s="97"/>
      <c r="B59" s="98"/>
      <c r="C59" s="114"/>
      <c r="D59" s="107"/>
      <c r="E59" s="104"/>
      <c r="F59" s="104"/>
      <c r="G59" s="89"/>
      <c r="H59" s="11" t="s">
        <v>720</v>
      </c>
      <c r="I59" s="10">
        <v>661</v>
      </c>
      <c r="J59" s="7">
        <v>1</v>
      </c>
      <c r="K59" s="7">
        <v>6</v>
      </c>
      <c r="L59" s="95" t="s">
        <v>596</v>
      </c>
      <c r="M59" s="96" t="s">
        <v>565</v>
      </c>
      <c r="N59" s="96" t="s">
        <v>564</v>
      </c>
      <c r="O59" s="96" t="s">
        <v>648</v>
      </c>
      <c r="P59" s="6">
        <v>240</v>
      </c>
      <c r="Q59" s="216">
        <v>50</v>
      </c>
      <c r="R59" s="216">
        <v>50</v>
      </c>
      <c r="S59" s="216">
        <v>50</v>
      </c>
    </row>
    <row r="60" spans="1:19" ht="38.25" customHeight="1">
      <c r="A60" s="97"/>
      <c r="B60" s="98"/>
      <c r="C60" s="114"/>
      <c r="D60" s="94"/>
      <c r="E60" s="94"/>
      <c r="F60" s="94"/>
      <c r="G60" s="89"/>
      <c r="H60" s="11" t="s">
        <v>34</v>
      </c>
      <c r="I60" s="10">
        <v>661</v>
      </c>
      <c r="J60" s="7">
        <v>1</v>
      </c>
      <c r="K60" s="7">
        <v>6</v>
      </c>
      <c r="L60" s="95" t="s">
        <v>596</v>
      </c>
      <c r="M60" s="96" t="s">
        <v>560</v>
      </c>
      <c r="N60" s="96" t="s">
        <v>583</v>
      </c>
      <c r="O60" s="96" t="s">
        <v>620</v>
      </c>
      <c r="P60" s="10"/>
      <c r="Q60" s="214">
        <f>Q61</f>
        <v>6963.299999999999</v>
      </c>
      <c r="R60" s="214">
        <f>R61</f>
        <v>6721.8</v>
      </c>
      <c r="S60" s="214">
        <f>S61</f>
        <v>6721.8</v>
      </c>
    </row>
    <row r="61" spans="1:19" ht="62.25" customHeight="1">
      <c r="A61" s="97"/>
      <c r="B61" s="98"/>
      <c r="C61" s="114"/>
      <c r="D61" s="111"/>
      <c r="E61" s="114"/>
      <c r="F61" s="114"/>
      <c r="G61" s="89"/>
      <c r="H61" s="11" t="s">
        <v>33</v>
      </c>
      <c r="I61" s="10">
        <v>661</v>
      </c>
      <c r="J61" s="7">
        <v>1</v>
      </c>
      <c r="K61" s="7">
        <v>6</v>
      </c>
      <c r="L61" s="95" t="s">
        <v>596</v>
      </c>
      <c r="M61" s="96" t="s">
        <v>560</v>
      </c>
      <c r="N61" s="96" t="s">
        <v>564</v>
      </c>
      <c r="O61" s="96" t="s">
        <v>620</v>
      </c>
      <c r="P61" s="6"/>
      <c r="Q61" s="216">
        <f>Q62+Q68+Q71+Q66</f>
        <v>6963.299999999999</v>
      </c>
      <c r="R61" s="216">
        <f>R62+R68+R71</f>
        <v>6721.8</v>
      </c>
      <c r="S61" s="216">
        <f>S62+S68+S71</f>
        <v>6721.8</v>
      </c>
    </row>
    <row r="62" spans="1:19" ht="33.75" customHeight="1">
      <c r="A62" s="99"/>
      <c r="B62" s="98"/>
      <c r="C62" s="103"/>
      <c r="D62" s="101"/>
      <c r="E62" s="104"/>
      <c r="F62" s="104"/>
      <c r="G62" s="105">
        <v>530</v>
      </c>
      <c r="H62" s="11" t="s">
        <v>342</v>
      </c>
      <c r="I62" s="10">
        <v>661</v>
      </c>
      <c r="J62" s="7">
        <v>1</v>
      </c>
      <c r="K62" s="7">
        <v>6</v>
      </c>
      <c r="L62" s="16">
        <v>11</v>
      </c>
      <c r="M62" s="96" t="s">
        <v>560</v>
      </c>
      <c r="N62" s="96" t="s">
        <v>564</v>
      </c>
      <c r="O62" s="96" t="s">
        <v>648</v>
      </c>
      <c r="P62" s="6" t="s">
        <v>534</v>
      </c>
      <c r="Q62" s="216">
        <f>SUM(Q63:Q65)</f>
        <v>4810.099999999999</v>
      </c>
      <c r="R62" s="216">
        <f>SUM(R63:R65)</f>
        <v>6721.8</v>
      </c>
      <c r="S62" s="216">
        <f>SUM(S63:S65)</f>
        <v>6721.8</v>
      </c>
    </row>
    <row r="63" spans="1:19" ht="22.5" customHeight="1">
      <c r="A63" s="110"/>
      <c r="B63" s="111"/>
      <c r="C63" s="106"/>
      <c r="D63" s="107"/>
      <c r="E63" s="104"/>
      <c r="F63" s="104"/>
      <c r="G63" s="89"/>
      <c r="H63" s="11" t="s">
        <v>533</v>
      </c>
      <c r="I63" s="6">
        <v>661</v>
      </c>
      <c r="J63" s="7">
        <v>1</v>
      </c>
      <c r="K63" s="7">
        <v>6</v>
      </c>
      <c r="L63" s="16">
        <v>11</v>
      </c>
      <c r="M63" s="96" t="s">
        <v>560</v>
      </c>
      <c r="N63" s="96" t="s">
        <v>564</v>
      </c>
      <c r="O63" s="96" t="s">
        <v>648</v>
      </c>
      <c r="P63" s="6">
        <v>120</v>
      </c>
      <c r="Q63" s="216">
        <f>'Приложение 9'!Q390</f>
        <v>3860.2999999999997</v>
      </c>
      <c r="R63" s="216">
        <v>3954</v>
      </c>
      <c r="S63" s="216">
        <v>3954</v>
      </c>
    </row>
    <row r="64" spans="1:19" ht="21.75" customHeight="1">
      <c r="A64" s="110"/>
      <c r="B64" s="112"/>
      <c r="C64" s="106"/>
      <c r="D64" s="109"/>
      <c r="E64" s="104"/>
      <c r="F64" s="104"/>
      <c r="G64" s="89"/>
      <c r="H64" s="5" t="s">
        <v>720</v>
      </c>
      <c r="I64" s="6">
        <v>661</v>
      </c>
      <c r="J64" s="7">
        <v>1</v>
      </c>
      <c r="K64" s="7">
        <v>6</v>
      </c>
      <c r="L64" s="16">
        <v>11</v>
      </c>
      <c r="M64" s="96" t="s">
        <v>560</v>
      </c>
      <c r="N64" s="96" t="s">
        <v>564</v>
      </c>
      <c r="O64" s="96" t="s">
        <v>648</v>
      </c>
      <c r="P64" s="6">
        <v>240</v>
      </c>
      <c r="Q64" s="214">
        <f>'Приложение 9'!Q391</f>
        <v>926.8</v>
      </c>
      <c r="R64" s="214">
        <v>2744.8</v>
      </c>
      <c r="S64" s="214">
        <v>2744.8</v>
      </c>
    </row>
    <row r="65" spans="1:19" ht="21.75" customHeight="1">
      <c r="A65" s="97"/>
      <c r="B65" s="98"/>
      <c r="C65" s="94"/>
      <c r="D65" s="94"/>
      <c r="E65" s="94"/>
      <c r="F65" s="94"/>
      <c r="G65" s="89"/>
      <c r="H65" s="11" t="s">
        <v>721</v>
      </c>
      <c r="I65" s="10">
        <v>661</v>
      </c>
      <c r="J65" s="7">
        <v>1</v>
      </c>
      <c r="K65" s="7">
        <v>6</v>
      </c>
      <c r="L65" s="95" t="s">
        <v>596</v>
      </c>
      <c r="M65" s="96" t="s">
        <v>560</v>
      </c>
      <c r="N65" s="96" t="s">
        <v>564</v>
      </c>
      <c r="O65" s="96" t="s">
        <v>648</v>
      </c>
      <c r="P65" s="10">
        <v>850</v>
      </c>
      <c r="Q65" s="214">
        <v>23</v>
      </c>
      <c r="R65" s="214">
        <v>23</v>
      </c>
      <c r="S65" s="214">
        <v>23</v>
      </c>
    </row>
    <row r="66" spans="1:19" ht="21.75" customHeight="1">
      <c r="A66" s="97"/>
      <c r="B66" s="98"/>
      <c r="C66" s="94"/>
      <c r="D66" s="94"/>
      <c r="E66" s="94"/>
      <c r="F66" s="94"/>
      <c r="G66" s="89"/>
      <c r="H66" s="11" t="str">
        <f>'Приложение 9'!H393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66" s="10">
        <f>'Приложение 9'!I393</f>
        <v>661</v>
      </c>
      <c r="J66" s="7">
        <f>'Приложение 9'!J393</f>
        <v>1</v>
      </c>
      <c r="K66" s="7">
        <f>'Приложение 9'!K393</f>
        <v>6</v>
      </c>
      <c r="L66" s="95" t="str">
        <f>'Приложение 9'!L393</f>
        <v>11</v>
      </c>
      <c r="M66" s="96" t="str">
        <f>'Приложение 9'!M393</f>
        <v>4</v>
      </c>
      <c r="N66" s="96" t="str">
        <f>'Приложение 9'!N393</f>
        <v>01</v>
      </c>
      <c r="O66" s="96" t="str">
        <f>'Приложение 9'!O393</f>
        <v>70030</v>
      </c>
      <c r="P66" s="10" t="s">
        <v>621</v>
      </c>
      <c r="Q66" s="214">
        <f>Q67</f>
        <v>722</v>
      </c>
      <c r="R66" s="214"/>
      <c r="S66" s="214"/>
    </row>
    <row r="67" spans="1:19" ht="21.75" customHeight="1">
      <c r="A67" s="97"/>
      <c r="B67" s="98"/>
      <c r="C67" s="94"/>
      <c r="D67" s="94"/>
      <c r="E67" s="94"/>
      <c r="F67" s="94"/>
      <c r="G67" s="89"/>
      <c r="H67" s="11" t="str">
        <f>'Приложение 9'!H394</f>
        <v>Расходы на выплаты персоналу государственных (муниципальных) органов</v>
      </c>
      <c r="I67" s="10">
        <f>'Приложение 9'!I394</f>
        <v>661</v>
      </c>
      <c r="J67" s="7">
        <f>'Приложение 9'!J394</f>
        <v>1</v>
      </c>
      <c r="K67" s="7">
        <f>'Приложение 9'!K394</f>
        <v>6</v>
      </c>
      <c r="L67" s="95" t="str">
        <f>'Приложение 9'!L394</f>
        <v>11</v>
      </c>
      <c r="M67" s="96" t="str">
        <f>'Приложение 9'!M394</f>
        <v>4</v>
      </c>
      <c r="N67" s="96" t="str">
        <f>'Приложение 9'!N394</f>
        <v>01</v>
      </c>
      <c r="O67" s="96" t="str">
        <f>'Приложение 9'!O394</f>
        <v>70030</v>
      </c>
      <c r="P67" s="10">
        <f>'Приложение 9'!P394</f>
        <v>120</v>
      </c>
      <c r="Q67" s="214">
        <f>'Приложение 9'!Q394</f>
        <v>722</v>
      </c>
      <c r="R67" s="214"/>
      <c r="S67" s="214"/>
    </row>
    <row r="68" spans="1:19" ht="24" customHeight="1">
      <c r="A68" s="97"/>
      <c r="B68" s="98"/>
      <c r="C68" s="94"/>
      <c r="D68" s="94"/>
      <c r="E68" s="94"/>
      <c r="F68" s="94"/>
      <c r="G68" s="89"/>
      <c r="H68" s="11" t="s">
        <v>248</v>
      </c>
      <c r="I68" s="10">
        <v>661</v>
      </c>
      <c r="J68" s="7">
        <v>1</v>
      </c>
      <c r="K68" s="7">
        <v>6</v>
      </c>
      <c r="L68" s="95" t="s">
        <v>596</v>
      </c>
      <c r="M68" s="96" t="s">
        <v>560</v>
      </c>
      <c r="N68" s="96" t="s">
        <v>564</v>
      </c>
      <c r="O68" s="96" t="s">
        <v>246</v>
      </c>
      <c r="P68" s="10"/>
      <c r="Q68" s="221">
        <f>SUM(Q69:Q70)</f>
        <v>372.9</v>
      </c>
      <c r="R68" s="221"/>
      <c r="S68" s="221"/>
    </row>
    <row r="69" spans="1:19" ht="24" customHeight="1">
      <c r="A69" s="97"/>
      <c r="B69" s="98"/>
      <c r="C69" s="94"/>
      <c r="D69" s="94"/>
      <c r="E69" s="94"/>
      <c r="F69" s="94"/>
      <c r="G69" s="89"/>
      <c r="H69" s="11" t="s">
        <v>533</v>
      </c>
      <c r="I69" s="10">
        <v>661</v>
      </c>
      <c r="J69" s="7">
        <v>1</v>
      </c>
      <c r="K69" s="7">
        <v>6</v>
      </c>
      <c r="L69" s="95" t="s">
        <v>596</v>
      </c>
      <c r="M69" s="96" t="s">
        <v>560</v>
      </c>
      <c r="N69" s="96" t="s">
        <v>564</v>
      </c>
      <c r="O69" s="96" t="s">
        <v>246</v>
      </c>
      <c r="P69" s="10">
        <v>120</v>
      </c>
      <c r="Q69" s="221">
        <f>'Приложение 9'!Q396</f>
        <v>371.9</v>
      </c>
      <c r="R69" s="221"/>
      <c r="S69" s="221"/>
    </row>
    <row r="70" spans="1:19" ht="29.25" customHeight="1">
      <c r="A70" s="97"/>
      <c r="B70" s="98"/>
      <c r="C70" s="94"/>
      <c r="D70" s="94"/>
      <c r="E70" s="94"/>
      <c r="F70" s="94"/>
      <c r="G70" s="89"/>
      <c r="H70" s="11" t="s">
        <v>720</v>
      </c>
      <c r="I70" s="10">
        <v>661</v>
      </c>
      <c r="J70" s="7">
        <v>1</v>
      </c>
      <c r="K70" s="7">
        <v>6</v>
      </c>
      <c r="L70" s="95" t="s">
        <v>596</v>
      </c>
      <c r="M70" s="96" t="s">
        <v>560</v>
      </c>
      <c r="N70" s="96" t="s">
        <v>564</v>
      </c>
      <c r="O70" s="96" t="s">
        <v>246</v>
      </c>
      <c r="P70" s="10">
        <v>240</v>
      </c>
      <c r="Q70" s="214">
        <v>1</v>
      </c>
      <c r="R70" s="221"/>
      <c r="S70" s="221"/>
    </row>
    <row r="71" spans="1:19" ht="31.5" customHeight="1">
      <c r="A71" s="97"/>
      <c r="B71" s="98"/>
      <c r="C71" s="94"/>
      <c r="D71" s="94"/>
      <c r="E71" s="94"/>
      <c r="F71" s="94"/>
      <c r="G71" s="89"/>
      <c r="H71" s="11" t="s">
        <v>249</v>
      </c>
      <c r="I71" s="10">
        <v>661</v>
      </c>
      <c r="J71" s="7">
        <v>1</v>
      </c>
      <c r="K71" s="7">
        <v>6</v>
      </c>
      <c r="L71" s="95" t="s">
        <v>596</v>
      </c>
      <c r="M71" s="96" t="s">
        <v>560</v>
      </c>
      <c r="N71" s="96" t="s">
        <v>564</v>
      </c>
      <c r="O71" s="96" t="s">
        <v>247</v>
      </c>
      <c r="P71" s="10"/>
      <c r="Q71" s="221">
        <f>SUM(Q72:Q73)</f>
        <v>1058.3</v>
      </c>
      <c r="R71" s="221"/>
      <c r="S71" s="221"/>
    </row>
    <row r="72" spans="1:19" ht="22.5" customHeight="1">
      <c r="A72" s="97"/>
      <c r="B72" s="98"/>
      <c r="C72" s="94"/>
      <c r="D72" s="94"/>
      <c r="E72" s="94"/>
      <c r="F72" s="94"/>
      <c r="G72" s="89"/>
      <c r="H72" s="11" t="s">
        <v>533</v>
      </c>
      <c r="I72" s="10">
        <v>661</v>
      </c>
      <c r="J72" s="7">
        <v>1</v>
      </c>
      <c r="K72" s="7">
        <v>6</v>
      </c>
      <c r="L72" s="95" t="s">
        <v>596</v>
      </c>
      <c r="M72" s="96" t="s">
        <v>560</v>
      </c>
      <c r="N72" s="96" t="s">
        <v>564</v>
      </c>
      <c r="O72" s="96" t="s">
        <v>247</v>
      </c>
      <c r="P72" s="10">
        <v>120</v>
      </c>
      <c r="Q72" s="221">
        <f>'Приложение 9'!Q399</f>
        <v>999.1</v>
      </c>
      <c r="R72" s="221"/>
      <c r="S72" s="221"/>
    </row>
    <row r="73" spans="1:19" ht="24" customHeight="1">
      <c r="A73" s="97"/>
      <c r="B73" s="98"/>
      <c r="C73" s="106"/>
      <c r="D73" s="111"/>
      <c r="E73" s="114"/>
      <c r="F73" s="114"/>
      <c r="G73" s="89"/>
      <c r="H73" s="11" t="s">
        <v>720</v>
      </c>
      <c r="I73" s="6">
        <v>661</v>
      </c>
      <c r="J73" s="7">
        <v>1</v>
      </c>
      <c r="K73" s="7">
        <v>6</v>
      </c>
      <c r="L73" s="95" t="s">
        <v>596</v>
      </c>
      <c r="M73" s="96" t="s">
        <v>560</v>
      </c>
      <c r="N73" s="96" t="s">
        <v>564</v>
      </c>
      <c r="O73" s="96" t="s">
        <v>247</v>
      </c>
      <c r="P73" s="10">
        <v>240</v>
      </c>
      <c r="Q73" s="214">
        <v>59.2</v>
      </c>
      <c r="R73" s="214"/>
      <c r="S73" s="214"/>
    </row>
    <row r="74" spans="1:19" ht="22.5" customHeight="1">
      <c r="A74" s="99"/>
      <c r="B74" s="98"/>
      <c r="C74" s="103"/>
      <c r="D74" s="101"/>
      <c r="E74" s="113"/>
      <c r="F74" s="113">
        <v>5250104</v>
      </c>
      <c r="G74" s="105">
        <v>530</v>
      </c>
      <c r="H74" s="11" t="s">
        <v>342</v>
      </c>
      <c r="I74" s="10">
        <v>658</v>
      </c>
      <c r="J74" s="7">
        <v>1</v>
      </c>
      <c r="K74" s="7">
        <v>6</v>
      </c>
      <c r="L74" s="16" t="s">
        <v>580</v>
      </c>
      <c r="M74" s="96" t="s">
        <v>563</v>
      </c>
      <c r="N74" s="96" t="s">
        <v>583</v>
      </c>
      <c r="O74" s="96" t="s">
        <v>648</v>
      </c>
      <c r="P74" s="10" t="s">
        <v>534</v>
      </c>
      <c r="Q74" s="214">
        <f>SUM(Q75:Q77)</f>
        <v>1291.6</v>
      </c>
      <c r="R74" s="214">
        <f>SUM(R75:R76)</f>
        <v>1542.6999999999998</v>
      </c>
      <c r="S74" s="214">
        <f>SUM(S75:S76)</f>
        <v>1542.6999999999998</v>
      </c>
    </row>
    <row r="75" spans="1:19" ht="22.5" customHeight="1">
      <c r="A75" s="99"/>
      <c r="B75" s="98"/>
      <c r="C75" s="103"/>
      <c r="D75" s="101"/>
      <c r="E75" s="113"/>
      <c r="F75" s="113"/>
      <c r="G75" s="105"/>
      <c r="H75" s="11" t="s">
        <v>533</v>
      </c>
      <c r="I75" s="6">
        <v>658</v>
      </c>
      <c r="J75" s="7">
        <v>1</v>
      </c>
      <c r="K75" s="7">
        <v>6</v>
      </c>
      <c r="L75" s="16">
        <v>91</v>
      </c>
      <c r="M75" s="96" t="s">
        <v>563</v>
      </c>
      <c r="N75" s="96" t="s">
        <v>583</v>
      </c>
      <c r="O75" s="96" t="s">
        <v>648</v>
      </c>
      <c r="P75" s="10">
        <v>120</v>
      </c>
      <c r="Q75" s="214">
        <f>'Приложение 9'!Q358</f>
        <v>1273.5</v>
      </c>
      <c r="R75" s="214">
        <v>1273.6</v>
      </c>
      <c r="S75" s="214">
        <v>1273.6</v>
      </c>
    </row>
    <row r="76" spans="1:19" ht="20.25" customHeight="1">
      <c r="A76" s="99"/>
      <c r="B76" s="98"/>
      <c r="C76" s="103"/>
      <c r="D76" s="101"/>
      <c r="E76" s="113"/>
      <c r="F76" s="113"/>
      <c r="G76" s="105"/>
      <c r="H76" s="5" t="s">
        <v>720</v>
      </c>
      <c r="I76" s="8">
        <v>658</v>
      </c>
      <c r="J76" s="7">
        <v>1</v>
      </c>
      <c r="K76" s="7">
        <v>6</v>
      </c>
      <c r="L76" s="16">
        <v>91</v>
      </c>
      <c r="M76" s="96" t="s">
        <v>563</v>
      </c>
      <c r="N76" s="96" t="s">
        <v>583</v>
      </c>
      <c r="O76" s="96" t="s">
        <v>648</v>
      </c>
      <c r="P76" s="6">
        <v>240</v>
      </c>
      <c r="Q76" s="214">
        <f>269.1-251.1</f>
        <v>18.00000000000003</v>
      </c>
      <c r="R76" s="214">
        <v>269.1</v>
      </c>
      <c r="S76" s="214">
        <v>269.1</v>
      </c>
    </row>
    <row r="77" spans="1:19" ht="20.25" customHeight="1">
      <c r="A77" s="99"/>
      <c r="B77" s="98"/>
      <c r="C77" s="103"/>
      <c r="D77" s="101"/>
      <c r="E77" s="104"/>
      <c r="F77" s="104"/>
      <c r="G77" s="89"/>
      <c r="H77" s="11" t="str">
        <f>'Приложение 9'!H360</f>
        <v>Уплата налогов, сборов и иных платежей</v>
      </c>
      <c r="I77" s="13">
        <f>'Приложение 9'!I360</f>
        <v>658</v>
      </c>
      <c r="J77" s="7">
        <f>'Приложение 9'!J360</f>
        <v>1</v>
      </c>
      <c r="K77" s="7">
        <f>'Приложение 9'!K360</f>
        <v>6</v>
      </c>
      <c r="L77" s="16">
        <f>'Приложение 9'!L360</f>
        <v>91</v>
      </c>
      <c r="M77" s="96" t="str">
        <f>'Приложение 9'!M360</f>
        <v>0</v>
      </c>
      <c r="N77" s="96" t="str">
        <f>'Приложение 9'!N360</f>
        <v>00</v>
      </c>
      <c r="O77" s="96" t="str">
        <f>'Приложение 9'!O360</f>
        <v>00190</v>
      </c>
      <c r="P77" s="10">
        <f>'Приложение 9'!P360</f>
        <v>850</v>
      </c>
      <c r="Q77" s="214">
        <f>'Приложение 9'!Q360</f>
        <v>0.1</v>
      </c>
      <c r="R77" s="214"/>
      <c r="S77" s="214"/>
    </row>
    <row r="78" spans="1:19" ht="31.5" customHeight="1">
      <c r="A78" s="99"/>
      <c r="B78" s="98"/>
      <c r="C78" s="103"/>
      <c r="D78" s="101"/>
      <c r="E78" s="104"/>
      <c r="F78" s="104"/>
      <c r="G78" s="89"/>
      <c r="H78" s="11" t="str">
        <f>'Приложение 9'!H361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78" s="13">
        <f>'Приложение 9'!I361</f>
        <v>658</v>
      </c>
      <c r="J78" s="7">
        <f>'Приложение 9'!J361</f>
        <v>1</v>
      </c>
      <c r="K78" s="7">
        <f>'Приложение 9'!K361</f>
        <v>6</v>
      </c>
      <c r="L78" s="16">
        <f>'Приложение 9'!L361</f>
        <v>91</v>
      </c>
      <c r="M78" s="96" t="str">
        <f>'Приложение 9'!M361</f>
        <v>0</v>
      </c>
      <c r="N78" s="96" t="str">
        <f>'Приложение 9'!N361</f>
        <v>00</v>
      </c>
      <c r="O78" s="96" t="str">
        <f>'Приложение 9'!O361</f>
        <v>70030</v>
      </c>
      <c r="P78" s="10" t="s">
        <v>621</v>
      </c>
      <c r="Q78" s="214">
        <f>Q79</f>
        <v>251.1</v>
      </c>
      <c r="R78" s="214"/>
      <c r="S78" s="214"/>
    </row>
    <row r="79" spans="1:19" ht="20.25" customHeight="1">
      <c r="A79" s="99"/>
      <c r="B79" s="98"/>
      <c r="C79" s="103"/>
      <c r="D79" s="101"/>
      <c r="E79" s="104"/>
      <c r="F79" s="104"/>
      <c r="G79" s="89"/>
      <c r="H79" s="11" t="str">
        <f>'Приложение 9'!H362</f>
        <v>Расходы на выплаты персоналу государственных (муниципальных) органов</v>
      </c>
      <c r="I79" s="13">
        <f>'Приложение 9'!I362</f>
        <v>658</v>
      </c>
      <c r="J79" s="7">
        <f>'Приложение 9'!J362</f>
        <v>1</v>
      </c>
      <c r="K79" s="7">
        <f>'Приложение 9'!K362</f>
        <v>6</v>
      </c>
      <c r="L79" s="16">
        <f>'Приложение 9'!L362</f>
        <v>91</v>
      </c>
      <c r="M79" s="96" t="str">
        <f>'Приложение 9'!M362</f>
        <v>0</v>
      </c>
      <c r="N79" s="96" t="str">
        <f>'Приложение 9'!N362</f>
        <v>00</v>
      </c>
      <c r="O79" s="96" t="str">
        <f>'Приложение 9'!O362</f>
        <v>70030</v>
      </c>
      <c r="P79" s="10">
        <f>'Приложение 9'!P362</f>
        <v>120</v>
      </c>
      <c r="Q79" s="214">
        <f>'Приложение 9'!Q362</f>
        <v>251.1</v>
      </c>
      <c r="R79" s="214"/>
      <c r="S79" s="214"/>
    </row>
    <row r="80" spans="1:19" ht="21.75" customHeight="1">
      <c r="A80" s="99"/>
      <c r="B80" s="98"/>
      <c r="C80" s="103"/>
      <c r="D80" s="101"/>
      <c r="E80" s="104"/>
      <c r="F80" s="104"/>
      <c r="G80" s="89"/>
      <c r="H80" s="11" t="s">
        <v>243</v>
      </c>
      <c r="I80" s="10">
        <v>658</v>
      </c>
      <c r="J80" s="7">
        <v>1</v>
      </c>
      <c r="K80" s="7">
        <v>6</v>
      </c>
      <c r="L80" s="16">
        <v>91</v>
      </c>
      <c r="M80" s="96" t="s">
        <v>563</v>
      </c>
      <c r="N80" s="96" t="s">
        <v>583</v>
      </c>
      <c r="O80" s="96" t="s">
        <v>242</v>
      </c>
      <c r="P80" s="10"/>
      <c r="Q80" s="214">
        <f>SUM(Q81:Q82)</f>
        <v>216.5</v>
      </c>
      <c r="R80" s="214"/>
      <c r="S80" s="214"/>
    </row>
    <row r="81" spans="1:19" ht="21" customHeight="1">
      <c r="A81" s="99"/>
      <c r="B81" s="98"/>
      <c r="C81" s="103"/>
      <c r="D81" s="101"/>
      <c r="E81" s="104"/>
      <c r="F81" s="104"/>
      <c r="G81" s="89"/>
      <c r="H81" s="11" t="s">
        <v>533</v>
      </c>
      <c r="I81" s="10">
        <v>658</v>
      </c>
      <c r="J81" s="7">
        <v>1</v>
      </c>
      <c r="K81" s="7">
        <v>6</v>
      </c>
      <c r="L81" s="16">
        <v>91</v>
      </c>
      <c r="M81" s="96" t="s">
        <v>563</v>
      </c>
      <c r="N81" s="96" t="s">
        <v>583</v>
      </c>
      <c r="O81" s="96" t="s">
        <v>242</v>
      </c>
      <c r="P81" s="10">
        <v>120</v>
      </c>
      <c r="Q81" s="214">
        <f>'Приложение 9'!Q364</f>
        <v>194</v>
      </c>
      <c r="R81" s="214">
        <v>0</v>
      </c>
      <c r="S81" s="214">
        <v>0</v>
      </c>
    </row>
    <row r="82" spans="1:19" ht="28.5" customHeight="1">
      <c r="A82" s="99"/>
      <c r="B82" s="98"/>
      <c r="C82" s="103"/>
      <c r="D82" s="101"/>
      <c r="E82" s="104"/>
      <c r="F82" s="104"/>
      <c r="G82" s="89"/>
      <c r="H82" s="11" t="s">
        <v>720</v>
      </c>
      <c r="I82" s="10">
        <v>658</v>
      </c>
      <c r="J82" s="7">
        <v>1</v>
      </c>
      <c r="K82" s="7">
        <v>6</v>
      </c>
      <c r="L82" s="16">
        <v>91</v>
      </c>
      <c r="M82" s="96" t="s">
        <v>563</v>
      </c>
      <c r="N82" s="96" t="s">
        <v>583</v>
      </c>
      <c r="O82" s="96" t="s">
        <v>242</v>
      </c>
      <c r="P82" s="10">
        <v>240</v>
      </c>
      <c r="Q82" s="214">
        <f>'Приложение 9'!Q365</f>
        <v>22.5</v>
      </c>
      <c r="R82" s="214">
        <v>0</v>
      </c>
      <c r="S82" s="214">
        <v>0</v>
      </c>
    </row>
    <row r="83" spans="1:19" ht="27" customHeight="1">
      <c r="A83" s="99"/>
      <c r="B83" s="98"/>
      <c r="C83" s="103"/>
      <c r="D83" s="101"/>
      <c r="E83" s="104"/>
      <c r="F83" s="104"/>
      <c r="G83" s="89"/>
      <c r="H83" s="11" t="s">
        <v>721</v>
      </c>
      <c r="I83" s="10">
        <v>658</v>
      </c>
      <c r="J83" s="7">
        <v>1</v>
      </c>
      <c r="K83" s="7">
        <v>6</v>
      </c>
      <c r="L83" s="16">
        <v>91</v>
      </c>
      <c r="M83" s="96" t="s">
        <v>563</v>
      </c>
      <c r="N83" s="96" t="s">
        <v>583</v>
      </c>
      <c r="O83" s="96" t="s">
        <v>242</v>
      </c>
      <c r="P83" s="10">
        <v>850</v>
      </c>
      <c r="Q83" s="214">
        <v>1</v>
      </c>
      <c r="R83" s="214"/>
      <c r="S83" s="214"/>
    </row>
    <row r="84" spans="1:19" s="179" customFormat="1" ht="18.75" customHeight="1" hidden="1">
      <c r="A84" s="370">
        <v>1200</v>
      </c>
      <c r="B84" s="370"/>
      <c r="C84" s="371"/>
      <c r="D84" s="371"/>
      <c r="E84" s="371"/>
      <c r="F84" s="371"/>
      <c r="G84" s="136">
        <v>622</v>
      </c>
      <c r="H84" s="137" t="s">
        <v>370</v>
      </c>
      <c r="I84" s="138">
        <v>27</v>
      </c>
      <c r="J84" s="148">
        <v>1</v>
      </c>
      <c r="K84" s="148">
        <v>11</v>
      </c>
      <c r="L84" s="140" t="s">
        <v>534</v>
      </c>
      <c r="M84" s="141" t="s">
        <v>534</v>
      </c>
      <c r="N84" s="141"/>
      <c r="O84" s="141" t="s">
        <v>534</v>
      </c>
      <c r="P84" s="138" t="s">
        <v>534</v>
      </c>
      <c r="Q84" s="213">
        <f aca="true" t="shared" si="4" ref="Q84:S86">Q85</f>
        <v>0</v>
      </c>
      <c r="R84" s="213">
        <f t="shared" si="4"/>
        <v>500</v>
      </c>
      <c r="S84" s="213">
        <f t="shared" si="4"/>
        <v>500</v>
      </c>
    </row>
    <row r="85" spans="1:19" ht="23.25" customHeight="1" hidden="1">
      <c r="A85" s="99"/>
      <c r="B85" s="98"/>
      <c r="C85" s="376">
        <v>1204</v>
      </c>
      <c r="D85" s="377"/>
      <c r="E85" s="377"/>
      <c r="F85" s="377"/>
      <c r="G85" s="89">
        <v>622</v>
      </c>
      <c r="H85" s="11" t="s">
        <v>370</v>
      </c>
      <c r="I85" s="10">
        <v>27</v>
      </c>
      <c r="J85" s="7">
        <v>1</v>
      </c>
      <c r="K85" s="7">
        <v>11</v>
      </c>
      <c r="L85" s="95">
        <v>70</v>
      </c>
      <c r="M85" s="96">
        <v>0</v>
      </c>
      <c r="N85" s="96" t="s">
        <v>583</v>
      </c>
      <c r="O85" s="96" t="s">
        <v>620</v>
      </c>
      <c r="P85" s="10" t="s">
        <v>534</v>
      </c>
      <c r="Q85" s="214">
        <f t="shared" si="4"/>
        <v>0</v>
      </c>
      <c r="R85" s="214">
        <f t="shared" si="4"/>
        <v>500</v>
      </c>
      <c r="S85" s="214">
        <f t="shared" si="4"/>
        <v>500</v>
      </c>
    </row>
    <row r="86" spans="1:19" ht="21" customHeight="1" hidden="1">
      <c r="A86" s="99"/>
      <c r="B86" s="98"/>
      <c r="C86" s="97"/>
      <c r="D86" s="363">
        <v>4440000</v>
      </c>
      <c r="E86" s="363"/>
      <c r="F86" s="363"/>
      <c r="G86" s="89">
        <v>621</v>
      </c>
      <c r="H86" s="11" t="s">
        <v>353</v>
      </c>
      <c r="I86" s="10">
        <v>27</v>
      </c>
      <c r="J86" s="7">
        <v>1</v>
      </c>
      <c r="K86" s="7">
        <v>11</v>
      </c>
      <c r="L86" s="95" t="s">
        <v>343</v>
      </c>
      <c r="M86" s="96" t="s">
        <v>586</v>
      </c>
      <c r="N86" s="96" t="s">
        <v>583</v>
      </c>
      <c r="O86" s="96" t="s">
        <v>620</v>
      </c>
      <c r="P86" s="10" t="s">
        <v>534</v>
      </c>
      <c r="Q86" s="214">
        <f t="shared" si="4"/>
        <v>0</v>
      </c>
      <c r="R86" s="214">
        <f t="shared" si="4"/>
        <v>500</v>
      </c>
      <c r="S86" s="214">
        <f t="shared" si="4"/>
        <v>500</v>
      </c>
    </row>
    <row r="87" spans="1:19" ht="23.25" customHeight="1" hidden="1">
      <c r="A87" s="99"/>
      <c r="B87" s="98"/>
      <c r="C87" s="103"/>
      <c r="D87" s="109"/>
      <c r="E87" s="104"/>
      <c r="F87" s="104"/>
      <c r="G87" s="105">
        <v>621</v>
      </c>
      <c r="H87" s="5" t="s">
        <v>551</v>
      </c>
      <c r="I87" s="8">
        <v>27</v>
      </c>
      <c r="J87" s="7">
        <v>1</v>
      </c>
      <c r="K87" s="7">
        <v>11</v>
      </c>
      <c r="L87" s="95" t="s">
        <v>343</v>
      </c>
      <c r="M87" s="96" t="s">
        <v>586</v>
      </c>
      <c r="N87" s="96" t="s">
        <v>583</v>
      </c>
      <c r="O87" s="96" t="s">
        <v>620</v>
      </c>
      <c r="P87" s="6">
        <v>870</v>
      </c>
      <c r="Q87" s="216">
        <f>'Приложение 9'!Q42</f>
        <v>0</v>
      </c>
      <c r="R87" s="216">
        <v>500</v>
      </c>
      <c r="S87" s="216">
        <v>500</v>
      </c>
    </row>
    <row r="88" spans="1:19" s="179" customFormat="1" ht="23.25" customHeight="1">
      <c r="A88" s="142"/>
      <c r="B88" s="143"/>
      <c r="C88" s="142"/>
      <c r="D88" s="144"/>
      <c r="E88" s="145"/>
      <c r="F88" s="145"/>
      <c r="G88" s="136"/>
      <c r="H88" s="137" t="s">
        <v>535</v>
      </c>
      <c r="I88" s="146">
        <v>27</v>
      </c>
      <c r="J88" s="148">
        <v>1</v>
      </c>
      <c r="K88" s="148">
        <v>13</v>
      </c>
      <c r="L88" s="140"/>
      <c r="M88" s="141"/>
      <c r="N88" s="141"/>
      <c r="O88" s="141"/>
      <c r="P88" s="146"/>
      <c r="Q88" s="217">
        <f>Q89+Q96+Q107+Q150+Q120+Q148</f>
        <v>72403.6</v>
      </c>
      <c r="R88" s="217" t="e">
        <f>R89+R96+R107+R150+#REF!+#REF!</f>
        <v>#REF!</v>
      </c>
      <c r="S88" s="217" t="e">
        <f>S89+S96+S107+S150+#REF!+#REF!</f>
        <v>#REF!</v>
      </c>
    </row>
    <row r="89" spans="1:19" ht="33.75" customHeight="1">
      <c r="A89" s="99"/>
      <c r="B89" s="98"/>
      <c r="C89" s="103"/>
      <c r="D89" s="101"/>
      <c r="E89" s="113"/>
      <c r="F89" s="113"/>
      <c r="G89" s="105"/>
      <c r="H89" s="3" t="s">
        <v>29</v>
      </c>
      <c r="I89" s="6">
        <v>28</v>
      </c>
      <c r="J89" s="7">
        <v>1</v>
      </c>
      <c r="K89" s="7">
        <v>13</v>
      </c>
      <c r="L89" s="95" t="s">
        <v>593</v>
      </c>
      <c r="M89" s="96" t="s">
        <v>563</v>
      </c>
      <c r="N89" s="96" t="s">
        <v>583</v>
      </c>
      <c r="O89" s="96" t="s">
        <v>620</v>
      </c>
      <c r="P89" s="6"/>
      <c r="Q89" s="216">
        <f>Q90+Q93</f>
        <v>320</v>
      </c>
      <c r="R89" s="216">
        <f>R90+R93</f>
        <v>0</v>
      </c>
      <c r="S89" s="216">
        <f>S90+S93</f>
        <v>0</v>
      </c>
    </row>
    <row r="90" spans="1:19" ht="19.5" customHeight="1">
      <c r="A90" s="99"/>
      <c r="B90" s="98"/>
      <c r="C90" s="103"/>
      <c r="D90" s="101"/>
      <c r="E90" s="113"/>
      <c r="F90" s="113"/>
      <c r="G90" s="105"/>
      <c r="H90" s="3" t="s">
        <v>27</v>
      </c>
      <c r="I90" s="8">
        <v>28</v>
      </c>
      <c r="J90" s="7">
        <v>1</v>
      </c>
      <c r="K90" s="7">
        <v>13</v>
      </c>
      <c r="L90" s="95" t="s">
        <v>593</v>
      </c>
      <c r="M90" s="96" t="s">
        <v>563</v>
      </c>
      <c r="N90" s="96" t="s">
        <v>564</v>
      </c>
      <c r="O90" s="96" t="s">
        <v>620</v>
      </c>
      <c r="P90" s="6"/>
      <c r="Q90" s="216">
        <f aca="true" t="shared" si="5" ref="Q90:S91">Q91</f>
        <v>260</v>
      </c>
      <c r="R90" s="216">
        <f t="shared" si="5"/>
        <v>0</v>
      </c>
      <c r="S90" s="216">
        <f t="shared" si="5"/>
        <v>0</v>
      </c>
    </row>
    <row r="91" spans="1:19" ht="36.75" customHeight="1">
      <c r="A91" s="99"/>
      <c r="B91" s="98"/>
      <c r="C91" s="103"/>
      <c r="D91" s="101"/>
      <c r="E91" s="113"/>
      <c r="F91" s="113"/>
      <c r="G91" s="105">
        <v>240</v>
      </c>
      <c r="H91" s="18" t="s">
        <v>250</v>
      </c>
      <c r="I91" s="8">
        <v>28</v>
      </c>
      <c r="J91" s="7">
        <v>1</v>
      </c>
      <c r="K91" s="7">
        <v>13</v>
      </c>
      <c r="L91" s="95" t="s">
        <v>593</v>
      </c>
      <c r="M91" s="96" t="s">
        <v>563</v>
      </c>
      <c r="N91" s="96" t="s">
        <v>564</v>
      </c>
      <c r="O91" s="96" t="s">
        <v>251</v>
      </c>
      <c r="P91" s="6"/>
      <c r="Q91" s="216">
        <f t="shared" si="5"/>
        <v>260</v>
      </c>
      <c r="R91" s="216">
        <f t="shared" si="5"/>
        <v>0</v>
      </c>
      <c r="S91" s="216">
        <f t="shared" si="5"/>
        <v>0</v>
      </c>
    </row>
    <row r="92" spans="1:19" ht="24.75" customHeight="1">
      <c r="A92" s="110"/>
      <c r="B92" s="111"/>
      <c r="C92" s="106"/>
      <c r="D92" s="107"/>
      <c r="E92" s="104"/>
      <c r="F92" s="104"/>
      <c r="G92" s="105"/>
      <c r="H92" s="5" t="s">
        <v>613</v>
      </c>
      <c r="I92" s="6">
        <v>28</v>
      </c>
      <c r="J92" s="7">
        <v>1</v>
      </c>
      <c r="K92" s="7">
        <v>13</v>
      </c>
      <c r="L92" s="95" t="s">
        <v>593</v>
      </c>
      <c r="M92" s="96" t="s">
        <v>563</v>
      </c>
      <c r="N92" s="96" t="s">
        <v>564</v>
      </c>
      <c r="O92" s="96" t="s">
        <v>251</v>
      </c>
      <c r="P92" s="6">
        <v>340</v>
      </c>
      <c r="Q92" s="214">
        <v>260</v>
      </c>
      <c r="R92" s="216"/>
      <c r="S92" s="216"/>
    </row>
    <row r="93" spans="1:19" ht="24.75" customHeight="1">
      <c r="A93" s="110"/>
      <c r="B93" s="111"/>
      <c r="C93" s="106"/>
      <c r="D93" s="107"/>
      <c r="E93" s="104"/>
      <c r="F93" s="104"/>
      <c r="G93" s="105"/>
      <c r="H93" s="5" t="s">
        <v>28</v>
      </c>
      <c r="I93" s="6">
        <v>28</v>
      </c>
      <c r="J93" s="7">
        <v>1</v>
      </c>
      <c r="K93" s="7">
        <v>13</v>
      </c>
      <c r="L93" s="95" t="s">
        <v>593</v>
      </c>
      <c r="M93" s="96" t="s">
        <v>563</v>
      </c>
      <c r="N93" s="96" t="s">
        <v>592</v>
      </c>
      <c r="O93" s="96" t="s">
        <v>620</v>
      </c>
      <c r="P93" s="6"/>
      <c r="Q93" s="214">
        <f aca="true" t="shared" si="6" ref="Q93:S94">Q94</f>
        <v>60</v>
      </c>
      <c r="R93" s="214">
        <f t="shared" si="6"/>
        <v>0</v>
      </c>
      <c r="S93" s="214">
        <f t="shared" si="6"/>
        <v>0</v>
      </c>
    </row>
    <row r="94" spans="1:19" ht="36.75" customHeight="1">
      <c r="A94" s="110"/>
      <c r="B94" s="111"/>
      <c r="C94" s="106"/>
      <c r="D94" s="107"/>
      <c r="E94" s="104"/>
      <c r="F94" s="104"/>
      <c r="G94" s="105"/>
      <c r="H94" s="5" t="s">
        <v>250</v>
      </c>
      <c r="I94" s="6">
        <v>28</v>
      </c>
      <c r="J94" s="7">
        <v>1</v>
      </c>
      <c r="K94" s="7">
        <v>13</v>
      </c>
      <c r="L94" s="95" t="s">
        <v>593</v>
      </c>
      <c r="M94" s="96" t="s">
        <v>563</v>
      </c>
      <c r="N94" s="96" t="s">
        <v>592</v>
      </c>
      <c r="O94" s="96" t="s">
        <v>251</v>
      </c>
      <c r="P94" s="6"/>
      <c r="Q94" s="214">
        <f t="shared" si="6"/>
        <v>60</v>
      </c>
      <c r="R94" s="214">
        <f t="shared" si="6"/>
        <v>0</v>
      </c>
      <c r="S94" s="214">
        <f t="shared" si="6"/>
        <v>0</v>
      </c>
    </row>
    <row r="95" spans="1:19" ht="24.75" customHeight="1">
      <c r="A95" s="110"/>
      <c r="B95" s="111"/>
      <c r="C95" s="106"/>
      <c r="D95" s="107"/>
      <c r="E95" s="104"/>
      <c r="F95" s="104"/>
      <c r="G95" s="105"/>
      <c r="H95" s="5" t="s">
        <v>720</v>
      </c>
      <c r="I95" s="6">
        <v>28</v>
      </c>
      <c r="J95" s="7">
        <v>1</v>
      </c>
      <c r="K95" s="7">
        <v>13</v>
      </c>
      <c r="L95" s="95" t="s">
        <v>593</v>
      </c>
      <c r="M95" s="96" t="s">
        <v>563</v>
      </c>
      <c r="N95" s="96" t="s">
        <v>592</v>
      </c>
      <c r="O95" s="96" t="s">
        <v>251</v>
      </c>
      <c r="P95" s="6">
        <v>240</v>
      </c>
      <c r="Q95" s="214">
        <v>60</v>
      </c>
      <c r="R95" s="214"/>
      <c r="S95" s="214"/>
    </row>
    <row r="96" spans="1:19" s="179" customFormat="1" ht="41.25" customHeight="1">
      <c r="A96" s="142"/>
      <c r="B96" s="143"/>
      <c r="C96" s="142"/>
      <c r="D96" s="144"/>
      <c r="E96" s="145"/>
      <c r="F96" s="145"/>
      <c r="G96" s="136"/>
      <c r="H96" s="11" t="s">
        <v>619</v>
      </c>
      <c r="I96" s="6">
        <v>27</v>
      </c>
      <c r="J96" s="7">
        <v>1</v>
      </c>
      <c r="K96" s="7">
        <v>13</v>
      </c>
      <c r="L96" s="95" t="s">
        <v>562</v>
      </c>
      <c r="M96" s="96" t="s">
        <v>563</v>
      </c>
      <c r="N96" s="96" t="s">
        <v>583</v>
      </c>
      <c r="O96" s="96" t="s">
        <v>620</v>
      </c>
      <c r="P96" s="6"/>
      <c r="Q96" s="216">
        <f>Q97+Q104</f>
        <v>6131.6</v>
      </c>
      <c r="R96" s="216"/>
      <c r="S96" s="216"/>
    </row>
    <row r="97" spans="1:19" s="179" customFormat="1" ht="23.25" customHeight="1">
      <c r="A97" s="142"/>
      <c r="B97" s="143"/>
      <c r="C97" s="142"/>
      <c r="D97" s="144"/>
      <c r="E97" s="145"/>
      <c r="F97" s="145"/>
      <c r="G97" s="136"/>
      <c r="H97" s="11" t="s">
        <v>790</v>
      </c>
      <c r="I97" s="6">
        <v>27</v>
      </c>
      <c r="J97" s="7">
        <v>1</v>
      </c>
      <c r="K97" s="7">
        <v>13</v>
      </c>
      <c r="L97" s="95" t="s">
        <v>562</v>
      </c>
      <c r="M97" s="96" t="s">
        <v>563</v>
      </c>
      <c r="N97" s="96" t="s">
        <v>592</v>
      </c>
      <c r="O97" s="96" t="s">
        <v>620</v>
      </c>
      <c r="P97" s="6"/>
      <c r="Q97" s="216">
        <f>Q98+Q100+Q102</f>
        <v>5881.6</v>
      </c>
      <c r="R97" s="216"/>
      <c r="S97" s="216"/>
    </row>
    <row r="98" spans="1:19" s="179" customFormat="1" ht="41.25" customHeight="1" hidden="1">
      <c r="A98" s="142"/>
      <c r="B98" s="143"/>
      <c r="C98" s="142"/>
      <c r="D98" s="144"/>
      <c r="E98" s="145"/>
      <c r="F98" s="145"/>
      <c r="G98" s="136"/>
      <c r="H98" s="11" t="s">
        <v>788</v>
      </c>
      <c r="I98" s="6">
        <v>27</v>
      </c>
      <c r="J98" s="7">
        <v>1</v>
      </c>
      <c r="K98" s="7">
        <v>13</v>
      </c>
      <c r="L98" s="95" t="s">
        <v>562</v>
      </c>
      <c r="M98" s="96" t="s">
        <v>563</v>
      </c>
      <c r="N98" s="96" t="s">
        <v>592</v>
      </c>
      <c r="O98" s="96" t="s">
        <v>787</v>
      </c>
      <c r="P98" s="6"/>
      <c r="Q98" s="216">
        <f>Q99</f>
        <v>0</v>
      </c>
      <c r="R98" s="216"/>
      <c r="S98" s="216"/>
    </row>
    <row r="99" spans="1:19" s="179" customFormat="1" ht="23.25" customHeight="1" hidden="1">
      <c r="A99" s="142"/>
      <c r="B99" s="143"/>
      <c r="C99" s="142"/>
      <c r="D99" s="144"/>
      <c r="E99" s="145"/>
      <c r="F99" s="145"/>
      <c r="G99" s="136"/>
      <c r="H99" s="11" t="s">
        <v>647</v>
      </c>
      <c r="I99" s="6">
        <v>27</v>
      </c>
      <c r="J99" s="7">
        <v>1</v>
      </c>
      <c r="K99" s="7">
        <v>13</v>
      </c>
      <c r="L99" s="95" t="s">
        <v>562</v>
      </c>
      <c r="M99" s="96" t="s">
        <v>563</v>
      </c>
      <c r="N99" s="96" t="s">
        <v>592</v>
      </c>
      <c r="O99" s="96" t="s">
        <v>787</v>
      </c>
      <c r="P99" s="6">
        <v>540</v>
      </c>
      <c r="Q99" s="216">
        <v>0</v>
      </c>
      <c r="R99" s="216"/>
      <c r="S99" s="216"/>
    </row>
    <row r="100" spans="1:19" s="179" customFormat="1" ht="23.25" customHeight="1">
      <c r="A100" s="142"/>
      <c r="B100" s="143"/>
      <c r="C100" s="142"/>
      <c r="D100" s="144"/>
      <c r="E100" s="145"/>
      <c r="F100" s="145"/>
      <c r="G100" s="136"/>
      <c r="H100" s="11" t="s">
        <v>795</v>
      </c>
      <c r="I100" s="6">
        <v>27</v>
      </c>
      <c r="J100" s="7">
        <v>1</v>
      </c>
      <c r="K100" s="7">
        <v>13</v>
      </c>
      <c r="L100" s="95" t="s">
        <v>562</v>
      </c>
      <c r="M100" s="96" t="s">
        <v>563</v>
      </c>
      <c r="N100" s="96" t="s">
        <v>592</v>
      </c>
      <c r="O100" s="96" t="s">
        <v>794</v>
      </c>
      <c r="P100" s="6"/>
      <c r="Q100" s="216">
        <f>Q101</f>
        <v>522</v>
      </c>
      <c r="R100" s="216"/>
      <c r="S100" s="216"/>
    </row>
    <row r="101" spans="1:19" s="179" customFormat="1" ht="23.25" customHeight="1">
      <c r="A101" s="142"/>
      <c r="B101" s="143"/>
      <c r="C101" s="142"/>
      <c r="D101" s="144"/>
      <c r="E101" s="145"/>
      <c r="F101" s="145"/>
      <c r="G101" s="136"/>
      <c r="H101" s="11" t="s">
        <v>647</v>
      </c>
      <c r="I101" s="6">
        <v>27</v>
      </c>
      <c r="J101" s="7">
        <v>1</v>
      </c>
      <c r="K101" s="7">
        <v>13</v>
      </c>
      <c r="L101" s="95" t="s">
        <v>562</v>
      </c>
      <c r="M101" s="96" t="s">
        <v>563</v>
      </c>
      <c r="N101" s="96" t="s">
        <v>592</v>
      </c>
      <c r="O101" s="96" t="s">
        <v>794</v>
      </c>
      <c r="P101" s="6">
        <v>540</v>
      </c>
      <c r="Q101" s="216">
        <f>'Приложение 9'!Q49</f>
        <v>522</v>
      </c>
      <c r="R101" s="216"/>
      <c r="S101" s="216"/>
    </row>
    <row r="102" spans="1:19" s="179" customFormat="1" ht="23.25" customHeight="1">
      <c r="A102" s="142"/>
      <c r="B102" s="143"/>
      <c r="C102" s="142"/>
      <c r="D102" s="144"/>
      <c r="E102" s="145"/>
      <c r="F102" s="145"/>
      <c r="G102" s="136"/>
      <c r="H102" s="11" t="str">
        <f>'Приложение 9'!H50</f>
        <v>Реализация мероприятий по строительству объектов инженерной инфраструктуры</v>
      </c>
      <c r="I102" s="10">
        <f>'Приложение 9'!I50</f>
        <v>27</v>
      </c>
      <c r="J102" s="7">
        <f>'Приложение 9'!J50</f>
        <v>1</v>
      </c>
      <c r="K102" s="7">
        <f>'Приложение 9'!K50</f>
        <v>13</v>
      </c>
      <c r="L102" s="95" t="str">
        <f>'Приложение 9'!L50</f>
        <v>08</v>
      </c>
      <c r="M102" s="96" t="str">
        <f>'Приложение 9'!M50</f>
        <v>0</v>
      </c>
      <c r="N102" s="96" t="str">
        <f>'Приложение 9'!N50</f>
        <v>02</v>
      </c>
      <c r="O102" s="96" t="str">
        <f>'Приложение 9'!O50</f>
        <v>S1600</v>
      </c>
      <c r="P102" s="6" t="s">
        <v>621</v>
      </c>
      <c r="Q102" s="216">
        <f>Q103</f>
        <v>5359.6</v>
      </c>
      <c r="R102" s="216"/>
      <c r="S102" s="216"/>
    </row>
    <row r="103" spans="1:19" s="179" customFormat="1" ht="23.25" customHeight="1">
      <c r="A103" s="142"/>
      <c r="B103" s="143"/>
      <c r="C103" s="142"/>
      <c r="D103" s="144"/>
      <c r="E103" s="145"/>
      <c r="F103" s="145"/>
      <c r="G103" s="136"/>
      <c r="H103" s="11" t="str">
        <f>'Приложение 9'!H51</f>
        <v>Иные межбюджетные трансферты</v>
      </c>
      <c r="I103" s="10">
        <f>'Приложение 9'!I51</f>
        <v>27</v>
      </c>
      <c r="J103" s="7">
        <f>'Приложение 9'!J51</f>
        <v>1</v>
      </c>
      <c r="K103" s="7">
        <f>'Приложение 9'!K51</f>
        <v>13</v>
      </c>
      <c r="L103" s="95" t="str">
        <f>'Приложение 9'!L51</f>
        <v>08</v>
      </c>
      <c r="M103" s="96" t="str">
        <f>'Приложение 9'!M51</f>
        <v>0</v>
      </c>
      <c r="N103" s="96" t="str">
        <f>'Приложение 9'!N51</f>
        <v>02</v>
      </c>
      <c r="O103" s="96" t="str">
        <f>'Приложение 9'!O51</f>
        <v>S1600</v>
      </c>
      <c r="P103" s="6">
        <f>'Приложение 9'!P51</f>
        <v>540</v>
      </c>
      <c r="Q103" s="216">
        <f>'Приложение 9'!Q51</f>
        <v>5359.6</v>
      </c>
      <c r="R103" s="216"/>
      <c r="S103" s="216"/>
    </row>
    <row r="104" spans="1:19" s="179" customFormat="1" ht="23.25" customHeight="1">
      <c r="A104" s="142"/>
      <c r="B104" s="143"/>
      <c r="C104" s="142"/>
      <c r="D104" s="144"/>
      <c r="E104" s="145"/>
      <c r="F104" s="145"/>
      <c r="G104" s="136"/>
      <c r="H104" s="11" t="str">
        <f>'Приложение 9'!H52</f>
        <v>Основное мероприятие "Строительство фельдерско-акушерских пунктов и офисов врача общей практики"</v>
      </c>
      <c r="I104" s="10">
        <f>'Приложение 9'!I52</f>
        <v>27</v>
      </c>
      <c r="J104" s="7">
        <f>'Приложение 9'!J52</f>
        <v>1</v>
      </c>
      <c r="K104" s="7">
        <f>'Приложение 9'!K52</f>
        <v>13</v>
      </c>
      <c r="L104" s="95" t="str">
        <f>'Приложение 9'!L52</f>
        <v>08</v>
      </c>
      <c r="M104" s="96" t="str">
        <f>'Приложение 9'!M52</f>
        <v>0</v>
      </c>
      <c r="N104" s="96" t="str">
        <f>'Приложение 9'!N52</f>
        <v>03</v>
      </c>
      <c r="O104" s="96" t="str">
        <f>'Приложение 9'!O52</f>
        <v>00000</v>
      </c>
      <c r="P104" s="6" t="s">
        <v>621</v>
      </c>
      <c r="Q104" s="216">
        <f>Q105</f>
        <v>250</v>
      </c>
      <c r="R104" s="216"/>
      <c r="S104" s="216"/>
    </row>
    <row r="105" spans="1:19" s="179" customFormat="1" ht="23.25" customHeight="1">
      <c r="A105" s="142"/>
      <c r="B105" s="143"/>
      <c r="C105" s="142"/>
      <c r="D105" s="144"/>
      <c r="E105" s="145"/>
      <c r="F105" s="145"/>
      <c r="G105" s="136"/>
      <c r="H105" s="11" t="str">
        <f>'Приложение 9'!H53</f>
        <v>Мероприятия по строительству ФАПов</v>
      </c>
      <c r="I105" s="10">
        <f>'Приложение 9'!I53</f>
        <v>27</v>
      </c>
      <c r="J105" s="7">
        <f>'Приложение 9'!J53</f>
        <v>1</v>
      </c>
      <c r="K105" s="7">
        <f>'Приложение 9'!K53</f>
        <v>13</v>
      </c>
      <c r="L105" s="95" t="str">
        <f>'Приложение 9'!L53</f>
        <v>08</v>
      </c>
      <c r="M105" s="96" t="str">
        <f>'Приложение 9'!M53</f>
        <v>0</v>
      </c>
      <c r="N105" s="96" t="str">
        <f>'Приложение 9'!N53</f>
        <v>03</v>
      </c>
      <c r="O105" s="96" t="str">
        <f>'Приложение 9'!O53</f>
        <v>20140</v>
      </c>
      <c r="P105" s="6" t="s">
        <v>621</v>
      </c>
      <c r="Q105" s="216">
        <f>Q106</f>
        <v>250</v>
      </c>
      <c r="R105" s="216"/>
      <c r="S105" s="216"/>
    </row>
    <row r="106" spans="1:19" s="179" customFormat="1" ht="23.25" customHeight="1">
      <c r="A106" s="142"/>
      <c r="B106" s="143"/>
      <c r="C106" s="142"/>
      <c r="D106" s="144"/>
      <c r="E106" s="145"/>
      <c r="F106" s="145"/>
      <c r="G106" s="136"/>
      <c r="H106" s="11" t="str">
        <f>'Приложение 9'!H54</f>
        <v>Иные межбюджетные трансферты</v>
      </c>
      <c r="I106" s="10">
        <f>'Приложение 9'!I54</f>
        <v>27</v>
      </c>
      <c r="J106" s="7">
        <f>'Приложение 9'!J54</f>
        <v>1</v>
      </c>
      <c r="K106" s="7">
        <f>'Приложение 9'!K54</f>
        <v>13</v>
      </c>
      <c r="L106" s="95" t="str">
        <f>'Приложение 9'!L54</f>
        <v>08</v>
      </c>
      <c r="M106" s="96" t="str">
        <f>'Приложение 9'!M54</f>
        <v>0</v>
      </c>
      <c r="N106" s="96" t="str">
        <f>'Приложение 9'!N54</f>
        <v>03</v>
      </c>
      <c r="O106" s="96" t="str">
        <f>'Приложение 9'!O54</f>
        <v>20140</v>
      </c>
      <c r="P106" s="6">
        <f>'Приложение 9'!P54</f>
        <v>540</v>
      </c>
      <c r="Q106" s="216">
        <f>'Приложение 9'!Q54</f>
        <v>250</v>
      </c>
      <c r="R106" s="216"/>
      <c r="S106" s="216"/>
    </row>
    <row r="107" spans="1:19" ht="36.75" customHeight="1">
      <c r="A107" s="97"/>
      <c r="B107" s="98"/>
      <c r="C107" s="103"/>
      <c r="D107" s="101"/>
      <c r="E107" s="104"/>
      <c r="F107" s="104"/>
      <c r="G107" s="89"/>
      <c r="H107" s="11" t="s">
        <v>35</v>
      </c>
      <c r="I107" s="10">
        <v>661</v>
      </c>
      <c r="J107" s="7">
        <v>1</v>
      </c>
      <c r="K107" s="7">
        <v>13</v>
      </c>
      <c r="L107" s="95" t="s">
        <v>596</v>
      </c>
      <c r="M107" s="96" t="s">
        <v>563</v>
      </c>
      <c r="N107" s="96" t="s">
        <v>583</v>
      </c>
      <c r="O107" s="96" t="s">
        <v>620</v>
      </c>
      <c r="P107" s="6"/>
      <c r="Q107" s="216">
        <f aca="true" t="shared" si="7" ref="Q107:S108">Q108</f>
        <v>16837.600000000002</v>
      </c>
      <c r="R107" s="216">
        <f t="shared" si="7"/>
        <v>13395.400000000001</v>
      </c>
      <c r="S107" s="216">
        <f t="shared" si="7"/>
        <v>13395.400000000001</v>
      </c>
    </row>
    <row r="108" spans="1:19" ht="38.25" customHeight="1">
      <c r="A108" s="97"/>
      <c r="B108" s="98"/>
      <c r="C108" s="114"/>
      <c r="D108" s="94"/>
      <c r="E108" s="94"/>
      <c r="F108" s="94"/>
      <c r="G108" s="89"/>
      <c r="H108" s="11" t="s">
        <v>34</v>
      </c>
      <c r="I108" s="10">
        <v>661</v>
      </c>
      <c r="J108" s="7">
        <v>1</v>
      </c>
      <c r="K108" s="7">
        <v>13</v>
      </c>
      <c r="L108" s="95" t="s">
        <v>596</v>
      </c>
      <c r="M108" s="96" t="s">
        <v>560</v>
      </c>
      <c r="N108" s="96" t="s">
        <v>583</v>
      </c>
      <c r="O108" s="96" t="s">
        <v>620</v>
      </c>
      <c r="P108" s="10"/>
      <c r="Q108" s="214">
        <f t="shared" si="7"/>
        <v>16837.600000000002</v>
      </c>
      <c r="R108" s="214">
        <f t="shared" si="7"/>
        <v>13395.400000000001</v>
      </c>
      <c r="S108" s="214">
        <f t="shared" si="7"/>
        <v>13395.400000000001</v>
      </c>
    </row>
    <row r="109" spans="1:19" ht="36" customHeight="1">
      <c r="A109" s="97"/>
      <c r="B109" s="98"/>
      <c r="C109" s="106"/>
      <c r="D109" s="111"/>
      <c r="E109" s="114"/>
      <c r="F109" s="114"/>
      <c r="G109" s="89"/>
      <c r="H109" s="11" t="s">
        <v>803</v>
      </c>
      <c r="I109" s="10">
        <v>661</v>
      </c>
      <c r="J109" s="7">
        <v>1</v>
      </c>
      <c r="K109" s="7">
        <v>13</v>
      </c>
      <c r="L109" s="95" t="s">
        <v>596</v>
      </c>
      <c r="M109" s="96" t="s">
        <v>560</v>
      </c>
      <c r="N109" s="96" t="s">
        <v>592</v>
      </c>
      <c r="O109" s="96" t="s">
        <v>620</v>
      </c>
      <c r="P109" s="10"/>
      <c r="Q109" s="214">
        <f>Q110+Q117+Q115</f>
        <v>16837.600000000002</v>
      </c>
      <c r="R109" s="214">
        <f>R110+R117</f>
        <v>13395.400000000001</v>
      </c>
      <c r="S109" s="214">
        <f>S110+S117</f>
        <v>13395.400000000001</v>
      </c>
    </row>
    <row r="110" spans="1:19" ht="33.75" customHeight="1">
      <c r="A110" s="97"/>
      <c r="B110" s="98"/>
      <c r="C110" s="106"/>
      <c r="D110" s="111"/>
      <c r="E110" s="114"/>
      <c r="F110" s="114"/>
      <c r="G110" s="89"/>
      <c r="H110" s="11" t="s">
        <v>344</v>
      </c>
      <c r="I110" s="10">
        <v>661</v>
      </c>
      <c r="J110" s="7">
        <v>1</v>
      </c>
      <c r="K110" s="7">
        <v>13</v>
      </c>
      <c r="L110" s="95" t="s">
        <v>596</v>
      </c>
      <c r="M110" s="96" t="s">
        <v>560</v>
      </c>
      <c r="N110" s="96" t="s">
        <v>592</v>
      </c>
      <c r="O110" s="96" t="s">
        <v>345</v>
      </c>
      <c r="P110" s="10"/>
      <c r="Q110" s="221">
        <f>SUM(Q111:Q114)</f>
        <v>12395.400000000001</v>
      </c>
      <c r="R110" s="221">
        <f>SUM(R111:R114)</f>
        <v>13395.400000000001</v>
      </c>
      <c r="S110" s="221">
        <f>SUM(S111:S114)</f>
        <v>13395.400000000001</v>
      </c>
    </row>
    <row r="111" spans="1:19" ht="30" customHeight="1">
      <c r="A111" s="97"/>
      <c r="B111" s="98"/>
      <c r="C111" s="106"/>
      <c r="D111" s="111"/>
      <c r="E111" s="114"/>
      <c r="F111" s="114"/>
      <c r="G111" s="89"/>
      <c r="H111" s="11" t="s">
        <v>789</v>
      </c>
      <c r="I111" s="10">
        <v>661</v>
      </c>
      <c r="J111" s="7">
        <v>1</v>
      </c>
      <c r="K111" s="7">
        <v>13</v>
      </c>
      <c r="L111" s="95" t="s">
        <v>596</v>
      </c>
      <c r="M111" s="96" t="s">
        <v>560</v>
      </c>
      <c r="N111" s="96" t="s">
        <v>592</v>
      </c>
      <c r="O111" s="96" t="s">
        <v>345</v>
      </c>
      <c r="P111" s="10">
        <v>110</v>
      </c>
      <c r="Q111" s="214">
        <f>'Приложение 9'!Q406</f>
        <v>11176.6</v>
      </c>
      <c r="R111" s="240">
        <v>11244.7</v>
      </c>
      <c r="S111" s="240">
        <v>11244.7</v>
      </c>
    </row>
    <row r="112" spans="1:19" ht="30" customHeight="1">
      <c r="A112" s="97"/>
      <c r="B112" s="98"/>
      <c r="C112" s="106"/>
      <c r="D112" s="111"/>
      <c r="E112" s="114"/>
      <c r="F112" s="114"/>
      <c r="G112" s="89"/>
      <c r="H112" s="11" t="s">
        <v>720</v>
      </c>
      <c r="I112" s="10">
        <v>661</v>
      </c>
      <c r="J112" s="7">
        <v>1</v>
      </c>
      <c r="K112" s="7">
        <v>13</v>
      </c>
      <c r="L112" s="95" t="s">
        <v>596</v>
      </c>
      <c r="M112" s="96" t="s">
        <v>560</v>
      </c>
      <c r="N112" s="96" t="s">
        <v>592</v>
      </c>
      <c r="O112" s="96" t="s">
        <v>345</v>
      </c>
      <c r="P112" s="10">
        <v>240</v>
      </c>
      <c r="Q112" s="214">
        <v>1149.7</v>
      </c>
      <c r="R112" s="240">
        <v>2149.7</v>
      </c>
      <c r="S112" s="240">
        <v>2149.7</v>
      </c>
    </row>
    <row r="113" spans="1:19" ht="30" customHeight="1">
      <c r="A113" s="97"/>
      <c r="B113" s="98"/>
      <c r="C113" s="106"/>
      <c r="D113" s="111"/>
      <c r="E113" s="114"/>
      <c r="F113" s="114"/>
      <c r="G113" s="89"/>
      <c r="H113" s="11" t="str">
        <f>'Приложение 9'!H408</f>
        <v>Социальные выплаты гражданам, кроме публичных нормативных социальных выплат</v>
      </c>
      <c r="I113" s="10">
        <f>'Приложение 9'!I408</f>
        <v>661</v>
      </c>
      <c r="J113" s="7">
        <f>'Приложение 9'!J408</f>
        <v>1</v>
      </c>
      <c r="K113" s="7">
        <f>'Приложение 9'!K408</f>
        <v>13</v>
      </c>
      <c r="L113" s="95" t="str">
        <f>'Приложение 9'!L408</f>
        <v>11</v>
      </c>
      <c r="M113" s="96" t="str">
        <f>'Приложение 9'!M408</f>
        <v>4</v>
      </c>
      <c r="N113" s="96" t="str">
        <f>'Приложение 9'!N408</f>
        <v>02</v>
      </c>
      <c r="O113" s="96" t="str">
        <f>'Приложение 9'!O408</f>
        <v>00590</v>
      </c>
      <c r="P113" s="10">
        <f>'Приложение 9'!P408</f>
        <v>320</v>
      </c>
      <c r="Q113" s="214">
        <f>'Приложение 9'!Q408</f>
        <v>68</v>
      </c>
      <c r="R113" s="240"/>
      <c r="S113" s="240"/>
    </row>
    <row r="114" spans="1:19" ht="30" customHeight="1">
      <c r="A114" s="97"/>
      <c r="B114" s="98"/>
      <c r="C114" s="106"/>
      <c r="D114" s="111"/>
      <c r="E114" s="114"/>
      <c r="F114" s="114"/>
      <c r="G114" s="89"/>
      <c r="H114" s="11" t="s">
        <v>721</v>
      </c>
      <c r="I114" s="10">
        <v>661</v>
      </c>
      <c r="J114" s="7">
        <v>1</v>
      </c>
      <c r="K114" s="7">
        <v>13</v>
      </c>
      <c r="L114" s="95" t="s">
        <v>596</v>
      </c>
      <c r="M114" s="96" t="s">
        <v>560</v>
      </c>
      <c r="N114" s="96" t="s">
        <v>592</v>
      </c>
      <c r="O114" s="96" t="s">
        <v>345</v>
      </c>
      <c r="P114" s="10">
        <v>850</v>
      </c>
      <c r="Q114" s="214">
        <f>'Приложение 9'!Q409</f>
        <v>1.1</v>
      </c>
      <c r="R114" s="240">
        <v>1</v>
      </c>
      <c r="S114" s="240">
        <v>1</v>
      </c>
    </row>
    <row r="115" spans="1:19" ht="30" customHeight="1">
      <c r="A115" s="97"/>
      <c r="B115" s="98"/>
      <c r="C115" s="106"/>
      <c r="D115" s="111"/>
      <c r="E115" s="114"/>
      <c r="F115" s="114"/>
      <c r="G115" s="89"/>
      <c r="H115" s="11" t="str">
        <f>'Приложение 9'!H410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15" s="10">
        <f>'Приложение 9'!I410</f>
        <v>661</v>
      </c>
      <c r="J115" s="7">
        <f>'Приложение 9'!J410</f>
        <v>1</v>
      </c>
      <c r="K115" s="7">
        <f>'Приложение 9'!K410</f>
        <v>13</v>
      </c>
      <c r="L115" s="95" t="str">
        <f>'Приложение 9'!L410</f>
        <v>11</v>
      </c>
      <c r="M115" s="96" t="str">
        <f>'Приложение 9'!M410</f>
        <v>4</v>
      </c>
      <c r="N115" s="96" t="str">
        <f>'Приложение 9'!N410</f>
        <v>02</v>
      </c>
      <c r="O115" s="96" t="str">
        <f>'Приложение 9'!O410</f>
        <v>70030</v>
      </c>
      <c r="P115" s="10" t="s">
        <v>621</v>
      </c>
      <c r="Q115" s="214">
        <f>Q116</f>
        <v>2235.2</v>
      </c>
      <c r="R115" s="240"/>
      <c r="S115" s="240"/>
    </row>
    <row r="116" spans="1:19" ht="30" customHeight="1">
      <c r="A116" s="97"/>
      <c r="B116" s="98"/>
      <c r="C116" s="106"/>
      <c r="D116" s="111"/>
      <c r="E116" s="114"/>
      <c r="F116" s="114"/>
      <c r="G116" s="89"/>
      <c r="H116" s="11" t="str">
        <f>'Приложение 9'!H411</f>
        <v> Расходы на выплаты персоналу казенных учреждений</v>
      </c>
      <c r="I116" s="10">
        <f>'Приложение 9'!I411</f>
        <v>661</v>
      </c>
      <c r="J116" s="7">
        <f>'Приложение 9'!J411</f>
        <v>1</v>
      </c>
      <c r="K116" s="7">
        <f>'Приложение 9'!K411</f>
        <v>13</v>
      </c>
      <c r="L116" s="95" t="str">
        <f>'Приложение 9'!L411</f>
        <v>11</v>
      </c>
      <c r="M116" s="96" t="str">
        <f>'Приложение 9'!M411</f>
        <v>4</v>
      </c>
      <c r="N116" s="96" t="str">
        <f>'Приложение 9'!N411</f>
        <v>02</v>
      </c>
      <c r="O116" s="96" t="str">
        <f>'Приложение 9'!O411</f>
        <v>70030</v>
      </c>
      <c r="P116" s="10">
        <f>'Приложение 9'!P411</f>
        <v>110</v>
      </c>
      <c r="Q116" s="214">
        <f>'Приложение 9'!Q411</f>
        <v>2235.2</v>
      </c>
      <c r="R116" s="240"/>
      <c r="S116" s="240"/>
    </row>
    <row r="117" spans="1:19" ht="33.75" customHeight="1">
      <c r="A117" s="97"/>
      <c r="B117" s="98"/>
      <c r="C117" s="106"/>
      <c r="D117" s="111"/>
      <c r="E117" s="114"/>
      <c r="F117" s="114"/>
      <c r="G117" s="89"/>
      <c r="H117" s="11" t="s">
        <v>760</v>
      </c>
      <c r="I117" s="10">
        <v>661</v>
      </c>
      <c r="J117" s="7">
        <v>1</v>
      </c>
      <c r="K117" s="7">
        <v>13</v>
      </c>
      <c r="L117" s="95" t="s">
        <v>596</v>
      </c>
      <c r="M117" s="96" t="s">
        <v>560</v>
      </c>
      <c r="N117" s="96" t="s">
        <v>592</v>
      </c>
      <c r="O117" s="96" t="s">
        <v>759</v>
      </c>
      <c r="P117" s="10"/>
      <c r="Q117" s="214">
        <f>SUM(Q118:Q119)</f>
        <v>2206.9999999999995</v>
      </c>
      <c r="R117" s="214">
        <f>SUM(R118:R119)</f>
        <v>0</v>
      </c>
      <c r="S117" s="214">
        <f>SUM(S118:S119)</f>
        <v>0</v>
      </c>
    </row>
    <row r="118" spans="1:19" ht="33.75" customHeight="1">
      <c r="A118" s="97"/>
      <c r="B118" s="98"/>
      <c r="C118" s="106"/>
      <c r="D118" s="111"/>
      <c r="E118" s="114"/>
      <c r="F118" s="114"/>
      <c r="G118" s="89"/>
      <c r="H118" s="11" t="s">
        <v>723</v>
      </c>
      <c r="I118" s="10">
        <v>661</v>
      </c>
      <c r="J118" s="7">
        <v>1</v>
      </c>
      <c r="K118" s="7">
        <v>13</v>
      </c>
      <c r="L118" s="95" t="s">
        <v>596</v>
      </c>
      <c r="M118" s="96" t="s">
        <v>560</v>
      </c>
      <c r="N118" s="96" t="s">
        <v>592</v>
      </c>
      <c r="O118" s="96" t="s">
        <v>759</v>
      </c>
      <c r="P118" s="10">
        <v>110</v>
      </c>
      <c r="Q118" s="214">
        <f>'Приложение 9'!Q413</f>
        <v>2095.3999999999996</v>
      </c>
      <c r="R118" s="214"/>
      <c r="S118" s="214"/>
    </row>
    <row r="119" spans="1:19" ht="33.75" customHeight="1">
      <c r="A119" s="97"/>
      <c r="B119" s="98"/>
      <c r="C119" s="106"/>
      <c r="D119" s="111"/>
      <c r="E119" s="114"/>
      <c r="F119" s="114"/>
      <c r="G119" s="89"/>
      <c r="H119" s="11" t="s">
        <v>720</v>
      </c>
      <c r="I119" s="10">
        <v>661</v>
      </c>
      <c r="J119" s="7">
        <v>1</v>
      </c>
      <c r="K119" s="7">
        <v>13</v>
      </c>
      <c r="L119" s="95" t="s">
        <v>596</v>
      </c>
      <c r="M119" s="96" t="s">
        <v>560</v>
      </c>
      <c r="N119" s="96" t="s">
        <v>592</v>
      </c>
      <c r="O119" s="96" t="s">
        <v>759</v>
      </c>
      <c r="P119" s="10">
        <v>240</v>
      </c>
      <c r="Q119" s="214">
        <f>'Приложение 9'!Q414</f>
        <v>111.6</v>
      </c>
      <c r="R119" s="214"/>
      <c r="S119" s="214"/>
    </row>
    <row r="120" spans="1:19" ht="33.75" customHeight="1">
      <c r="A120" s="97"/>
      <c r="B120" s="98"/>
      <c r="C120" s="114"/>
      <c r="D120" s="111"/>
      <c r="E120" s="114"/>
      <c r="F120" s="114"/>
      <c r="G120" s="89"/>
      <c r="H120" s="11" t="str">
        <f>'Приложение 9'!H615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120" s="10">
        <f>'Приложение 9'!I615</f>
        <v>664</v>
      </c>
      <c r="J120" s="7">
        <f>'Приложение 9'!J615</f>
        <v>1</v>
      </c>
      <c r="K120" s="7">
        <f>'Приложение 9'!K615</f>
        <v>13</v>
      </c>
      <c r="L120" s="95" t="str">
        <f>'Приложение 9'!L615</f>
        <v>48</v>
      </c>
      <c r="M120" s="96" t="str">
        <f>'Приложение 9'!M615</f>
        <v>0</v>
      </c>
      <c r="N120" s="96" t="str">
        <f>'Приложение 9'!N615</f>
        <v>00</v>
      </c>
      <c r="O120" s="96" t="str">
        <f>'Приложение 9'!O615</f>
        <v>00000</v>
      </c>
      <c r="P120" s="10" t="s">
        <v>621</v>
      </c>
      <c r="Q120" s="214">
        <f>Q121+Q124+Q127+Q131+Q145</f>
        <v>5811.4</v>
      </c>
      <c r="R120" s="214"/>
      <c r="S120" s="214"/>
    </row>
    <row r="121" spans="1:19" ht="33.75" customHeight="1">
      <c r="A121" s="97"/>
      <c r="B121" s="98"/>
      <c r="C121" s="114"/>
      <c r="D121" s="111"/>
      <c r="E121" s="114"/>
      <c r="F121" s="114"/>
      <c r="G121" s="89"/>
      <c r="H121" s="11" t="str">
        <f>'Приложение 9'!H616</f>
        <v>Основное мероприятие «Осуществление кадастрового учета объектов недвижимости и земельных участков»</v>
      </c>
      <c r="I121" s="10">
        <f>'Приложение 9'!I616</f>
        <v>664</v>
      </c>
      <c r="J121" s="7">
        <f>'Приложение 9'!J616</f>
        <v>1</v>
      </c>
      <c r="K121" s="7">
        <f>'Приложение 9'!K616</f>
        <v>13</v>
      </c>
      <c r="L121" s="95">
        <f>'Приложение 9'!L616</f>
        <v>48</v>
      </c>
      <c r="M121" s="96" t="str">
        <f>'Приложение 9'!M616</f>
        <v>0</v>
      </c>
      <c r="N121" s="96" t="str">
        <f>'Приложение 9'!N616</f>
        <v>01</v>
      </c>
      <c r="O121" s="96" t="str">
        <f>'Приложение 9'!O616</f>
        <v>00000</v>
      </c>
      <c r="P121" s="10" t="s">
        <v>621</v>
      </c>
      <c r="Q121" s="214">
        <f>Q122</f>
        <v>470</v>
      </c>
      <c r="R121" s="214"/>
      <c r="S121" s="214"/>
    </row>
    <row r="122" spans="1:19" ht="33.75" customHeight="1">
      <c r="A122" s="97"/>
      <c r="B122" s="98"/>
      <c r="C122" s="114"/>
      <c r="D122" s="111"/>
      <c r="E122" s="114"/>
      <c r="F122" s="114"/>
      <c r="G122" s="89"/>
      <c r="H122" s="11" t="str">
        <f>'Приложение 9'!H617</f>
        <v>Выполнение других обязательств государства</v>
      </c>
      <c r="I122" s="10">
        <f>'Приложение 9'!I617</f>
        <v>664</v>
      </c>
      <c r="J122" s="7">
        <f>'Приложение 9'!J617</f>
        <v>1</v>
      </c>
      <c r="K122" s="7">
        <f>'Приложение 9'!K617</f>
        <v>13</v>
      </c>
      <c r="L122" s="95">
        <f>'Приложение 9'!L617</f>
        <v>48</v>
      </c>
      <c r="M122" s="96" t="str">
        <f>'Приложение 9'!M617</f>
        <v>0</v>
      </c>
      <c r="N122" s="96" t="str">
        <f>'Приложение 9'!N617</f>
        <v>01</v>
      </c>
      <c r="O122" s="96" t="str">
        <f>'Приложение 9'!O617</f>
        <v>20520</v>
      </c>
      <c r="P122" s="10" t="s">
        <v>621</v>
      </c>
      <c r="Q122" s="214">
        <f>Q123</f>
        <v>470</v>
      </c>
      <c r="R122" s="214"/>
      <c r="S122" s="214"/>
    </row>
    <row r="123" spans="1:19" ht="33.75" customHeight="1">
      <c r="A123" s="97"/>
      <c r="B123" s="98"/>
      <c r="C123" s="114"/>
      <c r="D123" s="111"/>
      <c r="E123" s="114"/>
      <c r="F123" s="114"/>
      <c r="G123" s="89"/>
      <c r="H123" s="11" t="str">
        <f>'Приложение 9'!H618</f>
        <v>Иные закупки товаров, работ и услуг для обеспечения государственных (муниципальных) нужд</v>
      </c>
      <c r="I123" s="10">
        <f>'Приложение 9'!I618</f>
        <v>664</v>
      </c>
      <c r="J123" s="7">
        <f>'Приложение 9'!J618</f>
        <v>1</v>
      </c>
      <c r="K123" s="7">
        <f>'Приложение 9'!K618</f>
        <v>13</v>
      </c>
      <c r="L123" s="95">
        <f>'Приложение 9'!L618</f>
        <v>48</v>
      </c>
      <c r="M123" s="96" t="str">
        <f>'Приложение 9'!M618</f>
        <v>0</v>
      </c>
      <c r="N123" s="96" t="str">
        <f>'Приложение 9'!N618</f>
        <v>01</v>
      </c>
      <c r="O123" s="96" t="str">
        <f>'Приложение 9'!O618</f>
        <v>20520</v>
      </c>
      <c r="P123" s="10">
        <f>'Приложение 9'!P618</f>
        <v>240</v>
      </c>
      <c r="Q123" s="214">
        <f>'Приложение 9'!Q618</f>
        <v>470</v>
      </c>
      <c r="R123" s="214"/>
      <c r="S123" s="214"/>
    </row>
    <row r="124" spans="1:19" ht="33.75" customHeight="1">
      <c r="A124" s="97"/>
      <c r="B124" s="98"/>
      <c r="C124" s="114"/>
      <c r="D124" s="111"/>
      <c r="E124" s="114"/>
      <c r="F124" s="114"/>
      <c r="G124" s="89"/>
      <c r="H124" s="11" t="str">
        <f>'Приложение 9'!H619</f>
        <v>Основное мероприятие «Проведение работ по оценке стоимости аренды, продажи или залоговой стоимости объектов»</v>
      </c>
      <c r="I124" s="10">
        <f>'Приложение 9'!I619</f>
        <v>664</v>
      </c>
      <c r="J124" s="7">
        <f>'Приложение 9'!J619</f>
        <v>1</v>
      </c>
      <c r="K124" s="7">
        <f>'Приложение 9'!K619</f>
        <v>13</v>
      </c>
      <c r="L124" s="95">
        <f>'Приложение 9'!L619</f>
        <v>48</v>
      </c>
      <c r="M124" s="96" t="str">
        <f>'Приложение 9'!M619</f>
        <v>0</v>
      </c>
      <c r="N124" s="96" t="str">
        <f>'Приложение 9'!N619</f>
        <v>02</v>
      </c>
      <c r="O124" s="96" t="str">
        <f>'Приложение 9'!O619</f>
        <v>00000</v>
      </c>
      <c r="P124" s="10" t="s">
        <v>621</v>
      </c>
      <c r="Q124" s="214">
        <f>Q125</f>
        <v>100</v>
      </c>
      <c r="R124" s="214"/>
      <c r="S124" s="214"/>
    </row>
    <row r="125" spans="1:19" ht="33.75" customHeight="1">
      <c r="A125" s="97"/>
      <c r="B125" s="98"/>
      <c r="C125" s="114"/>
      <c r="D125" s="111"/>
      <c r="E125" s="114"/>
      <c r="F125" s="114"/>
      <c r="G125" s="89"/>
      <c r="H125" s="11" t="str">
        <f>'Приложение 9'!H620</f>
        <v>Оценка недвижимости, признание прав и регулирование отношений по государственной  (муниципальной)  собственности</v>
      </c>
      <c r="I125" s="10">
        <f>'Приложение 9'!I620</f>
        <v>664</v>
      </c>
      <c r="J125" s="7">
        <f>'Приложение 9'!J620</f>
        <v>1</v>
      </c>
      <c r="K125" s="7">
        <f>'Приложение 9'!K620</f>
        <v>13</v>
      </c>
      <c r="L125" s="95">
        <f>'Приложение 9'!L620</f>
        <v>48</v>
      </c>
      <c r="M125" s="96" t="str">
        <f>'Приложение 9'!M620</f>
        <v>0</v>
      </c>
      <c r="N125" s="96" t="str">
        <f>'Приложение 9'!N620</f>
        <v>02</v>
      </c>
      <c r="O125" s="96" t="str">
        <f>'Приложение 9'!O620</f>
        <v>20510</v>
      </c>
      <c r="P125" s="10" t="s">
        <v>621</v>
      </c>
      <c r="Q125" s="214">
        <f>Q126</f>
        <v>100</v>
      </c>
      <c r="R125" s="214"/>
      <c r="S125" s="214"/>
    </row>
    <row r="126" spans="1:19" ht="33.75" customHeight="1">
      <c r="A126" s="97"/>
      <c r="B126" s="98"/>
      <c r="C126" s="114"/>
      <c r="D126" s="111"/>
      <c r="E126" s="114"/>
      <c r="F126" s="114"/>
      <c r="G126" s="89"/>
      <c r="H126" s="11" t="str">
        <f>'Приложение 9'!H621</f>
        <v>Иные закупки товаров, работ и услуг для обеспечения государственных (муниципальных) нужд</v>
      </c>
      <c r="I126" s="10">
        <f>'Приложение 9'!I621</f>
        <v>664</v>
      </c>
      <c r="J126" s="7">
        <f>'Приложение 9'!J621</f>
        <v>1</v>
      </c>
      <c r="K126" s="7">
        <f>'Приложение 9'!K621</f>
        <v>13</v>
      </c>
      <c r="L126" s="95">
        <f>'Приложение 9'!L621</f>
        <v>48</v>
      </c>
      <c r="M126" s="96" t="str">
        <f>'Приложение 9'!M621</f>
        <v>0</v>
      </c>
      <c r="N126" s="96" t="str">
        <f>'Приложение 9'!N621</f>
        <v>02</v>
      </c>
      <c r="O126" s="96" t="str">
        <f>'Приложение 9'!O621</f>
        <v>20510</v>
      </c>
      <c r="P126" s="10">
        <f>'Приложение 9'!P621</f>
        <v>240</v>
      </c>
      <c r="Q126" s="214">
        <f>'Приложение 9'!Q621</f>
        <v>100</v>
      </c>
      <c r="R126" s="214"/>
      <c r="S126" s="214"/>
    </row>
    <row r="127" spans="1:19" ht="33.75" customHeight="1">
      <c r="A127" s="97"/>
      <c r="B127" s="98"/>
      <c r="C127" s="114"/>
      <c r="D127" s="111"/>
      <c r="E127" s="114"/>
      <c r="F127" s="114"/>
      <c r="G127" s="89"/>
      <c r="H127" s="11" t="str">
        <f>'Приложение 9'!H622</f>
        <v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v>
      </c>
      <c r="I127" s="10">
        <f>'Приложение 9'!I622</f>
        <v>664</v>
      </c>
      <c r="J127" s="7">
        <f>'Приложение 9'!J622</f>
        <v>1</v>
      </c>
      <c r="K127" s="7">
        <f>'Приложение 9'!K622</f>
        <v>13</v>
      </c>
      <c r="L127" s="95">
        <f>'Приложение 9'!L622</f>
        <v>48</v>
      </c>
      <c r="M127" s="96" t="str">
        <f>'Приложение 9'!M622</f>
        <v>0</v>
      </c>
      <c r="N127" s="96" t="str">
        <f>'Приложение 9'!N622</f>
        <v>03</v>
      </c>
      <c r="O127" s="96" t="str">
        <f>'Приложение 9'!O622</f>
        <v>00000</v>
      </c>
      <c r="P127" s="10" t="s">
        <v>621</v>
      </c>
      <c r="Q127" s="214">
        <f>Q128</f>
        <v>136.8</v>
      </c>
      <c r="R127" s="214"/>
      <c r="S127" s="214"/>
    </row>
    <row r="128" spans="1:19" ht="33.75" customHeight="1">
      <c r="A128" s="97"/>
      <c r="B128" s="98"/>
      <c r="C128" s="114"/>
      <c r="D128" s="111"/>
      <c r="E128" s="114"/>
      <c r="F128" s="114"/>
      <c r="G128" s="89"/>
      <c r="H128" s="11" t="str">
        <f>'Приложение 9'!H623</f>
        <v>Выполнение других обязательств, связанных с содержанием имущества, находящегося в казне района</v>
      </c>
      <c r="I128" s="10">
        <f>'Приложение 9'!I623</f>
        <v>664</v>
      </c>
      <c r="J128" s="7">
        <f>'Приложение 9'!J623</f>
        <v>1</v>
      </c>
      <c r="K128" s="7">
        <f>'Приложение 9'!K623</f>
        <v>13</v>
      </c>
      <c r="L128" s="95">
        <f>'Приложение 9'!L623</f>
        <v>48</v>
      </c>
      <c r="M128" s="96" t="str">
        <f>'Приложение 9'!M623</f>
        <v>0</v>
      </c>
      <c r="N128" s="96" t="str">
        <f>'Приложение 9'!N623</f>
        <v>03</v>
      </c>
      <c r="O128" s="96" t="str">
        <f>'Приложение 9'!O623</f>
        <v>20530</v>
      </c>
      <c r="P128" s="10" t="s">
        <v>621</v>
      </c>
      <c r="Q128" s="214">
        <f>Q129+Q130</f>
        <v>136.8</v>
      </c>
      <c r="R128" s="214"/>
      <c r="S128" s="214"/>
    </row>
    <row r="129" spans="1:19" ht="33.75" customHeight="1">
      <c r="A129" s="97"/>
      <c r="B129" s="98"/>
      <c r="C129" s="114"/>
      <c r="D129" s="111"/>
      <c r="E129" s="114"/>
      <c r="F129" s="114"/>
      <c r="G129" s="89"/>
      <c r="H129" s="11" t="str">
        <f>'Приложение 9'!H624</f>
        <v>Иные закупки товаров, работ и услуг для обеспечения государственных (муниципальных) нужд</v>
      </c>
      <c r="I129" s="10">
        <f>'Приложение 9'!I624</f>
        <v>664</v>
      </c>
      <c r="J129" s="7">
        <f>'Приложение 9'!J624</f>
        <v>1</v>
      </c>
      <c r="K129" s="7">
        <f>'Приложение 9'!K624</f>
        <v>13</v>
      </c>
      <c r="L129" s="95">
        <f>'Приложение 9'!L624</f>
        <v>48</v>
      </c>
      <c r="M129" s="96" t="str">
        <f>'Приложение 9'!M624</f>
        <v>0</v>
      </c>
      <c r="N129" s="96" t="str">
        <f>'Приложение 9'!N624</f>
        <v>03</v>
      </c>
      <c r="O129" s="96" t="str">
        <f>'Приложение 9'!O624</f>
        <v>20530</v>
      </c>
      <c r="P129" s="10">
        <f>'Приложение 9'!P624</f>
        <v>240</v>
      </c>
      <c r="Q129" s="214">
        <f>'Приложение 9'!Q624</f>
        <v>101.2</v>
      </c>
      <c r="R129" s="214"/>
      <c r="S129" s="214"/>
    </row>
    <row r="130" spans="1:19" ht="33.75" customHeight="1">
      <c r="A130" s="97"/>
      <c r="B130" s="98"/>
      <c r="C130" s="114"/>
      <c r="D130" s="111"/>
      <c r="E130" s="114"/>
      <c r="F130" s="114"/>
      <c r="G130" s="89"/>
      <c r="H130" s="11" t="str">
        <f>'Приложение 9'!H625</f>
        <v>Уплата налогов, сборов и иных платежей</v>
      </c>
      <c r="I130" s="10">
        <f>'Приложение 9'!I625</f>
        <v>664</v>
      </c>
      <c r="J130" s="7">
        <f>'Приложение 9'!J625</f>
        <v>1</v>
      </c>
      <c r="K130" s="7">
        <f>'Приложение 9'!K625</f>
        <v>13</v>
      </c>
      <c r="L130" s="95">
        <f>'Приложение 9'!L625</f>
        <v>48</v>
      </c>
      <c r="M130" s="96" t="str">
        <f>'Приложение 9'!M625</f>
        <v>0</v>
      </c>
      <c r="N130" s="96" t="str">
        <f>'Приложение 9'!N625</f>
        <v>03</v>
      </c>
      <c r="O130" s="96" t="str">
        <f>'Приложение 9'!O625</f>
        <v>20530</v>
      </c>
      <c r="P130" s="10">
        <f>'Приложение 9'!P625</f>
        <v>850</v>
      </c>
      <c r="Q130" s="214">
        <f>'Приложение 9'!Q625</f>
        <v>35.6</v>
      </c>
      <c r="R130" s="214"/>
      <c r="S130" s="214"/>
    </row>
    <row r="131" spans="1:19" ht="33.75" customHeight="1">
      <c r="A131" s="97"/>
      <c r="B131" s="98"/>
      <c r="C131" s="114"/>
      <c r="D131" s="111"/>
      <c r="E131" s="114"/>
      <c r="F131" s="114"/>
      <c r="G131" s="89"/>
      <c r="H131" s="11" t="str">
        <f>'Приложение 9'!H626</f>
        <v>Основное мероприятие «Обеспечение деятельности Управления имущественных отношений»</v>
      </c>
      <c r="I131" s="10">
        <f>'Приложение 9'!I626</f>
        <v>664</v>
      </c>
      <c r="J131" s="7">
        <f>'Приложение 9'!J626</f>
        <v>1</v>
      </c>
      <c r="K131" s="7">
        <f>'Приложение 9'!K626</f>
        <v>13</v>
      </c>
      <c r="L131" s="95">
        <f>'Приложение 9'!L626</f>
        <v>48</v>
      </c>
      <c r="M131" s="96" t="str">
        <f>'Приложение 9'!M626</f>
        <v>0</v>
      </c>
      <c r="N131" s="96" t="str">
        <f>'Приложение 9'!N626</f>
        <v>04</v>
      </c>
      <c r="O131" s="96" t="str">
        <f>'Приложение 9'!O626</f>
        <v>00000</v>
      </c>
      <c r="P131" s="10" t="s">
        <v>621</v>
      </c>
      <c r="Q131" s="214">
        <f>Q132+Q137+Q139+Q142</f>
        <v>5030.9</v>
      </c>
      <c r="R131" s="214"/>
      <c r="S131" s="214"/>
    </row>
    <row r="132" spans="1:19" ht="33.75" customHeight="1">
      <c r="A132" s="97"/>
      <c r="B132" s="98"/>
      <c r="C132" s="114"/>
      <c r="D132" s="111"/>
      <c r="E132" s="114"/>
      <c r="F132" s="114"/>
      <c r="G132" s="89"/>
      <c r="H132" s="11" t="str">
        <f>'Приложение 9'!H627</f>
        <v>Расходы на обеспечение функций муниципальных органов</v>
      </c>
      <c r="I132" s="10">
        <f>'Приложение 9'!I627</f>
        <v>664</v>
      </c>
      <c r="J132" s="7">
        <f>'Приложение 9'!J627</f>
        <v>1</v>
      </c>
      <c r="K132" s="7">
        <f>'Приложение 9'!K627</f>
        <v>13</v>
      </c>
      <c r="L132" s="95">
        <f>'Приложение 9'!L627</f>
        <v>48</v>
      </c>
      <c r="M132" s="96" t="str">
        <f>'Приложение 9'!M627</f>
        <v>0</v>
      </c>
      <c r="N132" s="96" t="str">
        <f>'Приложение 9'!N627</f>
        <v>04</v>
      </c>
      <c r="O132" s="96" t="str">
        <f>'Приложение 9'!O627</f>
        <v>00190</v>
      </c>
      <c r="P132" s="10" t="s">
        <v>621</v>
      </c>
      <c r="Q132" s="214">
        <f>Q133+Q134+Q135+Q136</f>
        <v>3407.5</v>
      </c>
      <c r="R132" s="214"/>
      <c r="S132" s="214"/>
    </row>
    <row r="133" spans="1:19" ht="33.75" customHeight="1">
      <c r="A133" s="97"/>
      <c r="B133" s="98"/>
      <c r="C133" s="114"/>
      <c r="D133" s="111"/>
      <c r="E133" s="114"/>
      <c r="F133" s="114"/>
      <c r="G133" s="89"/>
      <c r="H133" s="11" t="str">
        <f>'Приложение 9'!H628</f>
        <v>Расходы на выплаты персоналу государственных (муниципальных) органов</v>
      </c>
      <c r="I133" s="10">
        <f>'Приложение 9'!I628</f>
        <v>664</v>
      </c>
      <c r="J133" s="7">
        <f>'Приложение 9'!J628</f>
        <v>1</v>
      </c>
      <c r="K133" s="7">
        <f>'Приложение 9'!K628</f>
        <v>13</v>
      </c>
      <c r="L133" s="95">
        <f>'Приложение 9'!L628</f>
        <v>48</v>
      </c>
      <c r="M133" s="96" t="str">
        <f>'Приложение 9'!M628</f>
        <v>0</v>
      </c>
      <c r="N133" s="96" t="str">
        <f>'Приложение 9'!N628</f>
        <v>04</v>
      </c>
      <c r="O133" s="96" t="str">
        <f>'Приложение 9'!O628</f>
        <v>00190</v>
      </c>
      <c r="P133" s="10">
        <f>'Приложение 9'!P628</f>
        <v>120</v>
      </c>
      <c r="Q133" s="214">
        <f>'Приложение 9'!Q628</f>
        <v>2820.6</v>
      </c>
      <c r="R133" s="214"/>
      <c r="S133" s="214"/>
    </row>
    <row r="134" spans="1:19" ht="33.75" customHeight="1">
      <c r="A134" s="97"/>
      <c r="B134" s="98"/>
      <c r="C134" s="114"/>
      <c r="D134" s="111"/>
      <c r="E134" s="114"/>
      <c r="F134" s="114"/>
      <c r="G134" s="89"/>
      <c r="H134" s="11" t="str">
        <f>'Приложение 9'!H629</f>
        <v>Иные закупки товаров, работ и услуг для обеспечения государственных (муниципальных) нужд</v>
      </c>
      <c r="I134" s="10">
        <f>'Приложение 9'!I629</f>
        <v>664</v>
      </c>
      <c r="J134" s="7">
        <f>'Приложение 9'!J629</f>
        <v>1</v>
      </c>
      <c r="K134" s="7">
        <f>'Приложение 9'!K629</f>
        <v>13</v>
      </c>
      <c r="L134" s="95">
        <f>'Приложение 9'!L629</f>
        <v>48</v>
      </c>
      <c r="M134" s="96" t="str">
        <f>'Приложение 9'!M629</f>
        <v>0</v>
      </c>
      <c r="N134" s="96" t="str">
        <f>'Приложение 9'!N629</f>
        <v>04</v>
      </c>
      <c r="O134" s="96" t="str">
        <f>'Приложение 9'!O629</f>
        <v>00190</v>
      </c>
      <c r="P134" s="10">
        <f>'Приложение 9'!P629</f>
        <v>240</v>
      </c>
      <c r="Q134" s="214">
        <f>'Приложение 9'!Q629</f>
        <v>566.9000000000001</v>
      </c>
      <c r="R134" s="214"/>
      <c r="S134" s="214"/>
    </row>
    <row r="135" spans="1:19" ht="33.75" customHeight="1">
      <c r="A135" s="97"/>
      <c r="B135" s="98"/>
      <c r="C135" s="114"/>
      <c r="D135" s="111"/>
      <c r="E135" s="114"/>
      <c r="F135" s="114"/>
      <c r="G135" s="89"/>
      <c r="H135" s="11" t="str">
        <f>'Приложение 9'!H630</f>
        <v>Исполнение судебных актов</v>
      </c>
      <c r="I135" s="10">
        <f>'Приложение 9'!I630</f>
        <v>664</v>
      </c>
      <c r="J135" s="7">
        <f>'Приложение 9'!J630</f>
        <v>1</v>
      </c>
      <c r="K135" s="7">
        <f>'Приложение 9'!K630</f>
        <v>13</v>
      </c>
      <c r="L135" s="95">
        <f>'Приложение 9'!L630</f>
        <v>48</v>
      </c>
      <c r="M135" s="96" t="str">
        <f>'Приложение 9'!M630</f>
        <v>0</v>
      </c>
      <c r="N135" s="96" t="str">
        <f>'Приложение 9'!N630</f>
        <v>04</v>
      </c>
      <c r="O135" s="96" t="str">
        <f>'Приложение 9'!O630</f>
        <v>00190</v>
      </c>
      <c r="P135" s="10">
        <f>'Приложение 9'!P630</f>
        <v>830</v>
      </c>
      <c r="Q135" s="214">
        <f>'Приложение 9'!Q630</f>
        <v>10</v>
      </c>
      <c r="R135" s="214"/>
      <c r="S135" s="214"/>
    </row>
    <row r="136" spans="1:19" ht="33.75" customHeight="1">
      <c r="A136" s="97"/>
      <c r="B136" s="98"/>
      <c r="C136" s="114"/>
      <c r="D136" s="111"/>
      <c r="E136" s="114"/>
      <c r="F136" s="114"/>
      <c r="G136" s="89"/>
      <c r="H136" s="11" t="str">
        <f>'Приложение 9'!H631</f>
        <v>Уплата налогов, сборов и иных платежей</v>
      </c>
      <c r="I136" s="10">
        <f>'Приложение 9'!I631</f>
        <v>664</v>
      </c>
      <c r="J136" s="7">
        <f>'Приложение 9'!J631</f>
        <v>1</v>
      </c>
      <c r="K136" s="7">
        <f>'Приложение 9'!K631</f>
        <v>13</v>
      </c>
      <c r="L136" s="95">
        <f>'Приложение 9'!L631</f>
        <v>48</v>
      </c>
      <c r="M136" s="96" t="str">
        <f>'Приложение 9'!M631</f>
        <v>0</v>
      </c>
      <c r="N136" s="96" t="str">
        <f>'Приложение 9'!N631</f>
        <v>04</v>
      </c>
      <c r="O136" s="96" t="str">
        <f>'Приложение 9'!O631</f>
        <v>00190</v>
      </c>
      <c r="P136" s="10">
        <f>'Приложение 9'!P631</f>
        <v>850</v>
      </c>
      <c r="Q136" s="214">
        <f>'Приложение 9'!Q631</f>
        <v>10</v>
      </c>
      <c r="R136" s="214"/>
      <c r="S136" s="214"/>
    </row>
    <row r="137" spans="1:19" ht="33.75" customHeight="1">
      <c r="A137" s="97"/>
      <c r="B137" s="98"/>
      <c r="C137" s="114"/>
      <c r="D137" s="111"/>
      <c r="E137" s="114"/>
      <c r="F137" s="114"/>
      <c r="G137" s="89"/>
      <c r="H137" s="11" t="str">
        <f>'Приложение 9'!H632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37" s="10">
        <f>'Приложение 9'!I632</f>
        <v>664</v>
      </c>
      <c r="J137" s="7">
        <f>'Приложение 9'!J632</f>
        <v>1</v>
      </c>
      <c r="K137" s="7">
        <f>'Приложение 9'!K632</f>
        <v>13</v>
      </c>
      <c r="L137" s="95">
        <f>'Приложение 9'!L632</f>
        <v>48</v>
      </c>
      <c r="M137" s="96" t="str">
        <f>'Приложение 9'!M632</f>
        <v>0</v>
      </c>
      <c r="N137" s="96" t="str">
        <f>'Приложение 9'!N632</f>
        <v>04</v>
      </c>
      <c r="O137" s="96" t="str">
        <f>'Приложение 9'!O632</f>
        <v>70030</v>
      </c>
      <c r="P137" s="10" t="s">
        <v>621</v>
      </c>
      <c r="Q137" s="214">
        <f>Q138</f>
        <v>789.2</v>
      </c>
      <c r="R137" s="214"/>
      <c r="S137" s="214"/>
    </row>
    <row r="138" spans="1:19" ht="33.75" customHeight="1">
      <c r="A138" s="97"/>
      <c r="B138" s="98"/>
      <c r="C138" s="114"/>
      <c r="D138" s="111"/>
      <c r="E138" s="114"/>
      <c r="F138" s="114"/>
      <c r="G138" s="89"/>
      <c r="H138" s="11" t="str">
        <f>'Приложение 9'!H633</f>
        <v>Расходы на выплаты персоналу государственных (муниципальных) органов</v>
      </c>
      <c r="I138" s="10">
        <f>'Приложение 9'!I633</f>
        <v>664</v>
      </c>
      <c r="J138" s="7">
        <f>'Приложение 9'!J633</f>
        <v>1</v>
      </c>
      <c r="K138" s="7">
        <f>'Приложение 9'!K633</f>
        <v>13</v>
      </c>
      <c r="L138" s="95">
        <f>'Приложение 9'!L633</f>
        <v>48</v>
      </c>
      <c r="M138" s="96" t="str">
        <f>'Приложение 9'!M633</f>
        <v>0</v>
      </c>
      <c r="N138" s="96" t="str">
        <f>'Приложение 9'!N633</f>
        <v>04</v>
      </c>
      <c r="O138" s="96" t="str">
        <f>'Приложение 9'!O633</f>
        <v>70030</v>
      </c>
      <c r="P138" s="10">
        <f>'Приложение 9'!P633</f>
        <v>120</v>
      </c>
      <c r="Q138" s="214">
        <f>'Приложение 9'!Q633</f>
        <v>789.2</v>
      </c>
      <c r="R138" s="214"/>
      <c r="S138" s="214"/>
    </row>
    <row r="139" spans="1:19" ht="33.75" customHeight="1">
      <c r="A139" s="97"/>
      <c r="B139" s="98"/>
      <c r="C139" s="114"/>
      <c r="D139" s="111"/>
      <c r="E139" s="114"/>
      <c r="F139" s="114"/>
      <c r="G139" s="89"/>
      <c r="H139" s="11" t="str">
        <f>'Приложение 9'!H634</f>
        <v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v>
      </c>
      <c r="I139" s="10">
        <f>'Приложение 9'!I634</f>
        <v>664</v>
      </c>
      <c r="J139" s="7">
        <f>'Приложение 9'!J634</f>
        <v>1</v>
      </c>
      <c r="K139" s="7">
        <f>'Приложение 9'!K634</f>
        <v>13</v>
      </c>
      <c r="L139" s="95">
        <f>'Приложение 9'!L634</f>
        <v>48</v>
      </c>
      <c r="M139" s="96" t="str">
        <f>'Приложение 9'!M634</f>
        <v>0</v>
      </c>
      <c r="N139" s="96" t="str">
        <f>'Приложение 9'!N634</f>
        <v>04</v>
      </c>
      <c r="O139" s="96" t="str">
        <f>'Приложение 9'!O634</f>
        <v>90190</v>
      </c>
      <c r="P139" s="10" t="s">
        <v>621</v>
      </c>
      <c r="Q139" s="214">
        <f>Q140+Q141</f>
        <v>373.8</v>
      </c>
      <c r="R139" s="214"/>
      <c r="S139" s="214"/>
    </row>
    <row r="140" spans="1:19" ht="33.75" customHeight="1">
      <c r="A140" s="97"/>
      <c r="B140" s="98"/>
      <c r="C140" s="114"/>
      <c r="D140" s="111"/>
      <c r="E140" s="114"/>
      <c r="F140" s="114"/>
      <c r="G140" s="89"/>
      <c r="H140" s="11" t="str">
        <f>'Приложение 9'!H635</f>
        <v>Расходы на выплаты персоналу государственных (муниципальных) органов</v>
      </c>
      <c r="I140" s="10">
        <f>'Приложение 9'!I635</f>
        <v>664</v>
      </c>
      <c r="J140" s="7">
        <f>'Приложение 9'!J635</f>
        <v>1</v>
      </c>
      <c r="K140" s="7">
        <f>'Приложение 9'!K635</f>
        <v>13</v>
      </c>
      <c r="L140" s="95">
        <f>'Приложение 9'!L635</f>
        <v>48</v>
      </c>
      <c r="M140" s="96" t="str">
        <f>'Приложение 9'!M635</f>
        <v>0</v>
      </c>
      <c r="N140" s="96" t="str">
        <f>'Приложение 9'!N635</f>
        <v>04</v>
      </c>
      <c r="O140" s="96" t="str">
        <f>'Приложение 9'!O635</f>
        <v>90190</v>
      </c>
      <c r="P140" s="10">
        <f>'Приложение 9'!P635</f>
        <v>120</v>
      </c>
      <c r="Q140" s="214">
        <f>'Приложение 9'!Q635</f>
        <v>365.3</v>
      </c>
      <c r="R140" s="214"/>
      <c r="S140" s="214"/>
    </row>
    <row r="141" spans="1:19" ht="33.75" customHeight="1">
      <c r="A141" s="97"/>
      <c r="B141" s="98"/>
      <c r="C141" s="114"/>
      <c r="D141" s="111"/>
      <c r="E141" s="114"/>
      <c r="F141" s="114"/>
      <c r="G141" s="89"/>
      <c r="H141" s="11" t="str">
        <f>'Приложение 9'!H636</f>
        <v>Иные закупки товаров, работ и услуг для обеспечения государственных (муниципальных) нужд</v>
      </c>
      <c r="I141" s="10">
        <f>'Приложение 9'!I636</f>
        <v>664</v>
      </c>
      <c r="J141" s="7">
        <f>'Приложение 9'!J636</f>
        <v>1</v>
      </c>
      <c r="K141" s="7">
        <f>'Приложение 9'!K636</f>
        <v>13</v>
      </c>
      <c r="L141" s="95">
        <f>'Приложение 9'!L636</f>
        <v>48</v>
      </c>
      <c r="M141" s="96" t="str">
        <f>'Приложение 9'!M636</f>
        <v>0</v>
      </c>
      <c r="N141" s="96" t="str">
        <f>'Приложение 9'!N636</f>
        <v>04</v>
      </c>
      <c r="O141" s="96" t="str">
        <f>'Приложение 9'!O636</f>
        <v>90190</v>
      </c>
      <c r="P141" s="10">
        <f>'Приложение 9'!P636</f>
        <v>240</v>
      </c>
      <c r="Q141" s="214">
        <f>'Приложение 9'!Q636</f>
        <v>8.5</v>
      </c>
      <c r="R141" s="214"/>
      <c r="S141" s="214"/>
    </row>
    <row r="142" spans="1:19" ht="33.75" customHeight="1">
      <c r="A142" s="97"/>
      <c r="B142" s="98"/>
      <c r="C142" s="114"/>
      <c r="D142" s="111"/>
      <c r="E142" s="114"/>
      <c r="F142" s="114"/>
      <c r="G142" s="89"/>
      <c r="H142" s="11" t="str">
        <f>'Приложение 9'!H637</f>
        <v>Осуществление земельного контроля в границах поселения</v>
      </c>
      <c r="I142" s="10">
        <f>'Приложение 9'!I637</f>
        <v>664</v>
      </c>
      <c r="J142" s="7">
        <f>'Приложение 9'!J637</f>
        <v>1</v>
      </c>
      <c r="K142" s="7">
        <f>'Приложение 9'!K637</f>
        <v>13</v>
      </c>
      <c r="L142" s="95">
        <f>'Приложение 9'!L637</f>
        <v>48</v>
      </c>
      <c r="M142" s="96" t="str">
        <f>'Приложение 9'!M637</f>
        <v>0</v>
      </c>
      <c r="N142" s="96" t="str">
        <f>'Приложение 9'!N637</f>
        <v>04</v>
      </c>
      <c r="O142" s="96" t="str">
        <f>'Приложение 9'!O637</f>
        <v>90200</v>
      </c>
      <c r="P142" s="10" t="s">
        <v>621</v>
      </c>
      <c r="Q142" s="214">
        <f>Q143+Q144</f>
        <v>460.4</v>
      </c>
      <c r="R142" s="214"/>
      <c r="S142" s="214"/>
    </row>
    <row r="143" spans="1:19" ht="33.75" customHeight="1">
      <c r="A143" s="97"/>
      <c r="B143" s="98"/>
      <c r="C143" s="114"/>
      <c r="D143" s="111"/>
      <c r="E143" s="114"/>
      <c r="F143" s="114"/>
      <c r="G143" s="89"/>
      <c r="H143" s="11" t="str">
        <f>'Приложение 9'!H638</f>
        <v>Расходы на выплаты персоналу государственных (муниципальных) органов</v>
      </c>
      <c r="I143" s="10">
        <f>'Приложение 9'!I638</f>
        <v>664</v>
      </c>
      <c r="J143" s="7">
        <f>'Приложение 9'!J638</f>
        <v>1</v>
      </c>
      <c r="K143" s="7">
        <f>'Приложение 9'!K638</f>
        <v>13</v>
      </c>
      <c r="L143" s="95">
        <f>'Приложение 9'!L638</f>
        <v>48</v>
      </c>
      <c r="M143" s="96" t="str">
        <f>'Приложение 9'!M638</f>
        <v>0</v>
      </c>
      <c r="N143" s="96" t="str">
        <f>'Приложение 9'!N638</f>
        <v>04</v>
      </c>
      <c r="O143" s="96" t="str">
        <f>'Приложение 9'!O638</f>
        <v>90200</v>
      </c>
      <c r="P143" s="10">
        <f>'Приложение 9'!P638</f>
        <v>120</v>
      </c>
      <c r="Q143" s="214">
        <f>'Приложение 9'!Q638</f>
        <v>451.9</v>
      </c>
      <c r="R143" s="214"/>
      <c r="S143" s="214"/>
    </row>
    <row r="144" spans="1:19" ht="33.75" customHeight="1">
      <c r="A144" s="97"/>
      <c r="B144" s="98"/>
      <c r="C144" s="114"/>
      <c r="D144" s="111"/>
      <c r="E144" s="114"/>
      <c r="F144" s="114"/>
      <c r="G144" s="89"/>
      <c r="H144" s="11" t="str">
        <f>'Приложение 9'!H639</f>
        <v>Иные закупки товаров, работ и услуг для обеспечения государственных (муниципальных) нужд</v>
      </c>
      <c r="I144" s="10">
        <f>'Приложение 9'!I639</f>
        <v>664</v>
      </c>
      <c r="J144" s="7">
        <f>'Приложение 9'!J639</f>
        <v>1</v>
      </c>
      <c r="K144" s="7">
        <f>'Приложение 9'!K639</f>
        <v>13</v>
      </c>
      <c r="L144" s="95">
        <f>'Приложение 9'!L639</f>
        <v>48</v>
      </c>
      <c r="M144" s="96" t="str">
        <f>'Приложение 9'!M639</f>
        <v>0</v>
      </c>
      <c r="N144" s="96" t="str">
        <f>'Приложение 9'!N639</f>
        <v>04</v>
      </c>
      <c r="O144" s="96" t="str">
        <f>'Приложение 9'!O639</f>
        <v>90200</v>
      </c>
      <c r="P144" s="10">
        <f>'Приложение 9'!P639</f>
        <v>240</v>
      </c>
      <c r="Q144" s="214">
        <f>'Приложение 9'!Q639</f>
        <v>8.5</v>
      </c>
      <c r="R144" s="214"/>
      <c r="S144" s="214"/>
    </row>
    <row r="145" spans="1:19" ht="33.75" customHeight="1">
      <c r="A145" s="97"/>
      <c r="B145" s="98"/>
      <c r="C145" s="114"/>
      <c r="D145" s="111"/>
      <c r="E145" s="114"/>
      <c r="F145" s="114"/>
      <c r="G145" s="89"/>
      <c r="H145" s="11" t="str">
        <f>'Приложение 9'!H640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145" s="10">
        <f>'Приложение 9'!I640</f>
        <v>664</v>
      </c>
      <c r="J145" s="7">
        <f>'Приложение 9'!J640</f>
        <v>1</v>
      </c>
      <c r="K145" s="7">
        <f>'Приложение 9'!K640</f>
        <v>13</v>
      </c>
      <c r="L145" s="95" t="str">
        <f>'Приложение 9'!L640</f>
        <v>48</v>
      </c>
      <c r="M145" s="96" t="str">
        <f>'Приложение 9'!M640</f>
        <v>0</v>
      </c>
      <c r="N145" s="96" t="str">
        <f>'Приложение 9'!N640</f>
        <v>P1</v>
      </c>
      <c r="O145" s="96" t="str">
        <f>'Приложение 9'!O640</f>
        <v>00000</v>
      </c>
      <c r="P145" s="10" t="s">
        <v>621</v>
      </c>
      <c r="Q145" s="214">
        <f>Q146</f>
        <v>73.7</v>
      </c>
      <c r="R145" s="214"/>
      <c r="S145" s="214"/>
    </row>
    <row r="146" spans="1:19" ht="33.75" customHeight="1">
      <c r="A146" s="97"/>
      <c r="B146" s="98"/>
      <c r="C146" s="114"/>
      <c r="D146" s="111"/>
      <c r="E146" s="114"/>
      <c r="F146" s="114"/>
      <c r="G146" s="89"/>
      <c r="H146" s="11" t="str">
        <f>'Приложение 9'!H641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146" s="10">
        <f>'Приложение 9'!I641</f>
        <v>664</v>
      </c>
      <c r="J146" s="7">
        <f>'Приложение 9'!J641</f>
        <v>1</v>
      </c>
      <c r="K146" s="7">
        <f>'Приложение 9'!K641</f>
        <v>13</v>
      </c>
      <c r="L146" s="95">
        <f>'Приложение 9'!L641</f>
        <v>48</v>
      </c>
      <c r="M146" s="96" t="str">
        <f>'Приложение 9'!M641</f>
        <v>0</v>
      </c>
      <c r="N146" s="96" t="str">
        <f>'Приложение 9'!N641</f>
        <v>P1</v>
      </c>
      <c r="O146" s="96" t="str">
        <f>'Приложение 9'!O641</f>
        <v>72300</v>
      </c>
      <c r="P146" s="10" t="s">
        <v>621</v>
      </c>
      <c r="Q146" s="214">
        <f>Q147</f>
        <v>73.7</v>
      </c>
      <c r="R146" s="214"/>
      <c r="S146" s="214"/>
    </row>
    <row r="147" spans="1:19" ht="33.75" customHeight="1">
      <c r="A147" s="97"/>
      <c r="B147" s="98"/>
      <c r="C147" s="114"/>
      <c r="D147" s="111"/>
      <c r="E147" s="114"/>
      <c r="F147" s="114"/>
      <c r="G147" s="89"/>
      <c r="H147" s="11" t="str">
        <f>'Приложение 9'!H642</f>
        <v>Иные закупки товаров, работ и услуг для обеспечения государственных (муниципальных) нужд</v>
      </c>
      <c r="I147" s="10">
        <f>'Приложение 9'!I642</f>
        <v>664</v>
      </c>
      <c r="J147" s="7">
        <f>'Приложение 9'!J642</f>
        <v>1</v>
      </c>
      <c r="K147" s="7">
        <f>'Приложение 9'!K642</f>
        <v>13</v>
      </c>
      <c r="L147" s="95">
        <f>'Приложение 9'!L642</f>
        <v>48</v>
      </c>
      <c r="M147" s="96" t="str">
        <f>'Приложение 9'!M642</f>
        <v>0</v>
      </c>
      <c r="N147" s="96" t="str">
        <f>'Приложение 9'!N642</f>
        <v>P1</v>
      </c>
      <c r="O147" s="96" t="str">
        <f>'Приложение 9'!O642</f>
        <v>72300</v>
      </c>
      <c r="P147" s="10">
        <f>'Приложение 9'!P642</f>
        <v>240</v>
      </c>
      <c r="Q147" s="214">
        <f>'Приложение 9'!Q642</f>
        <v>73.7</v>
      </c>
      <c r="R147" s="214"/>
      <c r="S147" s="214"/>
    </row>
    <row r="148" spans="1:19" ht="33.75" customHeight="1">
      <c r="A148" s="97"/>
      <c r="B148" s="98"/>
      <c r="C148" s="114"/>
      <c r="D148" s="111"/>
      <c r="E148" s="114"/>
      <c r="F148" s="114"/>
      <c r="G148" s="89"/>
      <c r="H148" s="11" t="str">
        <f>'Приложение 9'!H55</f>
        <v>Резервные фонды местных администраций</v>
      </c>
      <c r="I148" s="10">
        <f>'Приложение 9'!I55</f>
        <v>27</v>
      </c>
      <c r="J148" s="7">
        <f>'Приложение 9'!J55</f>
        <v>1</v>
      </c>
      <c r="K148" s="7">
        <f>'Приложение 9'!K55</f>
        <v>13</v>
      </c>
      <c r="L148" s="95" t="str">
        <f>'Приложение 9'!L55</f>
        <v>70</v>
      </c>
      <c r="M148" s="96" t="str">
        <f>'Приложение 9'!M55</f>
        <v>5</v>
      </c>
      <c r="N148" s="96" t="str">
        <f>'Приложение 9'!N55</f>
        <v>00</v>
      </c>
      <c r="O148" s="96" t="str">
        <f>'Приложение 9'!O55</f>
        <v>00000</v>
      </c>
      <c r="P148" s="10" t="s">
        <v>621</v>
      </c>
      <c r="Q148" s="214">
        <f>Q149</f>
        <v>9741.4</v>
      </c>
      <c r="R148" s="214"/>
      <c r="S148" s="214"/>
    </row>
    <row r="149" spans="1:19" ht="33.75" customHeight="1">
      <c r="A149" s="97"/>
      <c r="B149" s="98"/>
      <c r="C149" s="114"/>
      <c r="D149" s="111"/>
      <c r="E149" s="114"/>
      <c r="F149" s="114"/>
      <c r="G149" s="89"/>
      <c r="H149" s="11" t="str">
        <f>'Приложение 9'!H56</f>
        <v>Иные закупки товаров, работ и услуг для обеспечения государственных (муниципальных) нужд</v>
      </c>
      <c r="I149" s="10">
        <f>'Приложение 9'!I56</f>
        <v>27</v>
      </c>
      <c r="J149" s="7">
        <f>'Приложение 9'!J56</f>
        <v>1</v>
      </c>
      <c r="K149" s="7">
        <f>'Приложение 9'!K56</f>
        <v>13</v>
      </c>
      <c r="L149" s="95" t="str">
        <f>'Приложение 9'!L56</f>
        <v>70</v>
      </c>
      <c r="M149" s="96" t="str">
        <f>'Приложение 9'!M56</f>
        <v>5</v>
      </c>
      <c r="N149" s="96" t="str">
        <f>'Приложение 9'!N56</f>
        <v>00</v>
      </c>
      <c r="O149" s="96" t="str">
        <f>'Приложение 9'!O56</f>
        <v>00000</v>
      </c>
      <c r="P149" s="10">
        <f>'Приложение 9'!P56</f>
        <v>240</v>
      </c>
      <c r="Q149" s="214">
        <f>'Приложение 9'!Q56</f>
        <v>9741.4</v>
      </c>
      <c r="R149" s="214"/>
      <c r="S149" s="214"/>
    </row>
    <row r="150" spans="1:19" s="179" customFormat="1" ht="18.75" customHeight="1">
      <c r="A150" s="142"/>
      <c r="B150" s="143"/>
      <c r="C150" s="166"/>
      <c r="D150" s="135"/>
      <c r="E150" s="135"/>
      <c r="F150" s="135"/>
      <c r="G150" s="136"/>
      <c r="H150" s="11" t="s">
        <v>299</v>
      </c>
      <c r="I150" s="10">
        <v>660</v>
      </c>
      <c r="J150" s="7">
        <v>1</v>
      </c>
      <c r="K150" s="7">
        <v>13</v>
      </c>
      <c r="L150" s="95" t="s">
        <v>580</v>
      </c>
      <c r="M150" s="96" t="s">
        <v>563</v>
      </c>
      <c r="N150" s="96" t="s">
        <v>583</v>
      </c>
      <c r="O150" s="96" t="s">
        <v>620</v>
      </c>
      <c r="P150" s="138"/>
      <c r="Q150" s="214">
        <f>Q151+Q170+Q155+Q163+Q165+Q167+Q173+Q160+Q175+Q158</f>
        <v>33561.6</v>
      </c>
      <c r="R150" s="214" t="e">
        <f>R151+R170+R155+#REF!+R163+R165+#REF!+R167+#REF!+#REF!+R173+#REF!</f>
        <v>#REF!</v>
      </c>
      <c r="S150" s="214" t="e">
        <f>S151+S170+S155+#REF!+S163+S165+#REF!+S167+#REF!+#REF!+S173</f>
        <v>#REF!</v>
      </c>
    </row>
    <row r="151" spans="1:19" ht="18.75" customHeight="1">
      <c r="A151" s="99"/>
      <c r="B151" s="98"/>
      <c r="C151" s="97"/>
      <c r="D151" s="363">
        <v>5050000</v>
      </c>
      <c r="E151" s="364"/>
      <c r="F151" s="364"/>
      <c r="G151" s="89">
        <v>321</v>
      </c>
      <c r="H151" s="11" t="s">
        <v>342</v>
      </c>
      <c r="I151" s="10">
        <v>660</v>
      </c>
      <c r="J151" s="7">
        <v>1</v>
      </c>
      <c r="K151" s="7">
        <v>13</v>
      </c>
      <c r="L151" s="16" t="s">
        <v>580</v>
      </c>
      <c r="M151" s="96" t="s">
        <v>563</v>
      </c>
      <c r="N151" s="96" t="s">
        <v>583</v>
      </c>
      <c r="O151" s="96" t="s">
        <v>648</v>
      </c>
      <c r="P151" s="10" t="s">
        <v>534</v>
      </c>
      <c r="Q151" s="214">
        <f>SUM(Q152:Q154)</f>
        <v>1913.1999999999998</v>
      </c>
      <c r="R151" s="214">
        <f>SUM(R152:R154)</f>
        <v>3646</v>
      </c>
      <c r="S151" s="214">
        <f>SUM(S152:S154)</f>
        <v>2978.8</v>
      </c>
    </row>
    <row r="152" spans="1:19" ht="26.25" customHeight="1">
      <c r="A152" s="99"/>
      <c r="B152" s="98"/>
      <c r="C152" s="97"/>
      <c r="D152" s="101"/>
      <c r="E152" s="100"/>
      <c r="F152" s="100"/>
      <c r="G152" s="89"/>
      <c r="H152" s="11" t="s">
        <v>533</v>
      </c>
      <c r="I152" s="6">
        <v>660</v>
      </c>
      <c r="J152" s="7">
        <v>1</v>
      </c>
      <c r="K152" s="7">
        <v>13</v>
      </c>
      <c r="L152" s="16">
        <v>91</v>
      </c>
      <c r="M152" s="96" t="s">
        <v>563</v>
      </c>
      <c r="N152" s="96" t="s">
        <v>583</v>
      </c>
      <c r="O152" s="96" t="s">
        <v>648</v>
      </c>
      <c r="P152" s="10">
        <v>120</v>
      </c>
      <c r="Q152" s="214">
        <f>'Приложение 9'!Q372</f>
        <v>869.3</v>
      </c>
      <c r="R152" s="214">
        <v>869.3</v>
      </c>
      <c r="S152" s="214">
        <v>869.3</v>
      </c>
    </row>
    <row r="153" spans="1:19" ht="27.75" customHeight="1">
      <c r="A153" s="99"/>
      <c r="B153" s="98"/>
      <c r="C153" s="103"/>
      <c r="D153" s="101"/>
      <c r="E153" s="113"/>
      <c r="F153" s="113"/>
      <c r="G153" s="89"/>
      <c r="H153" s="5" t="s">
        <v>720</v>
      </c>
      <c r="I153" s="6">
        <v>660</v>
      </c>
      <c r="J153" s="7">
        <v>1</v>
      </c>
      <c r="K153" s="7">
        <v>13</v>
      </c>
      <c r="L153" s="16">
        <v>91</v>
      </c>
      <c r="M153" s="96" t="s">
        <v>563</v>
      </c>
      <c r="N153" s="96" t="s">
        <v>583</v>
      </c>
      <c r="O153" s="96" t="s">
        <v>648</v>
      </c>
      <c r="P153" s="6">
        <v>240</v>
      </c>
      <c r="Q153" s="214">
        <f>'Приложение 9'!Q373+'Приложение 9'!Q59+0.1</f>
        <v>961.4</v>
      </c>
      <c r="R153" s="214">
        <f>182+2512.2</f>
        <v>2694.2</v>
      </c>
      <c r="S153" s="214">
        <f>182+1845</f>
        <v>2027</v>
      </c>
    </row>
    <row r="154" spans="1:19" ht="20.25" customHeight="1">
      <c r="A154" s="110"/>
      <c r="B154" s="112"/>
      <c r="C154" s="106"/>
      <c r="D154" s="109"/>
      <c r="E154" s="104"/>
      <c r="F154" s="104"/>
      <c r="G154" s="89"/>
      <c r="H154" s="11" t="s">
        <v>721</v>
      </c>
      <c r="I154" s="6">
        <v>27</v>
      </c>
      <c r="J154" s="7">
        <v>1</v>
      </c>
      <c r="K154" s="7">
        <v>13</v>
      </c>
      <c r="L154" s="95" t="s">
        <v>580</v>
      </c>
      <c r="M154" s="96" t="s">
        <v>563</v>
      </c>
      <c r="N154" s="96" t="s">
        <v>583</v>
      </c>
      <c r="O154" s="96" t="s">
        <v>648</v>
      </c>
      <c r="P154" s="6">
        <v>850</v>
      </c>
      <c r="Q154" s="216">
        <v>82.5</v>
      </c>
      <c r="R154" s="216">
        <v>82.5</v>
      </c>
      <c r="S154" s="216">
        <v>82.5</v>
      </c>
    </row>
    <row r="155" spans="1:19" ht="26.25" customHeight="1">
      <c r="A155" s="99"/>
      <c r="B155" s="98"/>
      <c r="C155" s="97"/>
      <c r="D155" s="363">
        <v>5220000</v>
      </c>
      <c r="E155" s="364"/>
      <c r="F155" s="364"/>
      <c r="G155" s="89">
        <v>622</v>
      </c>
      <c r="H155" s="11" t="s">
        <v>344</v>
      </c>
      <c r="I155" s="10">
        <v>27</v>
      </c>
      <c r="J155" s="7">
        <v>1</v>
      </c>
      <c r="K155" s="7">
        <v>13</v>
      </c>
      <c r="L155" s="95" t="s">
        <v>580</v>
      </c>
      <c r="M155" s="96" t="s">
        <v>563</v>
      </c>
      <c r="N155" s="96" t="s">
        <v>583</v>
      </c>
      <c r="O155" s="96" t="s">
        <v>345</v>
      </c>
      <c r="P155" s="10"/>
      <c r="Q155" s="214">
        <f>SUM(Q156:Q157)</f>
        <v>15732.899999999998</v>
      </c>
      <c r="R155" s="214">
        <f>SUM(R156:R157)</f>
        <v>23760</v>
      </c>
      <c r="S155" s="214">
        <f>SUM(S156:S157)</f>
        <v>23760</v>
      </c>
    </row>
    <row r="156" spans="1:19" ht="26.25" customHeight="1">
      <c r="A156" s="99"/>
      <c r="B156" s="98"/>
      <c r="C156" s="97"/>
      <c r="D156" s="101"/>
      <c r="E156" s="100"/>
      <c r="F156" s="100"/>
      <c r="G156" s="89"/>
      <c r="H156" s="11" t="s">
        <v>722</v>
      </c>
      <c r="I156" s="6">
        <v>27</v>
      </c>
      <c r="J156" s="7">
        <v>1</v>
      </c>
      <c r="K156" s="7">
        <v>13</v>
      </c>
      <c r="L156" s="95" t="s">
        <v>580</v>
      </c>
      <c r="M156" s="96" t="s">
        <v>563</v>
      </c>
      <c r="N156" s="96" t="s">
        <v>583</v>
      </c>
      <c r="O156" s="96" t="s">
        <v>345</v>
      </c>
      <c r="P156" s="10">
        <v>610</v>
      </c>
      <c r="Q156" s="214">
        <v>258.8</v>
      </c>
      <c r="R156" s="214">
        <v>260</v>
      </c>
      <c r="S156" s="214">
        <v>260</v>
      </c>
    </row>
    <row r="157" spans="1:19" ht="24.75" customHeight="1">
      <c r="A157" s="99"/>
      <c r="B157" s="98"/>
      <c r="C157" s="103"/>
      <c r="D157" s="107"/>
      <c r="E157" s="178"/>
      <c r="F157" s="178"/>
      <c r="G157" s="89"/>
      <c r="H157" s="11" t="s">
        <v>757</v>
      </c>
      <c r="I157" s="10">
        <v>27</v>
      </c>
      <c r="J157" s="7">
        <v>1</v>
      </c>
      <c r="K157" s="7">
        <v>13</v>
      </c>
      <c r="L157" s="95" t="s">
        <v>580</v>
      </c>
      <c r="M157" s="96" t="s">
        <v>563</v>
      </c>
      <c r="N157" s="96" t="s">
        <v>583</v>
      </c>
      <c r="O157" s="96" t="s">
        <v>345</v>
      </c>
      <c r="P157" s="10">
        <v>620</v>
      </c>
      <c r="Q157" s="214">
        <f>SUM('Приложение 9'!Q63)</f>
        <v>15474.099999999999</v>
      </c>
      <c r="R157" s="214">
        <v>23500</v>
      </c>
      <c r="S157" s="214">
        <v>23500</v>
      </c>
    </row>
    <row r="158" spans="1:19" ht="24.75" customHeight="1">
      <c r="A158" s="110"/>
      <c r="B158" s="111"/>
      <c r="C158" s="106"/>
      <c r="D158" s="107"/>
      <c r="E158" s="104"/>
      <c r="F158" s="104"/>
      <c r="G158" s="89"/>
      <c r="H158" s="11" t="str">
        <f>'Приложение 9'!H64</f>
        <v>Расходы на содержание и организацию деятельности аварийно-спасательной службы</v>
      </c>
      <c r="I158" s="10">
        <f>'Приложение 9'!I64</f>
        <v>27</v>
      </c>
      <c r="J158" s="7">
        <f>'Приложение 9'!J64</f>
        <v>1</v>
      </c>
      <c r="K158" s="7">
        <f>'Приложение 9'!K64</f>
        <v>13</v>
      </c>
      <c r="L158" s="95" t="str">
        <f>'Приложение 9'!L64</f>
        <v>91</v>
      </c>
      <c r="M158" s="96" t="str">
        <f>'Приложение 9'!M64</f>
        <v>0</v>
      </c>
      <c r="N158" s="96" t="str">
        <f>'Приложение 9'!N64</f>
        <v>00</v>
      </c>
      <c r="O158" s="96" t="str">
        <f>'Приложение 9'!O64</f>
        <v>20030</v>
      </c>
      <c r="P158" s="10" t="s">
        <v>621</v>
      </c>
      <c r="Q158" s="214">
        <f>Q159</f>
        <v>163.7</v>
      </c>
      <c r="R158" s="216"/>
      <c r="S158" s="216"/>
    </row>
    <row r="159" spans="1:19" ht="24.75" customHeight="1">
      <c r="A159" s="110"/>
      <c r="B159" s="111"/>
      <c r="C159" s="106"/>
      <c r="D159" s="107"/>
      <c r="E159" s="104"/>
      <c r="F159" s="104"/>
      <c r="G159" s="89"/>
      <c r="H159" s="11" t="str">
        <f>'Приложение 9'!H65</f>
        <v>Иные закупки товаров, работ и услуг для обеспечения государственных (муниципальных) нужд</v>
      </c>
      <c r="I159" s="10">
        <f>'Приложение 9'!I65</f>
        <v>27</v>
      </c>
      <c r="J159" s="7">
        <f>'Приложение 9'!J65</f>
        <v>1</v>
      </c>
      <c r="K159" s="7">
        <f>'Приложение 9'!K65</f>
        <v>13</v>
      </c>
      <c r="L159" s="95" t="str">
        <f>'Приложение 9'!L65</f>
        <v>91</v>
      </c>
      <c r="M159" s="96" t="str">
        <f>'Приложение 9'!M65</f>
        <v>0</v>
      </c>
      <c r="N159" s="96" t="str">
        <f>'Приложение 9'!N65</f>
        <v>00</v>
      </c>
      <c r="O159" s="96" t="str">
        <f>'Приложение 9'!O65</f>
        <v>20030</v>
      </c>
      <c r="P159" s="10">
        <f>'Приложение 9'!P65</f>
        <v>240</v>
      </c>
      <c r="Q159" s="214">
        <f>'Приложение 9'!Q65</f>
        <v>163.7</v>
      </c>
      <c r="R159" s="216"/>
      <c r="S159" s="216"/>
    </row>
    <row r="160" spans="1:19" ht="31.5" customHeight="1">
      <c r="A160" s="110"/>
      <c r="B160" s="111"/>
      <c r="C160" s="106"/>
      <c r="D160" s="107"/>
      <c r="E160" s="104"/>
      <c r="F160" s="104"/>
      <c r="G160" s="89"/>
      <c r="H160" s="11" t="str">
        <f>'Приложение 9'!H66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60" s="10">
        <f>'Приложение 9'!I66</f>
        <v>27</v>
      </c>
      <c r="J160" s="7">
        <f>'Приложение 9'!J66</f>
        <v>1</v>
      </c>
      <c r="K160" s="7">
        <f>'Приложение 9'!K66</f>
        <v>13</v>
      </c>
      <c r="L160" s="95" t="str">
        <f>'Приложение 9'!L66</f>
        <v>91</v>
      </c>
      <c r="M160" s="96" t="str">
        <f>'Приложение 9'!M66</f>
        <v>0</v>
      </c>
      <c r="N160" s="96" t="str">
        <f>'Приложение 9'!N66</f>
        <v>00</v>
      </c>
      <c r="O160" s="96" t="str">
        <f>'Приложение 9'!O66</f>
        <v>70030</v>
      </c>
      <c r="P160" s="10" t="s">
        <v>621</v>
      </c>
      <c r="Q160" s="214">
        <f>Q161+Q162</f>
        <v>9393.7</v>
      </c>
      <c r="R160" s="216"/>
      <c r="S160" s="216"/>
    </row>
    <row r="161" spans="1:19" ht="31.5" customHeight="1">
      <c r="A161" s="110"/>
      <c r="B161" s="111"/>
      <c r="C161" s="106"/>
      <c r="D161" s="107"/>
      <c r="E161" s="104"/>
      <c r="F161" s="104"/>
      <c r="G161" s="89"/>
      <c r="H161" s="34" t="s">
        <v>533</v>
      </c>
      <c r="I161" s="10"/>
      <c r="J161" s="7">
        <f>'Приложение 9'!J67</f>
        <v>1</v>
      </c>
      <c r="K161" s="7">
        <f>'Приложение 9'!K67</f>
        <v>13</v>
      </c>
      <c r="L161" s="95" t="str">
        <f>'Приложение 9'!L67</f>
        <v>91</v>
      </c>
      <c r="M161" s="96" t="str">
        <f>'Приложение 9'!M67</f>
        <v>0</v>
      </c>
      <c r="N161" s="96" t="str">
        <f>'Приложение 9'!N67</f>
        <v>00</v>
      </c>
      <c r="O161" s="96" t="str">
        <f>'Приложение 9'!O67</f>
        <v>70030</v>
      </c>
      <c r="P161" s="10">
        <v>120</v>
      </c>
      <c r="Q161" s="214">
        <f>'Приложение 9'!Q375</f>
        <v>165</v>
      </c>
      <c r="R161" s="216"/>
      <c r="S161" s="216"/>
    </row>
    <row r="162" spans="1:19" ht="24.75" customHeight="1">
      <c r="A162" s="110"/>
      <c r="B162" s="111"/>
      <c r="C162" s="106"/>
      <c r="D162" s="107"/>
      <c r="E162" s="104"/>
      <c r="F162" s="104"/>
      <c r="G162" s="89"/>
      <c r="H162" s="11" t="str">
        <f>'Приложение 9'!H67</f>
        <v>Субсидии автономным учреждениям</v>
      </c>
      <c r="I162" s="10">
        <f>'Приложение 9'!I67</f>
        <v>27</v>
      </c>
      <c r="J162" s="7">
        <f>'Приложение 9'!J67</f>
        <v>1</v>
      </c>
      <c r="K162" s="7">
        <f>'Приложение 9'!K67</f>
        <v>13</v>
      </c>
      <c r="L162" s="95" t="str">
        <f>'Приложение 9'!L67</f>
        <v>91</v>
      </c>
      <c r="M162" s="96" t="str">
        <f>'Приложение 9'!M67</f>
        <v>0</v>
      </c>
      <c r="N162" s="96" t="str">
        <f>'Приложение 9'!N67</f>
        <v>00</v>
      </c>
      <c r="O162" s="96" t="str">
        <f>'Приложение 9'!O67</f>
        <v>70030</v>
      </c>
      <c r="P162" s="10">
        <f>'Приложение 9'!P67</f>
        <v>620</v>
      </c>
      <c r="Q162" s="214">
        <f>'Приложение 9'!Q67</f>
        <v>9228.7</v>
      </c>
      <c r="R162" s="216"/>
      <c r="S162" s="216"/>
    </row>
    <row r="163" spans="1:19" ht="48" customHeight="1">
      <c r="A163" s="110"/>
      <c r="B163" s="112"/>
      <c r="C163" s="106"/>
      <c r="D163" s="109"/>
      <c r="E163" s="104"/>
      <c r="F163" s="104"/>
      <c r="G163" s="89"/>
      <c r="H163" s="34" t="s">
        <v>660</v>
      </c>
      <c r="I163" s="10">
        <v>27</v>
      </c>
      <c r="J163" s="7">
        <v>1</v>
      </c>
      <c r="K163" s="7">
        <v>13</v>
      </c>
      <c r="L163" s="95" t="s">
        <v>580</v>
      </c>
      <c r="M163" s="96" t="s">
        <v>563</v>
      </c>
      <c r="N163" s="96" t="s">
        <v>583</v>
      </c>
      <c r="O163" s="96" t="s">
        <v>655</v>
      </c>
      <c r="P163" s="6"/>
      <c r="Q163" s="216">
        <f>SUM(Q164:Q164)</f>
        <v>478.7</v>
      </c>
      <c r="R163" s="216">
        <f>SUM(R164:R164)</f>
        <v>240.4</v>
      </c>
      <c r="S163" s="216">
        <f>SUM(S164:S164)</f>
        <v>241.3</v>
      </c>
    </row>
    <row r="164" spans="1:19" ht="30" customHeight="1">
      <c r="A164" s="110"/>
      <c r="B164" s="112"/>
      <c r="C164" s="106"/>
      <c r="D164" s="109"/>
      <c r="E164" s="104"/>
      <c r="F164" s="104"/>
      <c r="G164" s="89"/>
      <c r="H164" s="34" t="s">
        <v>533</v>
      </c>
      <c r="I164" s="10">
        <v>27</v>
      </c>
      <c r="J164" s="7">
        <v>1</v>
      </c>
      <c r="K164" s="7">
        <v>13</v>
      </c>
      <c r="L164" s="95" t="s">
        <v>580</v>
      </c>
      <c r="M164" s="96" t="s">
        <v>563</v>
      </c>
      <c r="N164" s="96" t="s">
        <v>583</v>
      </c>
      <c r="O164" s="96" t="s">
        <v>655</v>
      </c>
      <c r="P164" s="10">
        <v>120</v>
      </c>
      <c r="Q164" s="214">
        <v>478.7</v>
      </c>
      <c r="R164" s="214">
        <v>240.4</v>
      </c>
      <c r="S164" s="214">
        <v>241.3</v>
      </c>
    </row>
    <row r="165" spans="1:19" ht="77.25" customHeight="1">
      <c r="A165" s="110"/>
      <c r="B165" s="112"/>
      <c r="C165" s="106"/>
      <c r="D165" s="109"/>
      <c r="E165" s="104"/>
      <c r="F165" s="104"/>
      <c r="G165" s="89"/>
      <c r="H165" s="11" t="s">
        <v>346</v>
      </c>
      <c r="I165" s="10">
        <v>27</v>
      </c>
      <c r="J165" s="7">
        <v>1</v>
      </c>
      <c r="K165" s="7">
        <v>13</v>
      </c>
      <c r="L165" s="95" t="s">
        <v>580</v>
      </c>
      <c r="M165" s="96" t="s">
        <v>563</v>
      </c>
      <c r="N165" s="96" t="s">
        <v>583</v>
      </c>
      <c r="O165" s="96" t="s">
        <v>649</v>
      </c>
      <c r="P165" s="6"/>
      <c r="Q165" s="216">
        <f>Q166</f>
        <v>4542.5</v>
      </c>
      <c r="R165" s="216">
        <f>R166</f>
        <v>3437.1</v>
      </c>
      <c r="S165" s="216">
        <f>S166</f>
        <v>3437.1</v>
      </c>
    </row>
    <row r="166" spans="1:19" ht="27" customHeight="1">
      <c r="A166" s="99"/>
      <c r="B166" s="98"/>
      <c r="C166" s="103"/>
      <c r="D166" s="101"/>
      <c r="E166" s="113"/>
      <c r="F166" s="113"/>
      <c r="G166" s="105">
        <v>120</v>
      </c>
      <c r="H166" s="11" t="s">
        <v>722</v>
      </c>
      <c r="I166" s="10">
        <v>27</v>
      </c>
      <c r="J166" s="7">
        <v>1</v>
      </c>
      <c r="K166" s="7">
        <v>13</v>
      </c>
      <c r="L166" s="95" t="s">
        <v>580</v>
      </c>
      <c r="M166" s="96" t="s">
        <v>563</v>
      </c>
      <c r="N166" s="96" t="s">
        <v>583</v>
      </c>
      <c r="O166" s="96" t="s">
        <v>649</v>
      </c>
      <c r="P166" s="6">
        <v>610</v>
      </c>
      <c r="Q166" s="216">
        <f>'Приложение 9'!Q72</f>
        <v>4542.5</v>
      </c>
      <c r="R166" s="216">
        <v>3437.1</v>
      </c>
      <c r="S166" s="216">
        <v>3437.1</v>
      </c>
    </row>
    <row r="167" spans="1:19" ht="21" customHeight="1">
      <c r="A167" s="97"/>
      <c r="B167" s="98"/>
      <c r="C167" s="106"/>
      <c r="D167" s="111"/>
      <c r="E167" s="114"/>
      <c r="F167" s="114"/>
      <c r="G167" s="89"/>
      <c r="H167" s="3" t="s">
        <v>815</v>
      </c>
      <c r="I167" s="10">
        <v>27</v>
      </c>
      <c r="J167" s="7">
        <v>1</v>
      </c>
      <c r="K167" s="7">
        <v>13</v>
      </c>
      <c r="L167" s="95" t="s">
        <v>580</v>
      </c>
      <c r="M167" s="96" t="s">
        <v>563</v>
      </c>
      <c r="N167" s="96" t="s">
        <v>583</v>
      </c>
      <c r="O167" s="96" t="s">
        <v>814</v>
      </c>
      <c r="P167" s="10"/>
      <c r="Q167" s="214">
        <f>SUM(Q168:Q169)</f>
        <v>882.9000000000001</v>
      </c>
      <c r="R167" s="214">
        <f>SUM(R168:R169)</f>
        <v>784.4000000000001</v>
      </c>
      <c r="S167" s="214">
        <f>SUM(S168:S169)</f>
        <v>784.4000000000001</v>
      </c>
    </row>
    <row r="168" spans="1:19" ht="26.25" customHeight="1">
      <c r="A168" s="97"/>
      <c r="B168" s="98"/>
      <c r="C168" s="106"/>
      <c r="D168" s="111"/>
      <c r="E168" s="114"/>
      <c r="F168" s="114"/>
      <c r="G168" s="89"/>
      <c r="H168" s="34" t="s">
        <v>533</v>
      </c>
      <c r="I168" s="10">
        <v>27</v>
      </c>
      <c r="J168" s="7">
        <v>1</v>
      </c>
      <c r="K168" s="7">
        <v>13</v>
      </c>
      <c r="L168" s="95" t="s">
        <v>580</v>
      </c>
      <c r="M168" s="96" t="s">
        <v>563</v>
      </c>
      <c r="N168" s="96" t="s">
        <v>583</v>
      </c>
      <c r="O168" s="96" t="s">
        <v>814</v>
      </c>
      <c r="P168" s="10">
        <v>120</v>
      </c>
      <c r="Q168" s="214">
        <f>'Приложение 9'!Q74</f>
        <v>479.1</v>
      </c>
      <c r="R168" s="215">
        <v>479.1</v>
      </c>
      <c r="S168" s="215">
        <v>479.1</v>
      </c>
    </row>
    <row r="169" spans="1:19" ht="30" customHeight="1">
      <c r="A169" s="97"/>
      <c r="B169" s="98"/>
      <c r="C169" s="106"/>
      <c r="D169" s="111"/>
      <c r="E169" s="114"/>
      <c r="F169" s="114"/>
      <c r="G169" s="89"/>
      <c r="H169" s="5" t="s">
        <v>720</v>
      </c>
      <c r="I169" s="10">
        <v>27</v>
      </c>
      <c r="J169" s="7">
        <v>1</v>
      </c>
      <c r="K169" s="7">
        <v>13</v>
      </c>
      <c r="L169" s="95" t="s">
        <v>580</v>
      </c>
      <c r="M169" s="96" t="s">
        <v>563</v>
      </c>
      <c r="N169" s="96" t="s">
        <v>583</v>
      </c>
      <c r="O169" s="96" t="s">
        <v>814</v>
      </c>
      <c r="P169" s="10">
        <v>240</v>
      </c>
      <c r="Q169" s="214">
        <f>'Приложение 9'!Q75</f>
        <v>403.8</v>
      </c>
      <c r="R169" s="215">
        <v>305.3</v>
      </c>
      <c r="S169" s="215">
        <v>305.3</v>
      </c>
    </row>
    <row r="170" spans="1:19" ht="36.75" customHeight="1">
      <c r="A170" s="99"/>
      <c r="B170" s="98"/>
      <c r="C170" s="103"/>
      <c r="D170" s="107"/>
      <c r="E170" s="104"/>
      <c r="F170" s="104"/>
      <c r="G170" s="105"/>
      <c r="H170" s="11" t="s">
        <v>245</v>
      </c>
      <c r="I170" s="10">
        <v>660</v>
      </c>
      <c r="J170" s="7">
        <v>1</v>
      </c>
      <c r="K170" s="7">
        <v>13</v>
      </c>
      <c r="L170" s="16">
        <v>91</v>
      </c>
      <c r="M170" s="96" t="s">
        <v>563</v>
      </c>
      <c r="N170" s="96" t="s">
        <v>583</v>
      </c>
      <c r="O170" s="96" t="s">
        <v>244</v>
      </c>
      <c r="P170" s="6"/>
      <c r="Q170" s="216">
        <f>SUM(Q171:Q172)</f>
        <v>324.9</v>
      </c>
      <c r="R170" s="216"/>
      <c r="S170" s="216"/>
    </row>
    <row r="171" spans="1:19" ht="30.75" customHeight="1">
      <c r="A171" s="99"/>
      <c r="B171" s="98"/>
      <c r="C171" s="103"/>
      <c r="D171" s="107"/>
      <c r="E171" s="104"/>
      <c r="F171" s="104"/>
      <c r="G171" s="105"/>
      <c r="H171" s="11" t="s">
        <v>533</v>
      </c>
      <c r="I171" s="10">
        <v>660</v>
      </c>
      <c r="J171" s="7">
        <v>1</v>
      </c>
      <c r="K171" s="7">
        <v>13</v>
      </c>
      <c r="L171" s="16">
        <v>91</v>
      </c>
      <c r="M171" s="96" t="s">
        <v>563</v>
      </c>
      <c r="N171" s="96" t="s">
        <v>583</v>
      </c>
      <c r="O171" s="96" t="s">
        <v>244</v>
      </c>
      <c r="P171" s="6">
        <v>120</v>
      </c>
      <c r="Q171" s="216">
        <v>323.9</v>
      </c>
      <c r="R171" s="216"/>
      <c r="S171" s="216"/>
    </row>
    <row r="172" spans="1:19" ht="24.75" customHeight="1">
      <c r="A172" s="99"/>
      <c r="B172" s="98"/>
      <c r="C172" s="103"/>
      <c r="D172" s="107"/>
      <c r="E172" s="104"/>
      <c r="F172" s="104"/>
      <c r="G172" s="105"/>
      <c r="H172" s="11" t="s">
        <v>720</v>
      </c>
      <c r="I172" s="10">
        <v>660</v>
      </c>
      <c r="J172" s="7">
        <v>1</v>
      </c>
      <c r="K172" s="7">
        <v>13</v>
      </c>
      <c r="L172" s="16">
        <v>91</v>
      </c>
      <c r="M172" s="96" t="s">
        <v>563</v>
      </c>
      <c r="N172" s="96" t="s">
        <v>583</v>
      </c>
      <c r="O172" s="96" t="s">
        <v>244</v>
      </c>
      <c r="P172" s="6">
        <v>240</v>
      </c>
      <c r="Q172" s="214">
        <v>1</v>
      </c>
      <c r="R172" s="214"/>
      <c r="S172" s="214"/>
    </row>
    <row r="173" spans="1:19" ht="38.25" customHeight="1">
      <c r="A173" s="97"/>
      <c r="B173" s="98"/>
      <c r="C173" s="106"/>
      <c r="D173" s="111"/>
      <c r="E173" s="114"/>
      <c r="F173" s="114"/>
      <c r="G173" s="89"/>
      <c r="H173" s="3" t="s">
        <v>526</v>
      </c>
      <c r="I173" s="10">
        <v>27</v>
      </c>
      <c r="J173" s="7">
        <v>1</v>
      </c>
      <c r="K173" s="7">
        <v>13</v>
      </c>
      <c r="L173" s="95" t="s">
        <v>580</v>
      </c>
      <c r="M173" s="96" t="s">
        <v>563</v>
      </c>
      <c r="N173" s="96" t="s">
        <v>583</v>
      </c>
      <c r="O173" s="96" t="s">
        <v>527</v>
      </c>
      <c r="P173" s="10" t="s">
        <v>621</v>
      </c>
      <c r="Q173" s="214">
        <f>Q174</f>
        <v>17.8</v>
      </c>
      <c r="R173" s="214"/>
      <c r="S173" s="214"/>
    </row>
    <row r="174" spans="1:19" ht="28.5" customHeight="1">
      <c r="A174" s="97"/>
      <c r="B174" s="98"/>
      <c r="C174" s="106"/>
      <c r="D174" s="111"/>
      <c r="E174" s="114"/>
      <c r="F174" s="114"/>
      <c r="G174" s="89"/>
      <c r="H174" s="3" t="s">
        <v>720</v>
      </c>
      <c r="I174" s="10">
        <v>27</v>
      </c>
      <c r="J174" s="7">
        <v>1</v>
      </c>
      <c r="K174" s="7">
        <v>13</v>
      </c>
      <c r="L174" s="95" t="s">
        <v>580</v>
      </c>
      <c r="M174" s="96" t="s">
        <v>563</v>
      </c>
      <c r="N174" s="96" t="s">
        <v>583</v>
      </c>
      <c r="O174" s="96" t="s">
        <v>527</v>
      </c>
      <c r="P174" s="10">
        <v>240</v>
      </c>
      <c r="Q174" s="214">
        <f>'Приложение 9'!Q77</f>
        <v>17.8</v>
      </c>
      <c r="R174" s="214"/>
      <c r="S174" s="214"/>
    </row>
    <row r="175" spans="1:19" ht="42.75" customHeight="1">
      <c r="A175" s="97"/>
      <c r="B175" s="98"/>
      <c r="C175" s="114"/>
      <c r="D175" s="111"/>
      <c r="E175" s="114"/>
      <c r="F175" s="114"/>
      <c r="G175" s="89"/>
      <c r="H175" s="320" t="s">
        <v>77</v>
      </c>
      <c r="I175" s="10"/>
      <c r="J175" s="7">
        <v>1</v>
      </c>
      <c r="K175" s="7">
        <v>13</v>
      </c>
      <c r="L175" s="95" t="s">
        <v>580</v>
      </c>
      <c r="M175" s="96" t="s">
        <v>563</v>
      </c>
      <c r="N175" s="96" t="s">
        <v>583</v>
      </c>
      <c r="O175" s="96" t="s">
        <v>79</v>
      </c>
      <c r="P175" s="10"/>
      <c r="Q175" s="214">
        <v>111.3</v>
      </c>
      <c r="R175" s="214"/>
      <c r="S175" s="214"/>
    </row>
    <row r="176" spans="1:19" ht="28.5" customHeight="1">
      <c r="A176" s="97"/>
      <c r="B176" s="98"/>
      <c r="C176" s="114"/>
      <c r="D176" s="111"/>
      <c r="E176" s="114"/>
      <c r="F176" s="114"/>
      <c r="G176" s="89"/>
      <c r="H176" s="11" t="s">
        <v>647</v>
      </c>
      <c r="I176" s="10"/>
      <c r="J176" s="7">
        <v>1</v>
      </c>
      <c r="K176" s="7">
        <v>13</v>
      </c>
      <c r="L176" s="95" t="s">
        <v>580</v>
      </c>
      <c r="M176" s="96" t="s">
        <v>563</v>
      </c>
      <c r="N176" s="96" t="s">
        <v>583</v>
      </c>
      <c r="O176" s="96" t="s">
        <v>79</v>
      </c>
      <c r="P176" s="10">
        <v>240</v>
      </c>
      <c r="Q176" s="214">
        <f>'Приложение 9'!Q81</f>
        <v>111.3</v>
      </c>
      <c r="R176" s="214"/>
      <c r="S176" s="214"/>
    </row>
    <row r="177" spans="1:19" s="179" customFormat="1" ht="27" customHeight="1">
      <c r="A177" s="135"/>
      <c r="B177" s="135"/>
      <c r="C177" s="135"/>
      <c r="D177" s="135"/>
      <c r="E177" s="135"/>
      <c r="F177" s="135"/>
      <c r="G177" s="136"/>
      <c r="H177" s="137" t="s">
        <v>555</v>
      </c>
      <c r="I177" s="138">
        <v>27</v>
      </c>
      <c r="J177" s="148">
        <v>3</v>
      </c>
      <c r="K177" s="148" t="s">
        <v>621</v>
      </c>
      <c r="L177" s="140"/>
      <c r="M177" s="141"/>
      <c r="N177" s="141"/>
      <c r="O177" s="141"/>
      <c r="P177" s="146"/>
      <c r="Q177" s="217">
        <f>Q178+Q185</f>
        <v>2258.7999999999997</v>
      </c>
      <c r="R177" s="217" t="e">
        <f>R178+R185</f>
        <v>#REF!</v>
      </c>
      <c r="S177" s="217" t="e">
        <f>S178+S185</f>
        <v>#REF!</v>
      </c>
    </row>
    <row r="178" spans="1:19" s="179" customFormat="1" ht="33" customHeight="1">
      <c r="A178" s="135"/>
      <c r="B178" s="135"/>
      <c r="C178" s="135"/>
      <c r="D178" s="135"/>
      <c r="E178" s="135"/>
      <c r="F178" s="135"/>
      <c r="G178" s="136"/>
      <c r="H178" s="137" t="s">
        <v>557</v>
      </c>
      <c r="I178" s="138">
        <v>27</v>
      </c>
      <c r="J178" s="148">
        <v>3</v>
      </c>
      <c r="K178" s="148">
        <v>9</v>
      </c>
      <c r="L178" s="140" t="s">
        <v>534</v>
      </c>
      <c r="M178" s="141" t="s">
        <v>534</v>
      </c>
      <c r="N178" s="141"/>
      <c r="O178" s="141" t="s">
        <v>534</v>
      </c>
      <c r="P178" s="146" t="s">
        <v>534</v>
      </c>
      <c r="Q178" s="217">
        <f aca="true" t="shared" si="8" ref="Q178:S179">Q179</f>
        <v>2092.7999999999997</v>
      </c>
      <c r="R178" s="217">
        <f t="shared" si="8"/>
        <v>1756</v>
      </c>
      <c r="S178" s="217">
        <f t="shared" si="8"/>
        <v>1756</v>
      </c>
    </row>
    <row r="179" spans="1:19" s="179" customFormat="1" ht="33" customHeight="1">
      <c r="A179" s="135"/>
      <c r="B179" s="135"/>
      <c r="C179" s="135"/>
      <c r="D179" s="135"/>
      <c r="E179" s="135"/>
      <c r="F179" s="135"/>
      <c r="G179" s="136"/>
      <c r="H179" s="11" t="s">
        <v>299</v>
      </c>
      <c r="I179" s="10">
        <v>27</v>
      </c>
      <c r="J179" s="7">
        <v>3</v>
      </c>
      <c r="K179" s="7">
        <v>9</v>
      </c>
      <c r="L179" s="95" t="s">
        <v>580</v>
      </c>
      <c r="M179" s="96" t="s">
        <v>563</v>
      </c>
      <c r="N179" s="96" t="s">
        <v>583</v>
      </c>
      <c r="O179" s="96" t="s">
        <v>620</v>
      </c>
      <c r="P179" s="146"/>
      <c r="Q179" s="217">
        <f>Q180+Q183</f>
        <v>2092.7999999999997</v>
      </c>
      <c r="R179" s="217">
        <f t="shared" si="8"/>
        <v>1756</v>
      </c>
      <c r="S179" s="217">
        <f t="shared" si="8"/>
        <v>1756</v>
      </c>
    </row>
    <row r="180" spans="1:19" ht="26.25" customHeight="1">
      <c r="A180" s="88"/>
      <c r="B180" s="88"/>
      <c r="C180" s="88"/>
      <c r="D180" s="88"/>
      <c r="E180" s="88"/>
      <c r="F180" s="88"/>
      <c r="G180" s="89"/>
      <c r="H180" s="11" t="s">
        <v>344</v>
      </c>
      <c r="I180" s="10">
        <v>27</v>
      </c>
      <c r="J180" s="7">
        <v>3</v>
      </c>
      <c r="K180" s="7">
        <v>9</v>
      </c>
      <c r="L180" s="95" t="s">
        <v>580</v>
      </c>
      <c r="M180" s="96" t="s">
        <v>563</v>
      </c>
      <c r="N180" s="96" t="s">
        <v>583</v>
      </c>
      <c r="O180" s="96" t="s">
        <v>345</v>
      </c>
      <c r="P180" s="6" t="s">
        <v>534</v>
      </c>
      <c r="Q180" s="216">
        <f>SUM(Q181:Q182)</f>
        <v>1755.8999999999999</v>
      </c>
      <c r="R180" s="216">
        <f>SUM(R181:R182)</f>
        <v>1756</v>
      </c>
      <c r="S180" s="216">
        <f>SUM(S181:S182)</f>
        <v>1756</v>
      </c>
    </row>
    <row r="181" spans="1:19" ht="26.25" customHeight="1">
      <c r="A181" s="88"/>
      <c r="B181" s="88"/>
      <c r="C181" s="88"/>
      <c r="D181" s="88"/>
      <c r="E181" s="88"/>
      <c r="F181" s="88"/>
      <c r="G181" s="89"/>
      <c r="H181" s="11" t="s">
        <v>723</v>
      </c>
      <c r="I181" s="6">
        <v>27</v>
      </c>
      <c r="J181" s="7">
        <v>3</v>
      </c>
      <c r="K181" s="7">
        <v>9</v>
      </c>
      <c r="L181" s="95" t="s">
        <v>580</v>
      </c>
      <c r="M181" s="96" t="s">
        <v>563</v>
      </c>
      <c r="N181" s="96" t="s">
        <v>583</v>
      </c>
      <c r="O181" s="96" t="s">
        <v>345</v>
      </c>
      <c r="P181" s="6">
        <v>110</v>
      </c>
      <c r="Q181" s="216">
        <v>1690.1</v>
      </c>
      <c r="R181" s="216">
        <v>1690.1</v>
      </c>
      <c r="S181" s="216">
        <v>1690.1</v>
      </c>
    </row>
    <row r="182" spans="1:19" ht="23.25" customHeight="1">
      <c r="A182" s="88"/>
      <c r="B182" s="88"/>
      <c r="C182" s="88"/>
      <c r="D182" s="88"/>
      <c r="E182" s="88"/>
      <c r="F182" s="88"/>
      <c r="G182" s="89"/>
      <c r="H182" s="5" t="s">
        <v>720</v>
      </c>
      <c r="I182" s="8">
        <v>27</v>
      </c>
      <c r="J182" s="7">
        <v>3</v>
      </c>
      <c r="K182" s="7">
        <v>9</v>
      </c>
      <c r="L182" s="95" t="s">
        <v>580</v>
      </c>
      <c r="M182" s="96" t="s">
        <v>563</v>
      </c>
      <c r="N182" s="96" t="s">
        <v>583</v>
      </c>
      <c r="O182" s="96" t="s">
        <v>345</v>
      </c>
      <c r="P182" s="6">
        <v>240</v>
      </c>
      <c r="Q182" s="214">
        <v>65.8</v>
      </c>
      <c r="R182" s="214">
        <v>65.9</v>
      </c>
      <c r="S182" s="214">
        <v>65.9</v>
      </c>
    </row>
    <row r="183" spans="1:19" ht="23.25" customHeight="1">
      <c r="A183" s="88"/>
      <c r="B183" s="88"/>
      <c r="C183" s="88"/>
      <c r="D183" s="88"/>
      <c r="E183" s="88"/>
      <c r="F183" s="88"/>
      <c r="G183" s="89"/>
      <c r="H183" s="11" t="str">
        <f>'Приложение 9'!H88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83" s="13">
        <f>'Приложение 9'!I88</f>
        <v>27</v>
      </c>
      <c r="J183" s="7">
        <f>'Приложение 9'!J88</f>
        <v>3</v>
      </c>
      <c r="K183" s="7">
        <f>'Приложение 9'!K88</f>
        <v>9</v>
      </c>
      <c r="L183" s="95" t="str">
        <f>'Приложение 9'!L88</f>
        <v>91</v>
      </c>
      <c r="M183" s="96" t="str">
        <f>'Приложение 9'!M88</f>
        <v>0</v>
      </c>
      <c r="N183" s="96" t="str">
        <f>'Приложение 9'!N88</f>
        <v>00</v>
      </c>
      <c r="O183" s="96" t="str">
        <f>'Приложение 9'!O88</f>
        <v>70030</v>
      </c>
      <c r="P183" s="6" t="s">
        <v>621</v>
      </c>
      <c r="Q183" s="216">
        <f>Q184</f>
        <v>336.9</v>
      </c>
      <c r="R183" s="216"/>
      <c r="S183" s="216"/>
    </row>
    <row r="184" spans="1:19" ht="23.25" customHeight="1">
      <c r="A184" s="88"/>
      <c r="B184" s="88"/>
      <c r="C184" s="88"/>
      <c r="D184" s="88"/>
      <c r="E184" s="88"/>
      <c r="F184" s="88"/>
      <c r="G184" s="89"/>
      <c r="H184" s="11" t="str">
        <f>'Приложение 9'!H89</f>
        <v>Расходы на выплаты персоналу казенных учреждений</v>
      </c>
      <c r="I184" s="13">
        <f>'Приложение 9'!I89</f>
        <v>27</v>
      </c>
      <c r="J184" s="7">
        <f>'Приложение 9'!J89</f>
        <v>3</v>
      </c>
      <c r="K184" s="7">
        <f>'Приложение 9'!K89</f>
        <v>9</v>
      </c>
      <c r="L184" s="95" t="str">
        <f>'Приложение 9'!L89</f>
        <v>91</v>
      </c>
      <c r="M184" s="96" t="str">
        <f>'Приложение 9'!M89</f>
        <v>0</v>
      </c>
      <c r="N184" s="96" t="str">
        <f>'Приложение 9'!N89</f>
        <v>00</v>
      </c>
      <c r="O184" s="96" t="str">
        <f>'Приложение 9'!O89</f>
        <v>70030</v>
      </c>
      <c r="P184" s="6">
        <f>'Приложение 9'!P89</f>
        <v>110</v>
      </c>
      <c r="Q184" s="216">
        <f>'Приложение 9'!Q89</f>
        <v>336.9</v>
      </c>
      <c r="R184" s="216"/>
      <c r="S184" s="216"/>
    </row>
    <row r="185" spans="1:19" s="179" customFormat="1" ht="25.5" customHeight="1">
      <c r="A185" s="135"/>
      <c r="B185" s="135"/>
      <c r="C185" s="135"/>
      <c r="D185" s="135"/>
      <c r="E185" s="135"/>
      <c r="F185" s="135"/>
      <c r="G185" s="136"/>
      <c r="H185" s="137" t="s">
        <v>556</v>
      </c>
      <c r="I185" s="138">
        <v>27</v>
      </c>
      <c r="J185" s="148">
        <v>3</v>
      </c>
      <c r="K185" s="148">
        <v>14</v>
      </c>
      <c r="L185" s="140"/>
      <c r="M185" s="141"/>
      <c r="N185" s="141"/>
      <c r="O185" s="141"/>
      <c r="P185" s="146"/>
      <c r="Q185" s="217">
        <f>Q186</f>
        <v>166</v>
      </c>
      <c r="R185" s="217" t="e">
        <f>R186+#REF!</f>
        <v>#REF!</v>
      </c>
      <c r="S185" s="217" t="e">
        <f>S186+#REF!</f>
        <v>#REF!</v>
      </c>
    </row>
    <row r="186" spans="1:19" ht="38.25" customHeight="1">
      <c r="A186" s="88"/>
      <c r="B186" s="88"/>
      <c r="C186" s="88"/>
      <c r="D186" s="88"/>
      <c r="E186" s="88"/>
      <c r="F186" s="88"/>
      <c r="G186" s="89"/>
      <c r="H186" s="11" t="s">
        <v>252</v>
      </c>
      <c r="I186" s="10">
        <v>27</v>
      </c>
      <c r="J186" s="7">
        <v>3</v>
      </c>
      <c r="K186" s="7">
        <v>14</v>
      </c>
      <c r="L186" s="95" t="s">
        <v>597</v>
      </c>
      <c r="M186" s="96" t="s">
        <v>563</v>
      </c>
      <c r="N186" s="96" t="s">
        <v>583</v>
      </c>
      <c r="O186" s="96" t="s">
        <v>620</v>
      </c>
      <c r="P186" s="6"/>
      <c r="Q186" s="216">
        <f>Q187</f>
        <v>166</v>
      </c>
      <c r="R186" s="216">
        <f>R194</f>
        <v>0</v>
      </c>
      <c r="S186" s="216">
        <f>S194</f>
        <v>0</v>
      </c>
    </row>
    <row r="187" spans="1:19" ht="22.5" customHeight="1">
      <c r="A187" s="88"/>
      <c r="B187" s="88"/>
      <c r="C187" s="88"/>
      <c r="D187" s="88"/>
      <c r="E187" s="88"/>
      <c r="F187" s="88"/>
      <c r="G187" s="89"/>
      <c r="H187" s="11" t="str">
        <f>'Приложение 9'!H92</f>
        <v>Подпрограмма «Профилактика преступлений и иных правонарушений»</v>
      </c>
      <c r="I187" s="10">
        <f>'Приложение 9'!I92</f>
        <v>27</v>
      </c>
      <c r="J187" s="7">
        <f>'Приложение 9'!J92</f>
        <v>3</v>
      </c>
      <c r="K187" s="7">
        <f>'Приложение 9'!K92</f>
        <v>14</v>
      </c>
      <c r="L187" s="95" t="str">
        <f>'Приложение 9'!L92</f>
        <v>13</v>
      </c>
      <c r="M187" s="96" t="str">
        <f>'Приложение 9'!M92</f>
        <v>2</v>
      </c>
      <c r="N187" s="96" t="str">
        <f>'Приложение 9'!N92</f>
        <v>00</v>
      </c>
      <c r="O187" s="96" t="str">
        <f>'Приложение 9'!O92</f>
        <v>00000</v>
      </c>
      <c r="P187" s="6" t="s">
        <v>621</v>
      </c>
      <c r="Q187" s="216">
        <f>Q188+Q192+Q195</f>
        <v>166</v>
      </c>
      <c r="R187" s="216"/>
      <c r="S187" s="216"/>
    </row>
    <row r="188" spans="1:19" ht="22.5" customHeight="1">
      <c r="A188" s="88"/>
      <c r="B188" s="88"/>
      <c r="C188" s="88"/>
      <c r="D188" s="88"/>
      <c r="E188" s="88"/>
      <c r="F188" s="88"/>
      <c r="G188" s="89"/>
      <c r="H188" s="11" t="str">
        <f>'Приложение 9'!H93</f>
        <v>Основное мероприятие "Предупреждение экстремизма и терроризма"</v>
      </c>
      <c r="I188" s="10">
        <f>'Приложение 9'!I93</f>
        <v>27</v>
      </c>
      <c r="J188" s="7">
        <f>'Приложение 9'!J93</f>
        <v>3</v>
      </c>
      <c r="K188" s="7">
        <f>'Приложение 9'!K93</f>
        <v>14</v>
      </c>
      <c r="L188" s="95" t="str">
        <f>'Приложение 9'!L93</f>
        <v>13</v>
      </c>
      <c r="M188" s="96" t="str">
        <f>'Приложение 9'!M93</f>
        <v>2</v>
      </c>
      <c r="N188" s="96" t="str">
        <f>'Приложение 9'!N93</f>
        <v>03</v>
      </c>
      <c r="O188" s="96" t="str">
        <f>'Приложение 9'!O93</f>
        <v>00000</v>
      </c>
      <c r="P188" s="6" t="s">
        <v>621</v>
      </c>
      <c r="Q188" s="216">
        <f>'Приложение 9'!Q93</f>
        <v>20</v>
      </c>
      <c r="R188" s="216"/>
      <c r="S188" s="216"/>
    </row>
    <row r="189" spans="1:19" ht="22.5" customHeight="1">
      <c r="A189" s="88"/>
      <c r="B189" s="88"/>
      <c r="C189" s="88"/>
      <c r="D189" s="88"/>
      <c r="E189" s="88"/>
      <c r="F189" s="88"/>
      <c r="G189" s="89"/>
      <c r="H189" s="11" t="str">
        <f>'Приложение 9'!H94</f>
        <v>Реализация мероприятий, направленных на предупреждение экстремизма и терроризма</v>
      </c>
      <c r="I189" s="10">
        <f>'Приложение 9'!I94</f>
        <v>27</v>
      </c>
      <c r="J189" s="7">
        <f>'Приложение 9'!J94</f>
        <v>3</v>
      </c>
      <c r="K189" s="7">
        <f>'Приложение 9'!K94</f>
        <v>14</v>
      </c>
      <c r="L189" s="95" t="str">
        <f>'Приложение 9'!L94</f>
        <v>13</v>
      </c>
      <c r="M189" s="96" t="str">
        <f>'Приложение 9'!M94</f>
        <v>2</v>
      </c>
      <c r="N189" s="96" t="str">
        <f>'Приложение 9'!N94</f>
        <v>03</v>
      </c>
      <c r="O189" s="96" t="str">
        <f>'Приложение 9'!O94</f>
        <v>23060</v>
      </c>
      <c r="P189" s="6" t="s">
        <v>621</v>
      </c>
      <c r="Q189" s="216">
        <f>Q190+Q191</f>
        <v>20</v>
      </c>
      <c r="R189" s="216"/>
      <c r="S189" s="216"/>
    </row>
    <row r="190" spans="1:19" ht="28.5" customHeight="1">
      <c r="A190" s="88"/>
      <c r="B190" s="88"/>
      <c r="C190" s="88"/>
      <c r="D190" s="88"/>
      <c r="E190" s="88"/>
      <c r="F190" s="88"/>
      <c r="G190" s="89"/>
      <c r="H190" s="11" t="str">
        <f>'Приложение 9'!H95</f>
        <v>Иные закупки товаров, работ и услуг для обеспечения государственных (муниципальных) нужд</v>
      </c>
      <c r="I190" s="10">
        <f>'Приложение 9'!I95</f>
        <v>27</v>
      </c>
      <c r="J190" s="7">
        <f>'Приложение 9'!J95</f>
        <v>3</v>
      </c>
      <c r="K190" s="7">
        <f>'Приложение 9'!K95</f>
        <v>14</v>
      </c>
      <c r="L190" s="95" t="str">
        <f>'Приложение 9'!L95</f>
        <v>13</v>
      </c>
      <c r="M190" s="96" t="str">
        <f>'Приложение 9'!M95</f>
        <v>2</v>
      </c>
      <c r="N190" s="96" t="str">
        <f>'Приложение 9'!N95</f>
        <v>03</v>
      </c>
      <c r="O190" s="96" t="str">
        <f>'Приложение 9'!O95</f>
        <v>23060</v>
      </c>
      <c r="P190" s="6">
        <f>'Приложение 9'!P95</f>
        <v>240</v>
      </c>
      <c r="Q190" s="216">
        <f>'Приложение 9'!Q95</f>
        <v>15</v>
      </c>
      <c r="R190" s="216"/>
      <c r="S190" s="216"/>
    </row>
    <row r="191" spans="1:19" ht="28.5" customHeight="1">
      <c r="A191" s="88"/>
      <c r="B191" s="88"/>
      <c r="C191" s="88"/>
      <c r="D191" s="88"/>
      <c r="E191" s="88"/>
      <c r="F191" s="88"/>
      <c r="G191" s="89"/>
      <c r="H191" s="11" t="str">
        <f>'Приложение 9'!H96</f>
        <v>Иные выплаты населению</v>
      </c>
      <c r="I191" s="10">
        <f>'Приложение 9'!I96</f>
        <v>27</v>
      </c>
      <c r="J191" s="7">
        <f>'Приложение 9'!J96</f>
        <v>3</v>
      </c>
      <c r="K191" s="7">
        <f>'Приложение 9'!K96</f>
        <v>14</v>
      </c>
      <c r="L191" s="95" t="str">
        <f>'Приложение 9'!L96</f>
        <v>13</v>
      </c>
      <c r="M191" s="96" t="str">
        <f>'Приложение 9'!M96</f>
        <v>2</v>
      </c>
      <c r="N191" s="96" t="str">
        <f>'Приложение 9'!N96</f>
        <v>03</v>
      </c>
      <c r="O191" s="96" t="str">
        <f>'Приложение 9'!O96</f>
        <v>23060</v>
      </c>
      <c r="P191" s="6">
        <f>'Приложение 9'!P96</f>
        <v>360</v>
      </c>
      <c r="Q191" s="216">
        <f>'Приложение 9'!Q96</f>
        <v>5</v>
      </c>
      <c r="R191" s="216"/>
      <c r="S191" s="216"/>
    </row>
    <row r="192" spans="1:19" ht="28.5" customHeight="1">
      <c r="A192" s="88"/>
      <c r="B192" s="88"/>
      <c r="C192" s="88"/>
      <c r="D192" s="88"/>
      <c r="E192" s="88"/>
      <c r="F192" s="88"/>
      <c r="G192" s="89"/>
      <c r="H192" s="11" t="str">
        <f>'Приложение 9'!H97</f>
        <v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v>
      </c>
      <c r="I192" s="10">
        <f>'Приложение 9'!I97</f>
        <v>27</v>
      </c>
      <c r="J192" s="7">
        <f>'Приложение 9'!J97</f>
        <v>3</v>
      </c>
      <c r="K192" s="7">
        <f>'Приложение 9'!K97</f>
        <v>14</v>
      </c>
      <c r="L192" s="95" t="str">
        <f>'Приложение 9'!L97</f>
        <v>13</v>
      </c>
      <c r="M192" s="96" t="str">
        <f>'Приложение 9'!M97</f>
        <v>2</v>
      </c>
      <c r="N192" s="96" t="str">
        <f>'Приложение 9'!N97</f>
        <v>04</v>
      </c>
      <c r="O192" s="96" t="str">
        <f>'Приложение 9'!O97</f>
        <v>00000</v>
      </c>
      <c r="P192" s="6" t="s">
        <v>621</v>
      </c>
      <c r="Q192" s="216">
        <f>Q193</f>
        <v>136</v>
      </c>
      <c r="R192" s="216"/>
      <c r="S192" s="216"/>
    </row>
    <row r="193" spans="1:19" ht="28.5" customHeight="1">
      <c r="A193" s="88"/>
      <c r="B193" s="88"/>
      <c r="C193" s="88"/>
      <c r="D193" s="88"/>
      <c r="E193" s="88"/>
      <c r="F193" s="88"/>
      <c r="G193" s="89"/>
      <c r="H193" s="11" t="str">
        <f>'Приложение 9'!H98</f>
        <v>Внедрение и (или) эксплуатация аппаратно-программного комплекса "Безопасный город"</v>
      </c>
      <c r="I193" s="10">
        <f>'Приложение 9'!I98</f>
        <v>27</v>
      </c>
      <c r="J193" s="7">
        <f>'Приложение 9'!J98</f>
        <v>3</v>
      </c>
      <c r="K193" s="7">
        <f>'Приложение 9'!K98</f>
        <v>14</v>
      </c>
      <c r="L193" s="95">
        <f>'Приложение 9'!L98</f>
        <v>13</v>
      </c>
      <c r="M193" s="96" t="str">
        <f>'Приложение 9'!M98</f>
        <v>2</v>
      </c>
      <c r="N193" s="96" t="str">
        <f>'Приложение 9'!N98</f>
        <v>04</v>
      </c>
      <c r="O193" s="96" t="str">
        <f>'Приложение 9'!O98</f>
        <v>S1060</v>
      </c>
      <c r="P193" s="6" t="s">
        <v>621</v>
      </c>
      <c r="Q193" s="216">
        <f>Q194</f>
        <v>136</v>
      </c>
      <c r="R193" s="216"/>
      <c r="S193" s="216"/>
    </row>
    <row r="194" spans="1:19" ht="22.5" customHeight="1">
      <c r="A194" s="88"/>
      <c r="B194" s="88"/>
      <c r="C194" s="88"/>
      <c r="D194" s="88"/>
      <c r="E194" s="88"/>
      <c r="F194" s="88"/>
      <c r="G194" s="89"/>
      <c r="H194" s="11" t="str">
        <f>'Приложение 9'!H99</f>
        <v>Иные закупки товаров, работ и услуг для обеспечения государственных (муниципальных) нужд</v>
      </c>
      <c r="I194" s="10">
        <f>'Приложение 9'!I99</f>
        <v>27</v>
      </c>
      <c r="J194" s="7">
        <f>'Приложение 9'!J99</f>
        <v>3</v>
      </c>
      <c r="K194" s="7">
        <f>'Приложение 9'!K99</f>
        <v>14</v>
      </c>
      <c r="L194" s="95">
        <f>'Приложение 9'!L99</f>
        <v>13</v>
      </c>
      <c r="M194" s="96" t="str">
        <f>'Приложение 9'!M99</f>
        <v>2</v>
      </c>
      <c r="N194" s="96" t="str">
        <f>'Приложение 9'!N99</f>
        <v>04</v>
      </c>
      <c r="O194" s="96" t="str">
        <f>'Приложение 9'!O99</f>
        <v>S1060</v>
      </c>
      <c r="P194" s="6">
        <f>'Приложение 9'!P99</f>
        <v>240</v>
      </c>
      <c r="Q194" s="216">
        <f>'Приложение 9'!Q99</f>
        <v>136</v>
      </c>
      <c r="R194" s="216">
        <f aca="true" t="shared" si="9" ref="R194:S196">R195</f>
        <v>0</v>
      </c>
      <c r="S194" s="216">
        <f t="shared" si="9"/>
        <v>0</v>
      </c>
    </row>
    <row r="195" spans="1:19" ht="24" customHeight="1">
      <c r="A195" s="88"/>
      <c r="B195" s="88"/>
      <c r="C195" s="88"/>
      <c r="D195" s="88"/>
      <c r="E195" s="88"/>
      <c r="F195" s="88"/>
      <c r="G195" s="89"/>
      <c r="H195" s="11" t="str">
        <f>'Приложение 9'!H100</f>
        <v>Основное мероприятие "Правовое информирование граждан"</v>
      </c>
      <c r="I195" s="10">
        <f>'Приложение 9'!I100</f>
        <v>27</v>
      </c>
      <c r="J195" s="7">
        <f>'Приложение 9'!J100</f>
        <v>3</v>
      </c>
      <c r="K195" s="7">
        <f>'Приложение 9'!K100</f>
        <v>14</v>
      </c>
      <c r="L195" s="95">
        <f>'Приложение 9'!L100</f>
        <v>13</v>
      </c>
      <c r="M195" s="96" t="str">
        <f>'Приложение 9'!M100</f>
        <v>2</v>
      </c>
      <c r="N195" s="96" t="str">
        <f>'Приложение 9'!N100</f>
        <v>07</v>
      </c>
      <c r="O195" s="96" t="str">
        <f>'Приложение 9'!O100</f>
        <v>00000</v>
      </c>
      <c r="P195" s="6" t="s">
        <v>621</v>
      </c>
      <c r="Q195" s="216">
        <f>Q196</f>
        <v>10</v>
      </c>
      <c r="R195" s="216">
        <f t="shared" si="9"/>
        <v>0</v>
      </c>
      <c r="S195" s="216">
        <f t="shared" si="9"/>
        <v>0</v>
      </c>
    </row>
    <row r="196" spans="1:19" ht="22.5" customHeight="1">
      <c r="A196" s="88"/>
      <c r="B196" s="88"/>
      <c r="C196" s="88"/>
      <c r="D196" s="88"/>
      <c r="E196" s="88"/>
      <c r="F196" s="88"/>
      <c r="G196" s="89"/>
      <c r="H196" s="34" t="str">
        <f>'Приложение 9'!H101</f>
        <v>Мероприятия, направленные на правовое информирование граждан</v>
      </c>
      <c r="I196" s="10">
        <f>'Приложение 9'!I101</f>
        <v>27</v>
      </c>
      <c r="J196" s="7">
        <f>'Приложение 9'!J101</f>
        <v>3</v>
      </c>
      <c r="K196" s="7">
        <f>'Приложение 9'!K101</f>
        <v>14</v>
      </c>
      <c r="L196" s="16">
        <f>'Приложение 9'!L101</f>
        <v>13</v>
      </c>
      <c r="M196" s="96" t="str">
        <f>'Приложение 9'!M101</f>
        <v>2</v>
      </c>
      <c r="N196" s="96" t="str">
        <f>'Приложение 9'!N101</f>
        <v>07</v>
      </c>
      <c r="O196" s="96" t="str">
        <f>'Приложение 9'!O101</f>
        <v>20450</v>
      </c>
      <c r="P196" s="6" t="s">
        <v>621</v>
      </c>
      <c r="Q196" s="216">
        <f>Q197</f>
        <v>10</v>
      </c>
      <c r="R196" s="216">
        <f t="shared" si="9"/>
        <v>0</v>
      </c>
      <c r="S196" s="216">
        <f t="shared" si="9"/>
        <v>0</v>
      </c>
    </row>
    <row r="197" spans="1:19" ht="22.5" customHeight="1">
      <c r="A197" s="88"/>
      <c r="B197" s="88"/>
      <c r="C197" s="88"/>
      <c r="D197" s="88"/>
      <c r="E197" s="88"/>
      <c r="F197" s="88"/>
      <c r="G197" s="89"/>
      <c r="H197" s="34" t="str">
        <f>'Приложение 9'!H102</f>
        <v>Иные закупки товаров, работ и услуг для обеспечения государственных (муниципальных) нужд</v>
      </c>
      <c r="I197" s="6">
        <f>'Приложение 9'!I102</f>
        <v>27</v>
      </c>
      <c r="J197" s="7">
        <f>'Приложение 9'!J102</f>
        <v>3</v>
      </c>
      <c r="K197" s="7">
        <f>'Приложение 9'!K102</f>
        <v>14</v>
      </c>
      <c r="L197" s="16">
        <f>'Приложение 9'!L102</f>
        <v>13</v>
      </c>
      <c r="M197" s="96" t="str">
        <f>'Приложение 9'!M102</f>
        <v>2</v>
      </c>
      <c r="N197" s="96" t="str">
        <f>'Приложение 9'!N102</f>
        <v>07</v>
      </c>
      <c r="O197" s="96" t="str">
        <f>'Приложение 9'!O102</f>
        <v>20450</v>
      </c>
      <c r="P197" s="6">
        <f>'Приложение 9'!P102</f>
        <v>240</v>
      </c>
      <c r="Q197" s="216">
        <f>'Приложение 9'!Q102</f>
        <v>10</v>
      </c>
      <c r="R197" s="216"/>
      <c r="S197" s="216"/>
    </row>
    <row r="198" spans="1:19" s="179" customFormat="1" ht="23.25" customHeight="1">
      <c r="A198" s="135"/>
      <c r="B198" s="135"/>
      <c r="C198" s="135"/>
      <c r="D198" s="135"/>
      <c r="E198" s="135"/>
      <c r="F198" s="135"/>
      <c r="G198" s="136"/>
      <c r="H198" s="137" t="s">
        <v>547</v>
      </c>
      <c r="I198" s="146">
        <v>27</v>
      </c>
      <c r="J198" s="148">
        <v>4</v>
      </c>
      <c r="K198" s="148"/>
      <c r="L198" s="140"/>
      <c r="M198" s="141"/>
      <c r="N198" s="141"/>
      <c r="O198" s="141"/>
      <c r="P198" s="146"/>
      <c r="Q198" s="217">
        <f>Q199+Q205+Q234</f>
        <v>72823.40000000001</v>
      </c>
      <c r="R198" s="217" t="e">
        <f>R199+R205+R234</f>
        <v>#REF!</v>
      </c>
      <c r="S198" s="217" t="e">
        <f>S199+S205+S234</f>
        <v>#REF!</v>
      </c>
    </row>
    <row r="199" spans="1:19" s="179" customFormat="1" ht="26.25" customHeight="1">
      <c r="A199" s="142"/>
      <c r="B199" s="143"/>
      <c r="C199" s="153"/>
      <c r="D199" s="235"/>
      <c r="E199" s="166"/>
      <c r="F199" s="166"/>
      <c r="G199" s="136"/>
      <c r="H199" s="311" t="s">
        <v>352</v>
      </c>
      <c r="I199" s="152">
        <v>27</v>
      </c>
      <c r="J199" s="148">
        <v>4</v>
      </c>
      <c r="K199" s="148">
        <v>8</v>
      </c>
      <c r="L199" s="140"/>
      <c r="M199" s="141"/>
      <c r="N199" s="141"/>
      <c r="O199" s="141"/>
      <c r="P199" s="138"/>
      <c r="Q199" s="213">
        <f aca="true" t="shared" si="10" ref="Q199:S201">Q200</f>
        <v>2270</v>
      </c>
      <c r="R199" s="213">
        <f t="shared" si="10"/>
        <v>600</v>
      </c>
      <c r="S199" s="213">
        <f t="shared" si="10"/>
        <v>600</v>
      </c>
    </row>
    <row r="200" spans="1:19" s="179" customFormat="1" ht="26.25" customHeight="1">
      <c r="A200" s="142"/>
      <c r="B200" s="143"/>
      <c r="C200" s="153"/>
      <c r="D200" s="235"/>
      <c r="E200" s="166"/>
      <c r="F200" s="166"/>
      <c r="G200" s="136"/>
      <c r="H200" s="11" t="s">
        <v>299</v>
      </c>
      <c r="I200" s="6">
        <v>27</v>
      </c>
      <c r="J200" s="7">
        <v>4</v>
      </c>
      <c r="K200" s="7">
        <v>8</v>
      </c>
      <c r="L200" s="95" t="s">
        <v>580</v>
      </c>
      <c r="M200" s="96" t="s">
        <v>563</v>
      </c>
      <c r="N200" s="96" t="s">
        <v>583</v>
      </c>
      <c r="O200" s="96" t="s">
        <v>620</v>
      </c>
      <c r="P200" s="138"/>
      <c r="Q200" s="213">
        <f>Q201+Q203</f>
        <v>2270</v>
      </c>
      <c r="R200" s="213">
        <f t="shared" si="10"/>
        <v>600</v>
      </c>
      <c r="S200" s="213">
        <f t="shared" si="10"/>
        <v>600</v>
      </c>
    </row>
    <row r="201" spans="1:19" ht="26.25" customHeight="1">
      <c r="A201" s="99"/>
      <c r="B201" s="98"/>
      <c r="C201" s="103"/>
      <c r="D201" s="111"/>
      <c r="E201" s="114"/>
      <c r="F201" s="114"/>
      <c r="G201" s="89"/>
      <c r="H201" s="30" t="s">
        <v>746</v>
      </c>
      <c r="I201" s="8">
        <v>27</v>
      </c>
      <c r="J201" s="7">
        <v>4</v>
      </c>
      <c r="K201" s="7">
        <v>8</v>
      </c>
      <c r="L201" s="95" t="s">
        <v>580</v>
      </c>
      <c r="M201" s="96" t="s">
        <v>563</v>
      </c>
      <c r="N201" s="96" t="s">
        <v>583</v>
      </c>
      <c r="O201" s="96" t="s">
        <v>727</v>
      </c>
      <c r="P201" s="10"/>
      <c r="Q201" s="214">
        <f t="shared" si="10"/>
        <v>600</v>
      </c>
      <c r="R201" s="214">
        <f t="shared" si="10"/>
        <v>600</v>
      </c>
      <c r="S201" s="214">
        <f t="shared" si="10"/>
        <v>600</v>
      </c>
    </row>
    <row r="202" spans="1:19" ht="28.5" customHeight="1">
      <c r="A202" s="99"/>
      <c r="B202" s="98"/>
      <c r="C202" s="103"/>
      <c r="D202" s="111"/>
      <c r="E202" s="114"/>
      <c r="F202" s="114"/>
      <c r="G202" s="89"/>
      <c r="H202" s="30" t="s">
        <v>720</v>
      </c>
      <c r="I202" s="8">
        <v>27</v>
      </c>
      <c r="J202" s="7">
        <v>4</v>
      </c>
      <c r="K202" s="7">
        <v>8</v>
      </c>
      <c r="L202" s="95" t="s">
        <v>580</v>
      </c>
      <c r="M202" s="96" t="s">
        <v>563</v>
      </c>
      <c r="N202" s="96" t="s">
        <v>583</v>
      </c>
      <c r="O202" s="96" t="s">
        <v>727</v>
      </c>
      <c r="P202" s="10">
        <v>240</v>
      </c>
      <c r="Q202" s="214">
        <v>600</v>
      </c>
      <c r="R202" s="216">
        <v>600</v>
      </c>
      <c r="S202" s="216">
        <v>600</v>
      </c>
    </row>
    <row r="203" spans="1:19" ht="28.5" customHeight="1">
      <c r="A203" s="99"/>
      <c r="B203" s="98"/>
      <c r="C203" s="103"/>
      <c r="D203" s="111"/>
      <c r="E203" s="114"/>
      <c r="F203" s="114"/>
      <c r="G203" s="89"/>
      <c r="H203" s="30" t="str">
        <f>'Приложение 9'!H108</f>
        <v>Организация транспортного обслуживания населения на муниципальных маршрутах регулярных перевозок по регулируемым тарифам</v>
      </c>
      <c r="I203" s="8">
        <f>'Приложение 9'!I108</f>
        <v>27</v>
      </c>
      <c r="J203" s="7">
        <f>'Приложение 9'!J108</f>
        <v>4</v>
      </c>
      <c r="K203" s="7">
        <f>'Приложение 9'!K108</f>
        <v>8</v>
      </c>
      <c r="L203" s="95" t="str">
        <f>'Приложение 9'!L108</f>
        <v>91</v>
      </c>
      <c r="M203" s="96" t="str">
        <f>'Приложение 9'!M108</f>
        <v>0</v>
      </c>
      <c r="N203" s="96" t="str">
        <f>'Приложение 9'!N108</f>
        <v>00</v>
      </c>
      <c r="O203" s="96" t="str">
        <f>'Приложение 9'!O108</f>
        <v>S1370</v>
      </c>
      <c r="P203" s="6" t="s">
        <v>621</v>
      </c>
      <c r="Q203" s="216">
        <f>Q204</f>
        <v>1670</v>
      </c>
      <c r="R203" s="216"/>
      <c r="S203" s="216"/>
    </row>
    <row r="204" spans="1:19" ht="28.5" customHeight="1">
      <c r="A204" s="99"/>
      <c r="B204" s="98"/>
      <c r="C204" s="103"/>
      <c r="D204" s="111"/>
      <c r="E204" s="114"/>
      <c r="F204" s="114"/>
      <c r="G204" s="89"/>
      <c r="H204" s="30" t="str">
        <f>'Приложение 9'!H109</f>
        <v>Иные закупки товаров, работ и услуг для обеспечения государственных (муниципальных) нужд</v>
      </c>
      <c r="I204" s="8">
        <f>'Приложение 9'!I109</f>
        <v>27</v>
      </c>
      <c r="J204" s="7">
        <f>'Приложение 9'!J109</f>
        <v>4</v>
      </c>
      <c r="K204" s="7">
        <f>'Приложение 9'!K109</f>
        <v>8</v>
      </c>
      <c r="L204" s="95" t="str">
        <f>'Приложение 9'!L109</f>
        <v>91</v>
      </c>
      <c r="M204" s="96" t="str">
        <f>'Приложение 9'!M109</f>
        <v>0</v>
      </c>
      <c r="N204" s="96" t="str">
        <f>'Приложение 9'!N109</f>
        <v>00</v>
      </c>
      <c r="O204" s="96" t="str">
        <f>'Приложение 9'!O109</f>
        <v>S1370</v>
      </c>
      <c r="P204" s="6">
        <f>'Приложение 9'!P109</f>
        <v>240</v>
      </c>
      <c r="Q204" s="216">
        <f>'Приложение 9'!Q109</f>
        <v>1670</v>
      </c>
      <c r="R204" s="216"/>
      <c r="S204" s="216"/>
    </row>
    <row r="205" spans="1:19" s="179" customFormat="1" ht="24.75" customHeight="1">
      <c r="A205" s="142"/>
      <c r="B205" s="143"/>
      <c r="C205" s="153"/>
      <c r="D205" s="150"/>
      <c r="E205" s="154"/>
      <c r="F205" s="154"/>
      <c r="G205" s="155">
        <v>321</v>
      </c>
      <c r="H205" s="149" t="s">
        <v>337</v>
      </c>
      <c r="I205" s="152">
        <v>27</v>
      </c>
      <c r="J205" s="148">
        <v>4</v>
      </c>
      <c r="K205" s="148">
        <v>9</v>
      </c>
      <c r="L205" s="140"/>
      <c r="M205" s="141"/>
      <c r="N205" s="141"/>
      <c r="O205" s="141"/>
      <c r="P205" s="146"/>
      <c r="Q205" s="217">
        <f>Q206</f>
        <v>63621.700000000004</v>
      </c>
      <c r="R205" s="217" t="e">
        <f>R206</f>
        <v>#REF!</v>
      </c>
      <c r="S205" s="217" t="e">
        <f>S206</f>
        <v>#REF!</v>
      </c>
    </row>
    <row r="206" spans="1:19" ht="35.25" customHeight="1">
      <c r="A206" s="99"/>
      <c r="B206" s="98"/>
      <c r="C206" s="103"/>
      <c r="D206" s="101"/>
      <c r="E206" s="113"/>
      <c r="F206" s="113"/>
      <c r="G206" s="105">
        <v>530</v>
      </c>
      <c r="H206" s="5" t="s">
        <v>774</v>
      </c>
      <c r="I206" s="10">
        <v>27</v>
      </c>
      <c r="J206" s="7">
        <v>4</v>
      </c>
      <c r="K206" s="7">
        <v>9</v>
      </c>
      <c r="L206" s="95" t="s">
        <v>588</v>
      </c>
      <c r="M206" s="96" t="s">
        <v>563</v>
      </c>
      <c r="N206" s="96" t="s">
        <v>583</v>
      </c>
      <c r="O206" s="96" t="s">
        <v>620</v>
      </c>
      <c r="P206" s="6"/>
      <c r="Q206" s="216">
        <f>Q207+Q211+Q214+Q222+Q225+Q219+Q228+Q231</f>
        <v>63621.700000000004</v>
      </c>
      <c r="R206" s="216" t="e">
        <f>R207+R211+R214+R222+R225+R219</f>
        <v>#REF!</v>
      </c>
      <c r="S206" s="216" t="e">
        <f>S207+S211+S214+S222+S225+S219</f>
        <v>#REF!</v>
      </c>
    </row>
    <row r="207" spans="1:19" ht="29.25" customHeight="1">
      <c r="A207" s="99"/>
      <c r="B207" s="98"/>
      <c r="C207" s="103"/>
      <c r="D207" s="101"/>
      <c r="E207" s="113"/>
      <c r="F207" s="113"/>
      <c r="G207" s="105"/>
      <c r="H207" s="11" t="s">
        <v>661</v>
      </c>
      <c r="I207" s="10">
        <v>27</v>
      </c>
      <c r="J207" s="7">
        <v>4</v>
      </c>
      <c r="K207" s="7">
        <v>9</v>
      </c>
      <c r="L207" s="95" t="s">
        <v>588</v>
      </c>
      <c r="M207" s="96" t="s">
        <v>563</v>
      </c>
      <c r="N207" s="96" t="s">
        <v>564</v>
      </c>
      <c r="O207" s="96" t="s">
        <v>620</v>
      </c>
      <c r="P207" s="6"/>
      <c r="Q207" s="216">
        <f>Q208</f>
        <v>51547</v>
      </c>
      <c r="R207" s="216">
        <f>R208</f>
        <v>1428</v>
      </c>
      <c r="S207" s="216">
        <f>S208</f>
        <v>1428</v>
      </c>
    </row>
    <row r="208" spans="1:19" ht="35.25" customHeight="1">
      <c r="A208" s="99"/>
      <c r="B208" s="98"/>
      <c r="C208" s="103"/>
      <c r="D208" s="101"/>
      <c r="E208" s="113"/>
      <c r="F208" s="113"/>
      <c r="G208" s="105"/>
      <c r="H208" s="11" t="s">
        <v>740</v>
      </c>
      <c r="I208" s="10">
        <v>27</v>
      </c>
      <c r="J208" s="7">
        <v>4</v>
      </c>
      <c r="K208" s="7">
        <v>9</v>
      </c>
      <c r="L208" s="95" t="s">
        <v>588</v>
      </c>
      <c r="M208" s="96" t="s">
        <v>563</v>
      </c>
      <c r="N208" s="96" t="s">
        <v>564</v>
      </c>
      <c r="O208" s="96" t="s">
        <v>349</v>
      </c>
      <c r="P208" s="6"/>
      <c r="Q208" s="216">
        <f>Q209+Q210</f>
        <v>51547</v>
      </c>
      <c r="R208" s="216">
        <f>R209+R210</f>
        <v>1428</v>
      </c>
      <c r="S208" s="216">
        <f>S209+S210</f>
        <v>1428</v>
      </c>
    </row>
    <row r="209" spans="1:19" ht="26.25" customHeight="1" hidden="1">
      <c r="A209" s="99"/>
      <c r="B209" s="98"/>
      <c r="C209" s="103"/>
      <c r="D209" s="101"/>
      <c r="E209" s="113"/>
      <c r="F209" s="113"/>
      <c r="G209" s="105"/>
      <c r="H209" s="30" t="s">
        <v>720</v>
      </c>
      <c r="I209" s="10">
        <v>27</v>
      </c>
      <c r="J209" s="7">
        <v>4</v>
      </c>
      <c r="K209" s="7">
        <v>9</v>
      </c>
      <c r="L209" s="95" t="s">
        <v>588</v>
      </c>
      <c r="M209" s="96" t="s">
        <v>563</v>
      </c>
      <c r="N209" s="96" t="s">
        <v>564</v>
      </c>
      <c r="O209" s="96" t="s">
        <v>349</v>
      </c>
      <c r="P209" s="6">
        <v>240</v>
      </c>
      <c r="Q209" s="216">
        <v>0</v>
      </c>
      <c r="R209" s="216">
        <v>1428</v>
      </c>
      <c r="S209" s="216">
        <v>1428</v>
      </c>
    </row>
    <row r="210" spans="1:19" ht="26.25" customHeight="1">
      <c r="A210" s="99"/>
      <c r="B210" s="98"/>
      <c r="C210" s="103"/>
      <c r="D210" s="101"/>
      <c r="E210" s="113"/>
      <c r="F210" s="113"/>
      <c r="G210" s="105"/>
      <c r="H210" s="11" t="s">
        <v>647</v>
      </c>
      <c r="I210" s="10">
        <v>27</v>
      </c>
      <c r="J210" s="7">
        <v>4</v>
      </c>
      <c r="K210" s="7">
        <v>9</v>
      </c>
      <c r="L210" s="95" t="s">
        <v>588</v>
      </c>
      <c r="M210" s="96" t="s">
        <v>563</v>
      </c>
      <c r="N210" s="96" t="s">
        <v>564</v>
      </c>
      <c r="O210" s="96" t="s">
        <v>349</v>
      </c>
      <c r="P210" s="6">
        <v>540</v>
      </c>
      <c r="Q210" s="216">
        <f>'Приложение 9'!Q115</f>
        <v>51547</v>
      </c>
      <c r="R210" s="216"/>
      <c r="S210" s="216"/>
    </row>
    <row r="211" spans="1:19" ht="25.5" customHeight="1">
      <c r="A211" s="99"/>
      <c r="B211" s="98"/>
      <c r="C211" s="103"/>
      <c r="D211" s="101"/>
      <c r="E211" s="113"/>
      <c r="F211" s="113"/>
      <c r="G211" s="105"/>
      <c r="H211" s="11" t="s">
        <v>823</v>
      </c>
      <c r="I211" s="10">
        <v>27</v>
      </c>
      <c r="J211" s="7">
        <v>4</v>
      </c>
      <c r="K211" s="7">
        <v>9</v>
      </c>
      <c r="L211" s="95" t="s">
        <v>588</v>
      </c>
      <c r="M211" s="96" t="s">
        <v>563</v>
      </c>
      <c r="N211" s="96" t="s">
        <v>592</v>
      </c>
      <c r="O211" s="96" t="s">
        <v>620</v>
      </c>
      <c r="P211" s="6"/>
      <c r="Q211" s="216">
        <f aca="true" t="shared" si="11" ref="Q211:S212">Q212</f>
        <v>443.9</v>
      </c>
      <c r="R211" s="216">
        <f t="shared" si="11"/>
        <v>0</v>
      </c>
      <c r="S211" s="216">
        <f t="shared" si="11"/>
        <v>0</v>
      </c>
    </row>
    <row r="212" spans="1:19" ht="24.75" customHeight="1">
      <c r="A212" s="99"/>
      <c r="B212" s="98"/>
      <c r="C212" s="103"/>
      <c r="D212" s="101"/>
      <c r="E212" s="113"/>
      <c r="F212" s="113"/>
      <c r="G212" s="105">
        <v>611</v>
      </c>
      <c r="H212" s="11" t="s">
        <v>762</v>
      </c>
      <c r="I212" s="10">
        <v>27</v>
      </c>
      <c r="J212" s="7">
        <v>4</v>
      </c>
      <c r="K212" s="7">
        <v>9</v>
      </c>
      <c r="L212" s="95" t="s">
        <v>588</v>
      </c>
      <c r="M212" s="96" t="s">
        <v>563</v>
      </c>
      <c r="N212" s="96" t="s">
        <v>592</v>
      </c>
      <c r="O212" s="96" t="s">
        <v>761</v>
      </c>
      <c r="P212" s="6"/>
      <c r="Q212" s="216">
        <f t="shared" si="11"/>
        <v>443.9</v>
      </c>
      <c r="R212" s="216">
        <f t="shared" si="11"/>
        <v>0</v>
      </c>
      <c r="S212" s="216">
        <f t="shared" si="11"/>
        <v>0</v>
      </c>
    </row>
    <row r="213" spans="1:19" ht="27.75" customHeight="1">
      <c r="A213" s="99"/>
      <c r="B213" s="98"/>
      <c r="C213" s="103"/>
      <c r="D213" s="101"/>
      <c r="E213" s="104"/>
      <c r="F213" s="104"/>
      <c r="G213" s="105"/>
      <c r="H213" s="11" t="s">
        <v>647</v>
      </c>
      <c r="I213" s="13">
        <v>27</v>
      </c>
      <c r="J213" s="7">
        <v>4</v>
      </c>
      <c r="K213" s="7">
        <v>9</v>
      </c>
      <c r="L213" s="95" t="s">
        <v>588</v>
      </c>
      <c r="M213" s="96" t="s">
        <v>563</v>
      </c>
      <c r="N213" s="96" t="s">
        <v>592</v>
      </c>
      <c r="O213" s="96" t="s">
        <v>761</v>
      </c>
      <c r="P213" s="6">
        <v>540</v>
      </c>
      <c r="Q213" s="214">
        <v>443.9</v>
      </c>
      <c r="R213" s="214"/>
      <c r="S213" s="214"/>
    </row>
    <row r="214" spans="1:19" ht="24.75" customHeight="1">
      <c r="A214" s="99"/>
      <c r="B214" s="98"/>
      <c r="C214" s="103"/>
      <c r="D214" s="101"/>
      <c r="E214" s="104"/>
      <c r="F214" s="104"/>
      <c r="G214" s="105"/>
      <c r="H214" s="5" t="s">
        <v>256</v>
      </c>
      <c r="I214" s="13">
        <v>27</v>
      </c>
      <c r="J214" s="7">
        <v>4</v>
      </c>
      <c r="K214" s="7">
        <v>9</v>
      </c>
      <c r="L214" s="95" t="s">
        <v>588</v>
      </c>
      <c r="M214" s="96" t="s">
        <v>563</v>
      </c>
      <c r="N214" s="96" t="s">
        <v>593</v>
      </c>
      <c r="O214" s="96" t="s">
        <v>620</v>
      </c>
      <c r="P214" s="6"/>
      <c r="Q214" s="216">
        <f>Q215+Q217</f>
        <v>7678.900000000001</v>
      </c>
      <c r="R214" s="216">
        <f aca="true" t="shared" si="12" ref="Q214:S215">R215</f>
        <v>10491</v>
      </c>
      <c r="S214" s="216">
        <f t="shared" si="12"/>
        <v>10916</v>
      </c>
    </row>
    <row r="215" spans="1:19" ht="24.75" customHeight="1">
      <c r="A215" s="99"/>
      <c r="B215" s="98"/>
      <c r="C215" s="103"/>
      <c r="D215" s="101"/>
      <c r="E215" s="104"/>
      <c r="F215" s="104"/>
      <c r="G215" s="105"/>
      <c r="H215" s="5" t="s">
        <v>762</v>
      </c>
      <c r="I215" s="13">
        <v>27</v>
      </c>
      <c r="J215" s="7">
        <v>4</v>
      </c>
      <c r="K215" s="7">
        <v>9</v>
      </c>
      <c r="L215" s="95" t="s">
        <v>588</v>
      </c>
      <c r="M215" s="96" t="s">
        <v>563</v>
      </c>
      <c r="N215" s="96" t="s">
        <v>593</v>
      </c>
      <c r="O215" s="96" t="s">
        <v>761</v>
      </c>
      <c r="P215" s="6"/>
      <c r="Q215" s="216">
        <f t="shared" si="12"/>
        <v>6250.900000000001</v>
      </c>
      <c r="R215" s="216">
        <f t="shared" si="12"/>
        <v>10491</v>
      </c>
      <c r="S215" s="216">
        <f t="shared" si="12"/>
        <v>10916</v>
      </c>
    </row>
    <row r="216" spans="1:19" ht="24.75" customHeight="1">
      <c r="A216" s="99"/>
      <c r="B216" s="98"/>
      <c r="C216" s="103"/>
      <c r="D216" s="101"/>
      <c r="E216" s="104"/>
      <c r="F216" s="104"/>
      <c r="G216" s="105"/>
      <c r="H216" s="5" t="s">
        <v>720</v>
      </c>
      <c r="I216" s="13">
        <v>27</v>
      </c>
      <c r="J216" s="7">
        <v>4</v>
      </c>
      <c r="K216" s="7">
        <v>9</v>
      </c>
      <c r="L216" s="95" t="s">
        <v>588</v>
      </c>
      <c r="M216" s="96" t="s">
        <v>563</v>
      </c>
      <c r="N216" s="96" t="s">
        <v>593</v>
      </c>
      <c r="O216" s="96" t="s">
        <v>761</v>
      </c>
      <c r="P216" s="6">
        <v>240</v>
      </c>
      <c r="Q216" s="216">
        <f>'Приложение 9'!Q121</f>
        <v>6250.900000000001</v>
      </c>
      <c r="R216" s="216">
        <v>10491</v>
      </c>
      <c r="S216" s="216">
        <v>10916</v>
      </c>
    </row>
    <row r="217" spans="1:19" ht="24.75" customHeight="1">
      <c r="A217" s="99"/>
      <c r="B217" s="98"/>
      <c r="C217" s="97"/>
      <c r="D217" s="107"/>
      <c r="E217" s="104"/>
      <c r="F217" s="104"/>
      <c r="G217" s="89"/>
      <c r="H217" s="5" t="str">
        <f>'Приложение 9'!H122</f>
        <v>Осуществление дорожной деятельности в отношении автомобильных дорог общего пользования местного значения</v>
      </c>
      <c r="I217" s="13">
        <f>'Приложение 9'!I122</f>
        <v>27</v>
      </c>
      <c r="J217" s="7">
        <f>'Приложение 9'!J122</f>
        <v>4</v>
      </c>
      <c r="K217" s="7">
        <f>'Приложение 9'!K122</f>
        <v>9</v>
      </c>
      <c r="L217" s="95" t="str">
        <f>'Приложение 9'!L122</f>
        <v>04</v>
      </c>
      <c r="M217" s="96" t="str">
        <f>'Приложение 9'!M122</f>
        <v>0</v>
      </c>
      <c r="N217" s="96" t="str">
        <f>'Приложение 9'!N122</f>
        <v>03</v>
      </c>
      <c r="O217" s="96" t="str">
        <f>'Приложение 9'!O122</f>
        <v>S1350</v>
      </c>
      <c r="P217" s="23" t="s">
        <v>621</v>
      </c>
      <c r="Q217" s="214">
        <f>Q218</f>
        <v>1428</v>
      </c>
      <c r="R217" s="322"/>
      <c r="S217" s="322"/>
    </row>
    <row r="218" spans="1:19" ht="24.75" customHeight="1">
      <c r="A218" s="99"/>
      <c r="B218" s="98"/>
      <c r="C218" s="97"/>
      <c r="D218" s="107"/>
      <c r="E218" s="104"/>
      <c r="F218" s="104"/>
      <c r="G218" s="89"/>
      <c r="H218" s="5" t="str">
        <f>'Приложение 9'!H123</f>
        <v>Иные закупки товаров, работ и услуг для обеспечения государственных (муниципальных) нужд</v>
      </c>
      <c r="I218" s="13">
        <f>'Приложение 9'!I123</f>
        <v>27</v>
      </c>
      <c r="J218" s="7">
        <f>'Приложение 9'!J123</f>
        <v>4</v>
      </c>
      <c r="K218" s="7">
        <f>'Приложение 9'!K123</f>
        <v>9</v>
      </c>
      <c r="L218" s="95" t="str">
        <f>'Приложение 9'!L123</f>
        <v>04</v>
      </c>
      <c r="M218" s="96" t="str">
        <f>'Приложение 9'!M123</f>
        <v>0</v>
      </c>
      <c r="N218" s="96" t="str">
        <f>'Приложение 9'!N123</f>
        <v>03</v>
      </c>
      <c r="O218" s="96" t="str">
        <f>'Приложение 9'!O123</f>
        <v>S1350</v>
      </c>
      <c r="P218" s="23">
        <f>'Приложение 9'!P123</f>
        <v>240</v>
      </c>
      <c r="Q218" s="214">
        <f>'Приложение 9'!Q123</f>
        <v>1428</v>
      </c>
      <c r="R218" s="322"/>
      <c r="S218" s="322"/>
    </row>
    <row r="219" spans="1:19" ht="35.25" customHeight="1">
      <c r="A219" s="99"/>
      <c r="B219" s="98"/>
      <c r="C219" s="97"/>
      <c r="D219" s="94"/>
      <c r="E219" s="94"/>
      <c r="F219" s="94"/>
      <c r="G219" s="89"/>
      <c r="H219" s="5" t="s">
        <v>784</v>
      </c>
      <c r="I219" s="10">
        <v>664</v>
      </c>
      <c r="J219" s="7">
        <v>4</v>
      </c>
      <c r="K219" s="7">
        <v>9</v>
      </c>
      <c r="L219" s="95" t="s">
        <v>588</v>
      </c>
      <c r="M219" s="96" t="s">
        <v>563</v>
      </c>
      <c r="N219" s="96" t="s">
        <v>588</v>
      </c>
      <c r="O219" s="96" t="s">
        <v>620</v>
      </c>
      <c r="P219" s="23"/>
      <c r="Q219" s="219">
        <f aca="true" t="shared" si="13" ref="Q219:S220">Q220</f>
        <v>200</v>
      </c>
      <c r="R219" s="219">
        <f t="shared" si="13"/>
        <v>200</v>
      </c>
      <c r="S219" s="219">
        <f t="shared" si="13"/>
        <v>200</v>
      </c>
    </row>
    <row r="220" spans="1:19" ht="23.25" customHeight="1">
      <c r="A220" s="99"/>
      <c r="B220" s="98"/>
      <c r="C220" s="97"/>
      <c r="D220" s="94"/>
      <c r="E220" s="94"/>
      <c r="F220" s="94"/>
      <c r="G220" s="89"/>
      <c r="H220" s="5" t="s">
        <v>785</v>
      </c>
      <c r="I220" s="10">
        <v>664</v>
      </c>
      <c r="J220" s="7">
        <v>4</v>
      </c>
      <c r="K220" s="7">
        <v>9</v>
      </c>
      <c r="L220" s="95" t="s">
        <v>588</v>
      </c>
      <c r="M220" s="96" t="s">
        <v>563</v>
      </c>
      <c r="N220" s="96" t="s">
        <v>588</v>
      </c>
      <c r="O220" s="96" t="s">
        <v>761</v>
      </c>
      <c r="P220" s="23"/>
      <c r="Q220" s="219">
        <f t="shared" si="13"/>
        <v>200</v>
      </c>
      <c r="R220" s="219">
        <f t="shared" si="13"/>
        <v>200</v>
      </c>
      <c r="S220" s="219">
        <f t="shared" si="13"/>
        <v>200</v>
      </c>
    </row>
    <row r="221" spans="1:19" ht="20.25" customHeight="1">
      <c r="A221" s="99"/>
      <c r="B221" s="98"/>
      <c r="C221" s="97"/>
      <c r="D221" s="94"/>
      <c r="E221" s="94"/>
      <c r="F221" s="94"/>
      <c r="G221" s="89"/>
      <c r="H221" s="5" t="s">
        <v>773</v>
      </c>
      <c r="I221" s="10">
        <v>664</v>
      </c>
      <c r="J221" s="7">
        <v>4</v>
      </c>
      <c r="K221" s="7">
        <v>9</v>
      </c>
      <c r="L221" s="95" t="s">
        <v>588</v>
      </c>
      <c r="M221" s="96" t="s">
        <v>563</v>
      </c>
      <c r="N221" s="96" t="s">
        <v>588</v>
      </c>
      <c r="O221" s="96" t="s">
        <v>761</v>
      </c>
      <c r="P221" s="23">
        <v>240</v>
      </c>
      <c r="Q221" s="219">
        <v>200</v>
      </c>
      <c r="R221" s="219">
        <v>200</v>
      </c>
      <c r="S221" s="219">
        <v>200</v>
      </c>
    </row>
    <row r="222" spans="1:19" ht="38.25" customHeight="1">
      <c r="A222" s="99"/>
      <c r="B222" s="98"/>
      <c r="C222" s="103"/>
      <c r="D222" s="101"/>
      <c r="E222" s="104"/>
      <c r="F222" s="104"/>
      <c r="G222" s="105"/>
      <c r="H222" s="5" t="s">
        <v>163</v>
      </c>
      <c r="I222" s="13">
        <v>27</v>
      </c>
      <c r="J222" s="7">
        <v>4</v>
      </c>
      <c r="K222" s="7">
        <v>9</v>
      </c>
      <c r="L222" s="95" t="s">
        <v>588</v>
      </c>
      <c r="M222" s="96" t="s">
        <v>563</v>
      </c>
      <c r="N222" s="96" t="s">
        <v>566</v>
      </c>
      <c r="O222" s="96" t="s">
        <v>620</v>
      </c>
      <c r="P222" s="6"/>
      <c r="Q222" s="216">
        <f>Q223</f>
        <v>991.9000000000001</v>
      </c>
      <c r="R222" s="216" t="e">
        <f>R223</f>
        <v>#REF!</v>
      </c>
      <c r="S222" s="216" t="e">
        <f>S223</f>
        <v>#REF!</v>
      </c>
    </row>
    <row r="223" spans="1:19" ht="31.5" customHeight="1">
      <c r="A223" s="99"/>
      <c r="B223" s="98"/>
      <c r="C223" s="103"/>
      <c r="D223" s="101"/>
      <c r="E223" s="104"/>
      <c r="F223" s="104"/>
      <c r="G223" s="105"/>
      <c r="H223" s="5" t="s">
        <v>274</v>
      </c>
      <c r="I223" s="13">
        <v>27</v>
      </c>
      <c r="J223" s="7">
        <v>4</v>
      </c>
      <c r="K223" s="7">
        <v>9</v>
      </c>
      <c r="L223" s="95" t="s">
        <v>588</v>
      </c>
      <c r="M223" s="96" t="s">
        <v>563</v>
      </c>
      <c r="N223" s="96" t="s">
        <v>566</v>
      </c>
      <c r="O223" s="96" t="s">
        <v>273</v>
      </c>
      <c r="P223" s="6"/>
      <c r="Q223" s="216">
        <f>Q224</f>
        <v>991.9000000000001</v>
      </c>
      <c r="R223" s="216" t="e">
        <f>#REF!</f>
        <v>#REF!</v>
      </c>
      <c r="S223" s="216" t="e">
        <f>#REF!</f>
        <v>#REF!</v>
      </c>
    </row>
    <row r="224" spans="1:19" ht="22.5" customHeight="1">
      <c r="A224" s="99"/>
      <c r="B224" s="98"/>
      <c r="C224" s="103"/>
      <c r="D224" s="101"/>
      <c r="E224" s="104"/>
      <c r="F224" s="104"/>
      <c r="G224" s="105"/>
      <c r="H224" s="5" t="s">
        <v>647</v>
      </c>
      <c r="I224" s="13">
        <v>27</v>
      </c>
      <c r="J224" s="7">
        <v>4</v>
      </c>
      <c r="K224" s="7">
        <v>9</v>
      </c>
      <c r="L224" s="95" t="s">
        <v>588</v>
      </c>
      <c r="M224" s="96" t="s">
        <v>563</v>
      </c>
      <c r="N224" s="96" t="s">
        <v>566</v>
      </c>
      <c r="O224" s="96" t="s">
        <v>273</v>
      </c>
      <c r="P224" s="6">
        <v>540</v>
      </c>
      <c r="Q224" s="216">
        <f>'Приложение 9'!Q127</f>
        <v>991.9000000000001</v>
      </c>
      <c r="R224" s="216"/>
      <c r="S224" s="216"/>
    </row>
    <row r="225" spans="1:19" ht="33.75" customHeight="1">
      <c r="A225" s="99"/>
      <c r="B225" s="98"/>
      <c r="C225" s="103"/>
      <c r="D225" s="101"/>
      <c r="E225" s="104"/>
      <c r="F225" s="104"/>
      <c r="G225" s="105"/>
      <c r="H225" s="5" t="s">
        <v>783</v>
      </c>
      <c r="I225" s="13">
        <v>27</v>
      </c>
      <c r="J225" s="7">
        <v>4</v>
      </c>
      <c r="K225" s="7">
        <v>9</v>
      </c>
      <c r="L225" s="95" t="s">
        <v>588</v>
      </c>
      <c r="M225" s="96" t="s">
        <v>563</v>
      </c>
      <c r="N225" s="96" t="s">
        <v>595</v>
      </c>
      <c r="O225" s="96" t="s">
        <v>620</v>
      </c>
      <c r="P225" s="6"/>
      <c r="Q225" s="216">
        <f aca="true" t="shared" si="14" ref="Q225:S226">Q226</f>
        <v>2500</v>
      </c>
      <c r="R225" s="216">
        <f t="shared" si="14"/>
        <v>0</v>
      </c>
      <c r="S225" s="216">
        <f t="shared" si="14"/>
        <v>0</v>
      </c>
    </row>
    <row r="226" spans="1:19" ht="32.25" customHeight="1">
      <c r="A226" s="99"/>
      <c r="B226" s="98"/>
      <c r="C226" s="103"/>
      <c r="D226" s="101"/>
      <c r="E226" s="104"/>
      <c r="F226" s="104"/>
      <c r="G226" s="105"/>
      <c r="H226" s="5" t="s">
        <v>782</v>
      </c>
      <c r="I226" s="13">
        <v>27</v>
      </c>
      <c r="J226" s="7">
        <v>4</v>
      </c>
      <c r="K226" s="7">
        <v>9</v>
      </c>
      <c r="L226" s="95" t="s">
        <v>588</v>
      </c>
      <c r="M226" s="96" t="s">
        <v>563</v>
      </c>
      <c r="N226" s="96" t="s">
        <v>595</v>
      </c>
      <c r="O226" s="96" t="s">
        <v>255</v>
      </c>
      <c r="P226" s="6"/>
      <c r="Q226" s="216">
        <f t="shared" si="14"/>
        <v>2500</v>
      </c>
      <c r="R226" s="216">
        <f t="shared" si="14"/>
        <v>0</v>
      </c>
      <c r="S226" s="216">
        <f t="shared" si="14"/>
        <v>0</v>
      </c>
    </row>
    <row r="227" spans="1:19" ht="24.75" customHeight="1">
      <c r="A227" s="99"/>
      <c r="B227" s="98"/>
      <c r="C227" s="103"/>
      <c r="D227" s="101"/>
      <c r="E227" s="104"/>
      <c r="F227" s="104"/>
      <c r="G227" s="105"/>
      <c r="H227" s="5" t="s">
        <v>781</v>
      </c>
      <c r="I227" s="13">
        <v>27</v>
      </c>
      <c r="J227" s="7">
        <v>4</v>
      </c>
      <c r="K227" s="7">
        <v>9</v>
      </c>
      <c r="L227" s="95" t="s">
        <v>588</v>
      </c>
      <c r="M227" s="96" t="s">
        <v>563</v>
      </c>
      <c r="N227" s="96" t="s">
        <v>595</v>
      </c>
      <c r="O227" s="96" t="s">
        <v>255</v>
      </c>
      <c r="P227" s="6">
        <v>540</v>
      </c>
      <c r="Q227" s="216">
        <v>2500</v>
      </c>
      <c r="R227" s="216"/>
      <c r="S227" s="216"/>
    </row>
    <row r="228" spans="1:19" ht="24.75" customHeight="1">
      <c r="A228" s="99"/>
      <c r="B228" s="98"/>
      <c r="C228" s="103"/>
      <c r="D228" s="101"/>
      <c r="E228" s="104"/>
      <c r="F228" s="104"/>
      <c r="G228" s="105"/>
      <c r="H228" s="5" t="str">
        <f>'Приложение 9'!H131</f>
        <v>Основное мероприятие "Разработка комплексной схемы организации дорожного движения"</v>
      </c>
      <c r="I228" s="13">
        <f>'Приложение 9'!I131</f>
        <v>27</v>
      </c>
      <c r="J228" s="7">
        <f>'Приложение 9'!J131</f>
        <v>4</v>
      </c>
      <c r="K228" s="7">
        <f>'Приложение 9'!K131</f>
        <v>9</v>
      </c>
      <c r="L228" s="95" t="str">
        <f>'Приложение 9'!L131</f>
        <v>04</v>
      </c>
      <c r="M228" s="96" t="str">
        <f>'Приложение 9'!M131</f>
        <v>0</v>
      </c>
      <c r="N228" s="96" t="str">
        <f>'Приложение 9'!N131</f>
        <v>07</v>
      </c>
      <c r="O228" s="96" t="str">
        <f>'Приложение 9'!O131</f>
        <v>00000</v>
      </c>
      <c r="P228" s="6" t="s">
        <v>621</v>
      </c>
      <c r="Q228" s="216">
        <f>Q229</f>
        <v>210</v>
      </c>
      <c r="R228" s="216"/>
      <c r="S228" s="216"/>
    </row>
    <row r="229" spans="1:19" ht="24.75" customHeight="1">
      <c r="A229" s="99"/>
      <c r="B229" s="98"/>
      <c r="C229" s="103"/>
      <c r="D229" s="101"/>
      <c r="E229" s="104"/>
      <c r="F229" s="104"/>
      <c r="G229" s="105"/>
      <c r="H229" s="5" t="str">
        <f>'Приложение 9'!H132</f>
        <v>Мероприятия в сфере дорожного хозяйства</v>
      </c>
      <c r="I229" s="13">
        <f>'Приложение 9'!I132</f>
        <v>27</v>
      </c>
      <c r="J229" s="7">
        <f>'Приложение 9'!J132</f>
        <v>4</v>
      </c>
      <c r="K229" s="7">
        <f>'Приложение 9'!K132</f>
        <v>9</v>
      </c>
      <c r="L229" s="95" t="str">
        <f>'Приложение 9'!L132</f>
        <v>04</v>
      </c>
      <c r="M229" s="96" t="str">
        <f>'Приложение 9'!M132</f>
        <v>0</v>
      </c>
      <c r="N229" s="96" t="str">
        <f>'Приложение 9'!N132</f>
        <v>07</v>
      </c>
      <c r="O229" s="96" t="str">
        <f>'Приложение 9'!O132</f>
        <v>20300</v>
      </c>
      <c r="P229" s="6" t="s">
        <v>621</v>
      </c>
      <c r="Q229" s="216">
        <f>Q230</f>
        <v>210</v>
      </c>
      <c r="R229" s="216"/>
      <c r="S229" s="216"/>
    </row>
    <row r="230" spans="1:19" ht="24.75" customHeight="1">
      <c r="A230" s="99"/>
      <c r="B230" s="98"/>
      <c r="C230" s="103"/>
      <c r="D230" s="101"/>
      <c r="E230" s="104"/>
      <c r="F230" s="104"/>
      <c r="G230" s="105"/>
      <c r="H230" s="5" t="str">
        <f>'Приложение 9'!H133</f>
        <v>Иные закупки товаров, работ и услуг для обеспечения государственных (муниципальных) нужд</v>
      </c>
      <c r="I230" s="13">
        <f>'Приложение 9'!I133</f>
        <v>27</v>
      </c>
      <c r="J230" s="7">
        <f>'Приложение 9'!J133</f>
        <v>4</v>
      </c>
      <c r="K230" s="7">
        <f>'Приложение 9'!K133</f>
        <v>9</v>
      </c>
      <c r="L230" s="95" t="str">
        <f>'Приложение 9'!L133</f>
        <v>04</v>
      </c>
      <c r="M230" s="96" t="str">
        <f>'Приложение 9'!M133</f>
        <v>0</v>
      </c>
      <c r="N230" s="96" t="str">
        <f>'Приложение 9'!N133</f>
        <v>07</v>
      </c>
      <c r="O230" s="96" t="str">
        <f>'Приложение 9'!O133</f>
        <v>20300</v>
      </c>
      <c r="P230" s="6">
        <f>'Приложение 9'!P133</f>
        <v>240</v>
      </c>
      <c r="Q230" s="216">
        <f>'Приложение 9'!Q133</f>
        <v>210</v>
      </c>
      <c r="R230" s="216"/>
      <c r="S230" s="216"/>
    </row>
    <row r="231" spans="1:19" ht="24.75" customHeight="1">
      <c r="A231" s="99"/>
      <c r="B231" s="98"/>
      <c r="C231" s="103"/>
      <c r="D231" s="101"/>
      <c r="E231" s="104"/>
      <c r="F231" s="104"/>
      <c r="G231" s="105"/>
      <c r="H231" s="5" t="str">
        <f>'Приложение 9'!H134</f>
        <v>Основное мероприятие «Разработка ПКРТИ»</v>
      </c>
      <c r="I231" s="13">
        <f>'Приложение 9'!I134</f>
        <v>27</v>
      </c>
      <c r="J231" s="7">
        <f>'Приложение 9'!J134</f>
        <v>4</v>
      </c>
      <c r="K231" s="7">
        <f>'Приложение 9'!K134</f>
        <v>9</v>
      </c>
      <c r="L231" s="95" t="str">
        <f>'Приложение 9'!L134</f>
        <v>04</v>
      </c>
      <c r="M231" s="96" t="str">
        <f>'Приложение 9'!M134</f>
        <v>0</v>
      </c>
      <c r="N231" s="96" t="str">
        <f>'Приложение 9'!N134</f>
        <v>08</v>
      </c>
      <c r="O231" s="96" t="str">
        <f>'Приложение 9'!O134</f>
        <v>00000</v>
      </c>
      <c r="P231" s="6" t="s">
        <v>621</v>
      </c>
      <c r="Q231" s="216">
        <f>Q232</f>
        <v>50</v>
      </c>
      <c r="R231" s="216"/>
      <c r="S231" s="216"/>
    </row>
    <row r="232" spans="1:19" ht="24.75" customHeight="1">
      <c r="A232" s="99"/>
      <c r="B232" s="98"/>
      <c r="C232" s="103"/>
      <c r="D232" s="101"/>
      <c r="E232" s="104"/>
      <c r="F232" s="104"/>
      <c r="G232" s="105"/>
      <c r="H232" s="5" t="str">
        <f>'Приложение 9'!H135</f>
        <v>Мероприятия в сфере дорожного хозяйства</v>
      </c>
      <c r="I232" s="13">
        <f>'Приложение 9'!I135</f>
        <v>27</v>
      </c>
      <c r="J232" s="7">
        <f>'Приложение 9'!J135</f>
        <v>4</v>
      </c>
      <c r="K232" s="7">
        <f>'Приложение 9'!K135</f>
        <v>9</v>
      </c>
      <c r="L232" s="95" t="str">
        <f>'Приложение 9'!L135</f>
        <v>04</v>
      </c>
      <c r="M232" s="96" t="str">
        <f>'Приложение 9'!M135</f>
        <v>0</v>
      </c>
      <c r="N232" s="96" t="str">
        <f>'Приложение 9'!N135</f>
        <v>08</v>
      </c>
      <c r="O232" s="96" t="str">
        <f>'Приложение 9'!O135</f>
        <v>20300</v>
      </c>
      <c r="P232" s="6" t="s">
        <v>621</v>
      </c>
      <c r="Q232" s="216">
        <f>Q233</f>
        <v>50</v>
      </c>
      <c r="R232" s="216"/>
      <c r="S232" s="216"/>
    </row>
    <row r="233" spans="1:19" ht="24.75" customHeight="1">
      <c r="A233" s="99"/>
      <c r="B233" s="98"/>
      <c r="C233" s="103"/>
      <c r="D233" s="101"/>
      <c r="E233" s="104"/>
      <c r="F233" s="104"/>
      <c r="G233" s="105"/>
      <c r="H233" s="5" t="str">
        <f>'Приложение 9'!H136</f>
        <v> Иные межбюджетные трансферты</v>
      </c>
      <c r="I233" s="13">
        <f>'Приложение 9'!I136</f>
        <v>27</v>
      </c>
      <c r="J233" s="7">
        <f>'Приложение 9'!J136</f>
        <v>4</v>
      </c>
      <c r="K233" s="7">
        <f>'Приложение 9'!K136</f>
        <v>9</v>
      </c>
      <c r="L233" s="95" t="str">
        <f>'Приложение 9'!L136</f>
        <v>04</v>
      </c>
      <c r="M233" s="96" t="str">
        <f>'Приложение 9'!M136</f>
        <v>0</v>
      </c>
      <c r="N233" s="96" t="str">
        <f>'Приложение 9'!N136</f>
        <v>08</v>
      </c>
      <c r="O233" s="96" t="str">
        <f>'Приложение 9'!O136</f>
        <v>20300</v>
      </c>
      <c r="P233" s="6">
        <f>'Приложение 9'!P136</f>
        <v>540</v>
      </c>
      <c r="Q233" s="216">
        <f>'Приложение 9'!Q136</f>
        <v>50</v>
      </c>
      <c r="R233" s="216"/>
      <c r="S233" s="216"/>
    </row>
    <row r="234" spans="1:19" s="179" customFormat="1" ht="24.75" customHeight="1">
      <c r="A234" s="142"/>
      <c r="B234" s="143"/>
      <c r="C234" s="153"/>
      <c r="D234" s="150"/>
      <c r="E234" s="145"/>
      <c r="F234" s="145"/>
      <c r="G234" s="155">
        <v>850</v>
      </c>
      <c r="H234" s="149" t="s">
        <v>546</v>
      </c>
      <c r="I234" s="152">
        <v>27</v>
      </c>
      <c r="J234" s="148">
        <v>4</v>
      </c>
      <c r="K234" s="148">
        <v>12</v>
      </c>
      <c r="L234" s="140"/>
      <c r="M234" s="141"/>
      <c r="N234" s="141"/>
      <c r="O234" s="141"/>
      <c r="P234" s="146"/>
      <c r="Q234" s="217">
        <f>Q235+Q253+Q257</f>
        <v>6931.700000000001</v>
      </c>
      <c r="R234" s="217" t="e">
        <f>R235+R253+R257+#REF!</f>
        <v>#REF!</v>
      </c>
      <c r="S234" s="217" t="e">
        <f>S235+S253+S257+#REF!</f>
        <v>#REF!</v>
      </c>
    </row>
    <row r="235" spans="1:19" ht="40.5" customHeight="1">
      <c r="A235" s="99"/>
      <c r="B235" s="98"/>
      <c r="C235" s="97"/>
      <c r="D235" s="101"/>
      <c r="E235" s="115"/>
      <c r="F235" s="115"/>
      <c r="G235" s="89"/>
      <c r="H235" s="200" t="s">
        <v>21</v>
      </c>
      <c r="I235" s="6">
        <v>27</v>
      </c>
      <c r="J235" s="7">
        <v>4</v>
      </c>
      <c r="K235" s="7">
        <v>12</v>
      </c>
      <c r="L235" s="95" t="s">
        <v>568</v>
      </c>
      <c r="M235" s="96" t="s">
        <v>563</v>
      </c>
      <c r="N235" s="96" t="s">
        <v>583</v>
      </c>
      <c r="O235" s="96" t="s">
        <v>620</v>
      </c>
      <c r="P235" s="6"/>
      <c r="Q235" s="216">
        <f>Q236+Q245+Q250+Q239+Q242</f>
        <v>6388.1</v>
      </c>
      <c r="R235" s="216">
        <f>R236+R245+R250</f>
        <v>7300</v>
      </c>
      <c r="S235" s="216">
        <f>S236+S245+S250</f>
        <v>7250</v>
      </c>
    </row>
    <row r="236" spans="1:19" ht="36" customHeight="1">
      <c r="A236" s="99"/>
      <c r="B236" s="98"/>
      <c r="C236" s="97"/>
      <c r="D236" s="101"/>
      <c r="E236" s="115"/>
      <c r="F236" s="115"/>
      <c r="G236" s="89"/>
      <c r="H236" s="108" t="s">
        <v>348</v>
      </c>
      <c r="I236" s="6">
        <v>27</v>
      </c>
      <c r="J236" s="7">
        <v>4</v>
      </c>
      <c r="K236" s="7">
        <v>12</v>
      </c>
      <c r="L236" s="95" t="s">
        <v>568</v>
      </c>
      <c r="M236" s="96" t="s">
        <v>563</v>
      </c>
      <c r="N236" s="96" t="s">
        <v>564</v>
      </c>
      <c r="O236" s="96" t="s">
        <v>620</v>
      </c>
      <c r="P236" s="6"/>
      <c r="Q236" s="216">
        <f aca="true" t="shared" si="15" ref="Q236:S237">Q237</f>
        <v>65</v>
      </c>
      <c r="R236" s="216">
        <f t="shared" si="15"/>
        <v>200</v>
      </c>
      <c r="S236" s="216">
        <f t="shared" si="15"/>
        <v>150</v>
      </c>
    </row>
    <row r="237" spans="1:19" ht="21.75" customHeight="1">
      <c r="A237" s="99"/>
      <c r="B237" s="98"/>
      <c r="C237" s="97"/>
      <c r="D237" s="101"/>
      <c r="E237" s="115"/>
      <c r="F237" s="115"/>
      <c r="G237" s="89"/>
      <c r="H237" s="108" t="s">
        <v>262</v>
      </c>
      <c r="I237" s="6">
        <v>27</v>
      </c>
      <c r="J237" s="7">
        <v>4</v>
      </c>
      <c r="K237" s="7">
        <v>12</v>
      </c>
      <c r="L237" s="95" t="s">
        <v>568</v>
      </c>
      <c r="M237" s="96" t="s">
        <v>563</v>
      </c>
      <c r="N237" s="96" t="s">
        <v>564</v>
      </c>
      <c r="O237" s="96" t="s">
        <v>263</v>
      </c>
      <c r="P237" s="6"/>
      <c r="Q237" s="216">
        <f t="shared" si="15"/>
        <v>65</v>
      </c>
      <c r="R237" s="216">
        <f t="shared" si="15"/>
        <v>200</v>
      </c>
      <c r="S237" s="216">
        <f t="shared" si="15"/>
        <v>150</v>
      </c>
    </row>
    <row r="238" spans="1:19" ht="24" customHeight="1">
      <c r="A238" s="99"/>
      <c r="B238" s="98"/>
      <c r="C238" s="97"/>
      <c r="D238" s="101"/>
      <c r="E238" s="115"/>
      <c r="F238" s="115"/>
      <c r="G238" s="89"/>
      <c r="H238" s="108" t="s">
        <v>722</v>
      </c>
      <c r="I238" s="6">
        <v>27</v>
      </c>
      <c r="J238" s="7">
        <v>4</v>
      </c>
      <c r="K238" s="7">
        <v>12</v>
      </c>
      <c r="L238" s="95" t="s">
        <v>568</v>
      </c>
      <c r="M238" s="96" t="s">
        <v>563</v>
      </c>
      <c r="N238" s="96" t="s">
        <v>564</v>
      </c>
      <c r="O238" s="96" t="s">
        <v>263</v>
      </c>
      <c r="P238" s="6">
        <v>610</v>
      </c>
      <c r="Q238" s="216">
        <f>'Приложение 9'!Q141</f>
        <v>65</v>
      </c>
      <c r="R238" s="216">
        <v>200</v>
      </c>
      <c r="S238" s="216">
        <v>150</v>
      </c>
    </row>
    <row r="239" spans="1:19" ht="24" customHeight="1">
      <c r="A239" s="99"/>
      <c r="B239" s="98"/>
      <c r="C239" s="97"/>
      <c r="D239" s="101"/>
      <c r="E239" s="115"/>
      <c r="F239" s="115"/>
      <c r="G239" s="89"/>
      <c r="H239" s="108" t="str">
        <f>'Приложение 9'!H142</f>
        <v>Основное мероприятие "Расширение внешних связей"</v>
      </c>
      <c r="I239" s="8">
        <f>'Приложение 9'!I142</f>
        <v>27</v>
      </c>
      <c r="J239" s="7">
        <f>'Приложение 9'!J142</f>
        <v>4</v>
      </c>
      <c r="K239" s="7">
        <f>'Приложение 9'!K142</f>
        <v>12</v>
      </c>
      <c r="L239" s="95" t="str">
        <f>'Приложение 9'!L142</f>
        <v>07</v>
      </c>
      <c r="M239" s="96" t="str">
        <f>'Приложение 9'!M142</f>
        <v>0</v>
      </c>
      <c r="N239" s="96" t="str">
        <f>'Приложение 9'!N142</f>
        <v>02</v>
      </c>
      <c r="O239" s="96" t="str">
        <f>'Приложение 9'!O142</f>
        <v>00000</v>
      </c>
      <c r="P239" s="6" t="s">
        <v>621</v>
      </c>
      <c r="Q239" s="216">
        <f>Q240</f>
        <v>20</v>
      </c>
      <c r="R239" s="216"/>
      <c r="S239" s="216"/>
    </row>
    <row r="240" spans="1:19" ht="24" customHeight="1">
      <c r="A240" s="99"/>
      <c r="B240" s="98"/>
      <c r="C240" s="97"/>
      <c r="D240" s="101"/>
      <c r="E240" s="115"/>
      <c r="F240" s="115"/>
      <c r="G240" s="89"/>
      <c r="H240" s="108" t="str">
        <f>'Приложение 9'!H143</f>
        <v>Учреждения культуры</v>
      </c>
      <c r="I240" s="8">
        <f>'Приложение 9'!I143</f>
        <v>27</v>
      </c>
      <c r="J240" s="7">
        <f>'Приложение 9'!J143</f>
        <v>4</v>
      </c>
      <c r="K240" s="7">
        <f>'Приложение 9'!K143</f>
        <v>12</v>
      </c>
      <c r="L240" s="95" t="str">
        <f>'Приложение 9'!L143</f>
        <v>07</v>
      </c>
      <c r="M240" s="96" t="str">
        <f>'Приложение 9'!M143</f>
        <v>0</v>
      </c>
      <c r="N240" s="96" t="str">
        <f>'Приложение 9'!N143</f>
        <v>02</v>
      </c>
      <c r="O240" s="96" t="str">
        <f>'Приложение 9'!O143</f>
        <v>01590</v>
      </c>
      <c r="P240" s="6" t="s">
        <v>621</v>
      </c>
      <c r="Q240" s="216">
        <f>Q241</f>
        <v>20</v>
      </c>
      <c r="R240" s="216"/>
      <c r="S240" s="216"/>
    </row>
    <row r="241" spans="1:19" ht="24" customHeight="1">
      <c r="A241" s="99"/>
      <c r="B241" s="98"/>
      <c r="C241" s="97"/>
      <c r="D241" s="101"/>
      <c r="E241" s="115"/>
      <c r="F241" s="115"/>
      <c r="G241" s="89"/>
      <c r="H241" s="108" t="str">
        <f>'Приложение 9'!H144</f>
        <v>Субсидии бюджетным учреждениям</v>
      </c>
      <c r="I241" s="8">
        <f>'Приложение 9'!I144</f>
        <v>27</v>
      </c>
      <c r="J241" s="7">
        <f>'Приложение 9'!J144</f>
        <v>4</v>
      </c>
      <c r="K241" s="7">
        <f>'Приложение 9'!K144</f>
        <v>12</v>
      </c>
      <c r="L241" s="95" t="str">
        <f>'Приложение 9'!L144</f>
        <v>07</v>
      </c>
      <c r="M241" s="96" t="str">
        <f>'Приложение 9'!M144</f>
        <v>0</v>
      </c>
      <c r="N241" s="96" t="str">
        <f>'Приложение 9'!N144</f>
        <v>02</v>
      </c>
      <c r="O241" s="96" t="str">
        <f>'Приложение 9'!O144</f>
        <v>01590</v>
      </c>
      <c r="P241" s="6">
        <f>'Приложение 9'!P144</f>
        <v>610</v>
      </c>
      <c r="Q241" s="216">
        <f>'Приложение 9'!Q144</f>
        <v>20</v>
      </c>
      <c r="R241" s="216"/>
      <c r="S241" s="216"/>
    </row>
    <row r="242" spans="1:19" ht="24" customHeight="1">
      <c r="A242" s="99"/>
      <c r="B242" s="98"/>
      <c r="C242" s="97"/>
      <c r="D242" s="101"/>
      <c r="E242" s="115"/>
      <c r="F242" s="115"/>
      <c r="G242" s="89"/>
      <c r="H242" s="108" t="str">
        <f>'Приложение 9'!H145</f>
        <v>Основное мероприятие "Сохранение и популяризация объектов культурного наследия"</v>
      </c>
      <c r="I242" s="8">
        <f>'Приложение 9'!I145</f>
        <v>27</v>
      </c>
      <c r="J242" s="7">
        <f>'Приложение 9'!J145</f>
        <v>4</v>
      </c>
      <c r="K242" s="7">
        <f>'Приложение 9'!K145</f>
        <v>12</v>
      </c>
      <c r="L242" s="95" t="str">
        <f>'Приложение 9'!L145</f>
        <v>07</v>
      </c>
      <c r="M242" s="96" t="str">
        <f>'Приложение 9'!M145</f>
        <v>0</v>
      </c>
      <c r="N242" s="96" t="str">
        <f>'Приложение 9'!N145</f>
        <v>03</v>
      </c>
      <c r="O242" s="96" t="str">
        <f>'Приложение 9'!O145</f>
        <v>00000</v>
      </c>
      <c r="P242" s="6"/>
      <c r="Q242" s="216">
        <f>Q243</f>
        <v>210</v>
      </c>
      <c r="R242" s="216"/>
      <c r="S242" s="216"/>
    </row>
    <row r="243" spans="1:19" ht="24" customHeight="1">
      <c r="A243" s="99"/>
      <c r="B243" s="98"/>
      <c r="C243" s="97"/>
      <c r="D243" s="101"/>
      <c r="E243" s="115"/>
      <c r="F243" s="115"/>
      <c r="G243" s="89"/>
      <c r="H243" s="108" t="str">
        <f>'Приложение 9'!H146</f>
        <v> Разработка проектно-сметной документации</v>
      </c>
      <c r="I243" s="8">
        <f>'Приложение 9'!I146</f>
        <v>27</v>
      </c>
      <c r="J243" s="7">
        <f>'Приложение 9'!J146</f>
        <v>4</v>
      </c>
      <c r="K243" s="7">
        <f>'Приложение 9'!K146</f>
        <v>12</v>
      </c>
      <c r="L243" s="95" t="str">
        <f>'Приложение 9'!L146</f>
        <v>07</v>
      </c>
      <c r="M243" s="96" t="str">
        <f>'Приложение 9'!M146</f>
        <v>0</v>
      </c>
      <c r="N243" s="96" t="str">
        <f>'Приложение 9'!N146</f>
        <v>03</v>
      </c>
      <c r="O243" s="96" t="str">
        <f>'Приложение 9'!O146</f>
        <v>41010</v>
      </c>
      <c r="P243" s="6"/>
      <c r="Q243" s="216">
        <f>Q244</f>
        <v>210</v>
      </c>
      <c r="R243" s="216"/>
      <c r="S243" s="216"/>
    </row>
    <row r="244" spans="1:19" ht="24" customHeight="1">
      <c r="A244" s="99"/>
      <c r="B244" s="98"/>
      <c r="C244" s="97"/>
      <c r="D244" s="101"/>
      <c r="E244" s="115"/>
      <c r="F244" s="115"/>
      <c r="G244" s="89"/>
      <c r="H244" s="108" t="str">
        <f>'Приложение 9'!H147</f>
        <v>Иные закупки товаров, работ и услуг для обеспечения государственных (муниципальных) нужд</v>
      </c>
      <c r="I244" s="8">
        <f>'Приложение 9'!I147</f>
        <v>27</v>
      </c>
      <c r="J244" s="7">
        <f>'Приложение 9'!J147</f>
        <v>4</v>
      </c>
      <c r="K244" s="7">
        <f>'Приложение 9'!K147</f>
        <v>12</v>
      </c>
      <c r="L244" s="95" t="str">
        <f>'Приложение 9'!L147</f>
        <v>07</v>
      </c>
      <c r="M244" s="96" t="str">
        <f>'Приложение 9'!M147</f>
        <v>0</v>
      </c>
      <c r="N244" s="96" t="str">
        <f>'Приложение 9'!N147</f>
        <v>03</v>
      </c>
      <c r="O244" s="96" t="str">
        <f>'Приложение 9'!O147</f>
        <v>41010</v>
      </c>
      <c r="P244" s="6">
        <f>'Приложение 9'!P147</f>
        <v>240</v>
      </c>
      <c r="Q244" s="216">
        <f>'Приложение 9'!Q147</f>
        <v>210</v>
      </c>
      <c r="R244" s="216"/>
      <c r="S244" s="216"/>
    </row>
    <row r="245" spans="1:19" ht="27.75" customHeight="1">
      <c r="A245" s="99"/>
      <c r="B245" s="98"/>
      <c r="C245" s="97"/>
      <c r="D245" s="101"/>
      <c r="E245" s="115"/>
      <c r="F245" s="115"/>
      <c r="G245" s="89"/>
      <c r="H245" s="5" t="s">
        <v>659</v>
      </c>
      <c r="I245" s="8">
        <v>27</v>
      </c>
      <c r="J245" s="7">
        <v>4</v>
      </c>
      <c r="K245" s="7">
        <v>12</v>
      </c>
      <c r="L245" s="95" t="s">
        <v>568</v>
      </c>
      <c r="M245" s="96" t="s">
        <v>563</v>
      </c>
      <c r="N245" s="96" t="s">
        <v>566</v>
      </c>
      <c r="O245" s="96" t="s">
        <v>620</v>
      </c>
      <c r="P245" s="6"/>
      <c r="Q245" s="216">
        <f>Q246+Q248</f>
        <v>6078.1</v>
      </c>
      <c r="R245" s="216">
        <f aca="true" t="shared" si="16" ref="Q245:S246">R246</f>
        <v>6750</v>
      </c>
      <c r="S245" s="216">
        <f t="shared" si="16"/>
        <v>6800</v>
      </c>
    </row>
    <row r="246" spans="1:19" ht="27.75" customHeight="1">
      <c r="A246" s="99"/>
      <c r="B246" s="98"/>
      <c r="C246" s="97"/>
      <c r="D246" s="101"/>
      <c r="E246" s="115"/>
      <c r="F246" s="115"/>
      <c r="G246" s="89"/>
      <c r="H246" s="5" t="s">
        <v>262</v>
      </c>
      <c r="I246" s="8">
        <v>27</v>
      </c>
      <c r="J246" s="7">
        <v>4</v>
      </c>
      <c r="K246" s="7">
        <v>12</v>
      </c>
      <c r="L246" s="95" t="s">
        <v>568</v>
      </c>
      <c r="M246" s="96" t="s">
        <v>563</v>
      </c>
      <c r="N246" s="96" t="s">
        <v>566</v>
      </c>
      <c r="O246" s="96" t="s">
        <v>263</v>
      </c>
      <c r="P246" s="6"/>
      <c r="Q246" s="216">
        <f t="shared" si="16"/>
        <v>5436.5</v>
      </c>
      <c r="R246" s="216">
        <f t="shared" si="16"/>
        <v>6750</v>
      </c>
      <c r="S246" s="216">
        <f t="shared" si="16"/>
        <v>6800</v>
      </c>
    </row>
    <row r="247" spans="1:19" ht="27.75" customHeight="1">
      <c r="A247" s="99"/>
      <c r="B247" s="98"/>
      <c r="C247" s="97"/>
      <c r="D247" s="101"/>
      <c r="E247" s="115"/>
      <c r="F247" s="115"/>
      <c r="G247" s="89"/>
      <c r="H247" s="5" t="s">
        <v>722</v>
      </c>
      <c r="I247" s="8">
        <v>27</v>
      </c>
      <c r="J247" s="7">
        <v>4</v>
      </c>
      <c r="K247" s="7">
        <v>12</v>
      </c>
      <c r="L247" s="95" t="s">
        <v>568</v>
      </c>
      <c r="M247" s="96" t="s">
        <v>563</v>
      </c>
      <c r="N247" s="96" t="s">
        <v>566</v>
      </c>
      <c r="O247" s="96" t="s">
        <v>263</v>
      </c>
      <c r="P247" s="6">
        <v>610</v>
      </c>
      <c r="Q247" s="216">
        <f>'Приложение 9'!Q150</f>
        <v>5436.5</v>
      </c>
      <c r="R247" s="216">
        <v>6750</v>
      </c>
      <c r="S247" s="216">
        <v>6800</v>
      </c>
    </row>
    <row r="248" spans="1:19" ht="30.75" customHeight="1">
      <c r="A248" s="99"/>
      <c r="B248" s="98"/>
      <c r="C248" s="97"/>
      <c r="D248" s="101"/>
      <c r="E248" s="115"/>
      <c r="F248" s="115"/>
      <c r="G248" s="89"/>
      <c r="H248" s="5" t="str">
        <f>'Приложение 9'!H151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48" s="8">
        <f>'Приложение 9'!I151</f>
        <v>27</v>
      </c>
      <c r="J248" s="7">
        <f>'Приложение 9'!J151</f>
        <v>4</v>
      </c>
      <c r="K248" s="7">
        <f>'Приложение 9'!K151</f>
        <v>12</v>
      </c>
      <c r="L248" s="95" t="str">
        <f>'Приложение 9'!L151</f>
        <v>07</v>
      </c>
      <c r="M248" s="96" t="str">
        <f>'Приложение 9'!M151</f>
        <v>0</v>
      </c>
      <c r="N248" s="96" t="str">
        <f>'Приложение 9'!N151</f>
        <v>05</v>
      </c>
      <c r="O248" s="96" t="str">
        <f>'Приложение 9'!O151</f>
        <v>70030</v>
      </c>
      <c r="P248" s="6" t="s">
        <v>621</v>
      </c>
      <c r="Q248" s="216">
        <f>'Приложение 9'!Q151</f>
        <v>641.6</v>
      </c>
      <c r="R248" s="216"/>
      <c r="S248" s="216"/>
    </row>
    <row r="249" spans="1:19" ht="27.75" customHeight="1">
      <c r="A249" s="99"/>
      <c r="B249" s="98"/>
      <c r="C249" s="97"/>
      <c r="D249" s="101"/>
      <c r="E249" s="115"/>
      <c r="F249" s="115"/>
      <c r="G249" s="89"/>
      <c r="H249" s="5" t="str">
        <f>'Приложение 9'!H152</f>
        <v>Субсидии бюджетным учреждениям</v>
      </c>
      <c r="I249" s="8">
        <f>'Приложение 9'!I152</f>
        <v>27</v>
      </c>
      <c r="J249" s="7">
        <f>'Приложение 9'!J152</f>
        <v>4</v>
      </c>
      <c r="K249" s="7">
        <f>'Приложение 9'!K152</f>
        <v>12</v>
      </c>
      <c r="L249" s="95" t="str">
        <f>'Приложение 9'!L152</f>
        <v>07</v>
      </c>
      <c r="M249" s="96" t="str">
        <f>'Приложение 9'!M152</f>
        <v>0</v>
      </c>
      <c r="N249" s="96" t="str">
        <f>'Приложение 9'!N152</f>
        <v>05</v>
      </c>
      <c r="O249" s="96" t="str">
        <f>'Приложение 9'!O152</f>
        <v>70030</v>
      </c>
      <c r="P249" s="6">
        <f>'Приложение 9'!P152</f>
        <v>610</v>
      </c>
      <c r="Q249" s="216">
        <f>'Приложение 9'!Q152</f>
        <v>641.6</v>
      </c>
      <c r="R249" s="216"/>
      <c r="S249" s="216"/>
    </row>
    <row r="250" spans="1:19" ht="39" customHeight="1">
      <c r="A250" s="99"/>
      <c r="B250" s="98"/>
      <c r="C250" s="97"/>
      <c r="D250" s="101"/>
      <c r="E250" s="115"/>
      <c r="F250" s="115"/>
      <c r="G250" s="89"/>
      <c r="H250" s="5" t="s">
        <v>286</v>
      </c>
      <c r="I250" s="8">
        <v>27</v>
      </c>
      <c r="J250" s="7">
        <v>4</v>
      </c>
      <c r="K250" s="7">
        <v>12</v>
      </c>
      <c r="L250" s="95" t="s">
        <v>568</v>
      </c>
      <c r="M250" s="96" t="s">
        <v>563</v>
      </c>
      <c r="N250" s="96" t="s">
        <v>568</v>
      </c>
      <c r="O250" s="96" t="s">
        <v>620</v>
      </c>
      <c r="P250" s="6"/>
      <c r="Q250" s="216">
        <f aca="true" t="shared" si="17" ref="Q250:S251">Q251</f>
        <v>15</v>
      </c>
      <c r="R250" s="216">
        <f t="shared" si="17"/>
        <v>350</v>
      </c>
      <c r="S250" s="216">
        <f t="shared" si="17"/>
        <v>300</v>
      </c>
    </row>
    <row r="251" spans="1:19" ht="29.25" customHeight="1">
      <c r="A251" s="99"/>
      <c r="B251" s="98"/>
      <c r="C251" s="97"/>
      <c r="D251" s="101"/>
      <c r="E251" s="115"/>
      <c r="F251" s="115"/>
      <c r="G251" s="89"/>
      <c r="H251" s="5" t="s">
        <v>262</v>
      </c>
      <c r="I251" s="8">
        <v>27</v>
      </c>
      <c r="J251" s="7">
        <v>4</v>
      </c>
      <c r="K251" s="7">
        <v>12</v>
      </c>
      <c r="L251" s="95" t="s">
        <v>568</v>
      </c>
      <c r="M251" s="96" t="s">
        <v>563</v>
      </c>
      <c r="N251" s="96" t="s">
        <v>568</v>
      </c>
      <c r="O251" s="96" t="s">
        <v>263</v>
      </c>
      <c r="P251" s="6"/>
      <c r="Q251" s="216">
        <f t="shared" si="17"/>
        <v>15</v>
      </c>
      <c r="R251" s="216">
        <f t="shared" si="17"/>
        <v>350</v>
      </c>
      <c r="S251" s="216">
        <f t="shared" si="17"/>
        <v>300</v>
      </c>
    </row>
    <row r="252" spans="1:19" ht="20.25" customHeight="1">
      <c r="A252" s="99"/>
      <c r="B252" s="98"/>
      <c r="C252" s="97"/>
      <c r="D252" s="101"/>
      <c r="E252" s="115"/>
      <c r="F252" s="115"/>
      <c r="G252" s="89"/>
      <c r="H252" s="5" t="s">
        <v>722</v>
      </c>
      <c r="I252" s="8">
        <v>27</v>
      </c>
      <c r="J252" s="7">
        <v>4</v>
      </c>
      <c r="K252" s="7">
        <v>12</v>
      </c>
      <c r="L252" s="95" t="s">
        <v>568</v>
      </c>
      <c r="M252" s="96" t="s">
        <v>563</v>
      </c>
      <c r="N252" s="96" t="s">
        <v>568</v>
      </c>
      <c r="O252" s="96" t="s">
        <v>263</v>
      </c>
      <c r="P252" s="6">
        <v>610</v>
      </c>
      <c r="Q252" s="216">
        <f>'Приложение 9'!Q155</f>
        <v>15</v>
      </c>
      <c r="R252" s="216">
        <v>350</v>
      </c>
      <c r="S252" s="216">
        <v>300</v>
      </c>
    </row>
    <row r="253" spans="1:19" ht="39" customHeight="1" hidden="1">
      <c r="A253" s="99"/>
      <c r="B253" s="98"/>
      <c r="C253" s="97"/>
      <c r="D253" s="101"/>
      <c r="E253" s="115"/>
      <c r="F253" s="115"/>
      <c r="G253" s="89"/>
      <c r="H253" s="340" t="s">
        <v>289</v>
      </c>
      <c r="I253" s="341">
        <v>27</v>
      </c>
      <c r="J253" s="348">
        <v>4</v>
      </c>
      <c r="K253" s="348">
        <v>12</v>
      </c>
      <c r="L253" s="344" t="s">
        <v>558</v>
      </c>
      <c r="M253" s="345" t="s">
        <v>563</v>
      </c>
      <c r="N253" s="345" t="s">
        <v>583</v>
      </c>
      <c r="O253" s="345" t="s">
        <v>620</v>
      </c>
      <c r="P253" s="341"/>
      <c r="Q253" s="346">
        <f aca="true" t="shared" si="18" ref="Q253:S255">Q254</f>
        <v>0</v>
      </c>
      <c r="R253" s="216">
        <f t="shared" si="18"/>
        <v>30</v>
      </c>
      <c r="S253" s="216">
        <f t="shared" si="18"/>
        <v>0</v>
      </c>
    </row>
    <row r="254" spans="1:19" ht="41.25" customHeight="1" hidden="1">
      <c r="A254" s="99"/>
      <c r="B254" s="98"/>
      <c r="C254" s="97"/>
      <c r="D254" s="101"/>
      <c r="E254" s="115"/>
      <c r="F254" s="115"/>
      <c r="G254" s="89"/>
      <c r="H254" s="347" t="s">
        <v>290</v>
      </c>
      <c r="I254" s="341">
        <v>27</v>
      </c>
      <c r="J254" s="348">
        <v>4</v>
      </c>
      <c r="K254" s="348">
        <v>12</v>
      </c>
      <c r="L254" s="344" t="s">
        <v>558</v>
      </c>
      <c r="M254" s="345" t="s">
        <v>563</v>
      </c>
      <c r="N254" s="345" t="s">
        <v>564</v>
      </c>
      <c r="O254" s="345" t="s">
        <v>620</v>
      </c>
      <c r="P254" s="341"/>
      <c r="Q254" s="346">
        <f t="shared" si="18"/>
        <v>0</v>
      </c>
      <c r="R254" s="216">
        <f t="shared" si="18"/>
        <v>30</v>
      </c>
      <c r="S254" s="216">
        <f t="shared" si="18"/>
        <v>0</v>
      </c>
    </row>
    <row r="255" spans="1:19" ht="30.75" customHeight="1" hidden="1">
      <c r="A255" s="99"/>
      <c r="B255" s="98"/>
      <c r="C255" s="97"/>
      <c r="D255" s="101"/>
      <c r="E255" s="115"/>
      <c r="F255" s="115"/>
      <c r="G255" s="89"/>
      <c r="H255" s="347" t="s">
        <v>292</v>
      </c>
      <c r="I255" s="341">
        <v>27</v>
      </c>
      <c r="J255" s="348">
        <v>4</v>
      </c>
      <c r="K255" s="348">
        <v>12</v>
      </c>
      <c r="L255" s="344" t="s">
        <v>558</v>
      </c>
      <c r="M255" s="345" t="s">
        <v>563</v>
      </c>
      <c r="N255" s="345" t="s">
        <v>564</v>
      </c>
      <c r="O255" s="345" t="s">
        <v>291</v>
      </c>
      <c r="P255" s="341"/>
      <c r="Q255" s="346">
        <f t="shared" si="18"/>
        <v>0</v>
      </c>
      <c r="R255" s="216">
        <f t="shared" si="18"/>
        <v>30</v>
      </c>
      <c r="S255" s="216">
        <f t="shared" si="18"/>
        <v>0</v>
      </c>
    </row>
    <row r="256" spans="1:19" ht="29.25" customHeight="1" hidden="1">
      <c r="A256" s="99"/>
      <c r="B256" s="98"/>
      <c r="C256" s="97"/>
      <c r="D256" s="101"/>
      <c r="E256" s="115"/>
      <c r="F256" s="115"/>
      <c r="G256" s="89"/>
      <c r="H256" s="347" t="s">
        <v>720</v>
      </c>
      <c r="I256" s="341">
        <v>27</v>
      </c>
      <c r="J256" s="348">
        <v>4</v>
      </c>
      <c r="K256" s="348">
        <v>12</v>
      </c>
      <c r="L256" s="344" t="s">
        <v>558</v>
      </c>
      <c r="M256" s="345" t="s">
        <v>563</v>
      </c>
      <c r="N256" s="345" t="s">
        <v>564</v>
      </c>
      <c r="O256" s="345" t="s">
        <v>291</v>
      </c>
      <c r="P256" s="341">
        <v>240</v>
      </c>
      <c r="Q256" s="346">
        <f>'Приложение 9'!Q159</f>
        <v>0</v>
      </c>
      <c r="R256" s="216">
        <v>30</v>
      </c>
      <c r="S256" s="216">
        <v>0</v>
      </c>
    </row>
    <row r="257" spans="1:19" ht="34.5" customHeight="1">
      <c r="A257" s="99"/>
      <c r="B257" s="98"/>
      <c r="C257" s="103"/>
      <c r="D257" s="101"/>
      <c r="E257" s="367">
        <v>4210200</v>
      </c>
      <c r="F257" s="367"/>
      <c r="G257" s="89">
        <v>521</v>
      </c>
      <c r="H257" s="5" t="s">
        <v>32</v>
      </c>
      <c r="I257" s="8">
        <v>27</v>
      </c>
      <c r="J257" s="7">
        <v>4</v>
      </c>
      <c r="K257" s="7">
        <v>12</v>
      </c>
      <c r="L257" s="95" t="s">
        <v>45</v>
      </c>
      <c r="M257" s="96" t="s">
        <v>563</v>
      </c>
      <c r="N257" s="96" t="s">
        <v>583</v>
      </c>
      <c r="O257" s="96" t="s">
        <v>620</v>
      </c>
      <c r="P257" s="10"/>
      <c r="Q257" s="214">
        <f>Q258+Q266</f>
        <v>543.6</v>
      </c>
      <c r="R257" s="214"/>
      <c r="S257" s="214"/>
    </row>
    <row r="258" spans="1:19" ht="34.5" customHeight="1">
      <c r="A258" s="99"/>
      <c r="B258" s="98"/>
      <c r="C258" s="103"/>
      <c r="D258" s="109"/>
      <c r="E258" s="104"/>
      <c r="F258" s="104"/>
      <c r="G258" s="105">
        <v>521</v>
      </c>
      <c r="H258" s="18" t="s">
        <v>30</v>
      </c>
      <c r="I258" s="8">
        <v>27</v>
      </c>
      <c r="J258" s="7">
        <v>4</v>
      </c>
      <c r="K258" s="7">
        <v>12</v>
      </c>
      <c r="L258" s="95" t="s">
        <v>45</v>
      </c>
      <c r="M258" s="96" t="s">
        <v>563</v>
      </c>
      <c r="N258" s="96" t="s">
        <v>564</v>
      </c>
      <c r="O258" s="96" t="s">
        <v>620</v>
      </c>
      <c r="P258" s="6"/>
      <c r="Q258" s="216">
        <f>Q259+Q262+Q264</f>
        <v>463.6</v>
      </c>
      <c r="R258" s="216"/>
      <c r="S258" s="216"/>
    </row>
    <row r="259" spans="1:19" ht="23.25" customHeight="1">
      <c r="A259" s="99"/>
      <c r="B259" s="98"/>
      <c r="C259" s="97"/>
      <c r="D259" s="109"/>
      <c r="E259" s="104"/>
      <c r="F259" s="104"/>
      <c r="G259" s="89"/>
      <c r="H259" s="18" t="s">
        <v>259</v>
      </c>
      <c r="I259" s="8">
        <v>27</v>
      </c>
      <c r="J259" s="7">
        <v>4</v>
      </c>
      <c r="K259" s="7">
        <v>12</v>
      </c>
      <c r="L259" s="95" t="s">
        <v>45</v>
      </c>
      <c r="M259" s="96" t="s">
        <v>563</v>
      </c>
      <c r="N259" s="96" t="s">
        <v>564</v>
      </c>
      <c r="O259" s="96" t="s">
        <v>258</v>
      </c>
      <c r="P259" s="6"/>
      <c r="Q259" s="216">
        <f>SUM(Q260:Q261)</f>
        <v>80</v>
      </c>
      <c r="R259" s="216"/>
      <c r="S259" s="216"/>
    </row>
    <row r="260" spans="1:19" ht="30" customHeight="1">
      <c r="A260" s="99"/>
      <c r="B260" s="98"/>
      <c r="C260" s="97"/>
      <c r="D260" s="109"/>
      <c r="E260" s="104"/>
      <c r="F260" s="104"/>
      <c r="G260" s="89"/>
      <c r="H260" s="18" t="s">
        <v>720</v>
      </c>
      <c r="I260" s="8">
        <v>27</v>
      </c>
      <c r="J260" s="7">
        <v>4</v>
      </c>
      <c r="K260" s="7">
        <v>12</v>
      </c>
      <c r="L260" s="95" t="s">
        <v>45</v>
      </c>
      <c r="M260" s="96" t="s">
        <v>563</v>
      </c>
      <c r="N260" s="96" t="s">
        <v>564</v>
      </c>
      <c r="O260" s="96" t="s">
        <v>258</v>
      </c>
      <c r="P260" s="6">
        <v>240</v>
      </c>
      <c r="Q260" s="216">
        <v>10</v>
      </c>
      <c r="R260" s="216"/>
      <c r="S260" s="216"/>
    </row>
    <row r="261" spans="1:19" ht="38.25" customHeight="1">
      <c r="A261" s="99"/>
      <c r="B261" s="98"/>
      <c r="C261" s="97"/>
      <c r="D261" s="101"/>
      <c r="E261" s="115"/>
      <c r="F261" s="115"/>
      <c r="G261" s="89"/>
      <c r="H261" s="5" t="s">
        <v>9</v>
      </c>
      <c r="I261" s="8">
        <v>27</v>
      </c>
      <c r="J261" s="7">
        <v>4</v>
      </c>
      <c r="K261" s="7">
        <v>12</v>
      </c>
      <c r="L261" s="95" t="s">
        <v>45</v>
      </c>
      <c r="M261" s="96" t="s">
        <v>563</v>
      </c>
      <c r="N261" s="96" t="s">
        <v>564</v>
      </c>
      <c r="O261" s="96" t="s">
        <v>258</v>
      </c>
      <c r="P261" s="6">
        <v>810</v>
      </c>
      <c r="Q261" s="216">
        <v>70</v>
      </c>
      <c r="R261" s="216"/>
      <c r="S261" s="216"/>
    </row>
    <row r="262" spans="1:19" ht="32.25" customHeight="1" hidden="1">
      <c r="A262" s="99"/>
      <c r="B262" s="98"/>
      <c r="C262" s="97"/>
      <c r="D262" s="101"/>
      <c r="E262" s="115"/>
      <c r="F262" s="115"/>
      <c r="G262" s="89"/>
      <c r="H262" s="5" t="s">
        <v>808</v>
      </c>
      <c r="I262" s="8">
        <v>27</v>
      </c>
      <c r="J262" s="7">
        <v>4</v>
      </c>
      <c r="K262" s="7">
        <v>12</v>
      </c>
      <c r="L262" s="95" t="s">
        <v>45</v>
      </c>
      <c r="M262" s="96" t="s">
        <v>563</v>
      </c>
      <c r="N262" s="96" t="s">
        <v>564</v>
      </c>
      <c r="O262" s="96" t="s">
        <v>807</v>
      </c>
      <c r="P262" s="6"/>
      <c r="Q262" s="216">
        <f>Q263</f>
        <v>0</v>
      </c>
      <c r="R262" s="216"/>
      <c r="S262" s="216"/>
    </row>
    <row r="263" spans="1:19" ht="32.25" customHeight="1" hidden="1">
      <c r="A263" s="99"/>
      <c r="B263" s="98"/>
      <c r="C263" s="97"/>
      <c r="D263" s="101"/>
      <c r="E263" s="115"/>
      <c r="F263" s="115"/>
      <c r="G263" s="89"/>
      <c r="H263" s="5" t="s">
        <v>9</v>
      </c>
      <c r="I263" s="8">
        <v>27</v>
      </c>
      <c r="J263" s="7">
        <v>4</v>
      </c>
      <c r="K263" s="7">
        <v>12</v>
      </c>
      <c r="L263" s="95" t="s">
        <v>45</v>
      </c>
      <c r="M263" s="96" t="s">
        <v>563</v>
      </c>
      <c r="N263" s="96" t="s">
        <v>564</v>
      </c>
      <c r="O263" s="96" t="s">
        <v>807</v>
      </c>
      <c r="P263" s="6">
        <v>810</v>
      </c>
      <c r="Q263" s="216">
        <f>'Приложение 9'!Q166</f>
        <v>0</v>
      </c>
      <c r="R263" s="216"/>
      <c r="S263" s="216"/>
    </row>
    <row r="264" spans="1:19" ht="32.25" customHeight="1">
      <c r="A264" s="99"/>
      <c r="B264" s="98"/>
      <c r="C264" s="97"/>
      <c r="D264" s="101"/>
      <c r="E264" s="115"/>
      <c r="F264" s="115"/>
      <c r="G264" s="89"/>
      <c r="H264" s="5" t="s">
        <v>8</v>
      </c>
      <c r="I264" s="8">
        <v>27</v>
      </c>
      <c r="J264" s="7">
        <v>4</v>
      </c>
      <c r="K264" s="7">
        <v>12</v>
      </c>
      <c r="L264" s="95" t="s">
        <v>45</v>
      </c>
      <c r="M264" s="96" t="s">
        <v>563</v>
      </c>
      <c r="N264" s="96" t="s">
        <v>564</v>
      </c>
      <c r="O264" s="96" t="s">
        <v>7</v>
      </c>
      <c r="P264" s="6"/>
      <c r="Q264" s="216">
        <f>Q265</f>
        <v>383.6</v>
      </c>
      <c r="R264" s="216"/>
      <c r="S264" s="216"/>
    </row>
    <row r="265" spans="1:19" ht="32.25" customHeight="1">
      <c r="A265" s="99"/>
      <c r="B265" s="98"/>
      <c r="C265" s="97"/>
      <c r="D265" s="101"/>
      <c r="E265" s="115"/>
      <c r="F265" s="115"/>
      <c r="G265" s="89"/>
      <c r="H265" s="5" t="s">
        <v>9</v>
      </c>
      <c r="I265" s="8">
        <v>27</v>
      </c>
      <c r="J265" s="7">
        <v>4</v>
      </c>
      <c r="K265" s="7">
        <v>12</v>
      </c>
      <c r="L265" s="95" t="s">
        <v>45</v>
      </c>
      <c r="M265" s="96" t="s">
        <v>563</v>
      </c>
      <c r="N265" s="96" t="s">
        <v>564</v>
      </c>
      <c r="O265" s="96" t="s">
        <v>7</v>
      </c>
      <c r="P265" s="6">
        <v>810</v>
      </c>
      <c r="Q265" s="216">
        <f>'Приложение 9'!Q168</f>
        <v>383.6</v>
      </c>
      <c r="R265" s="216"/>
      <c r="S265" s="216"/>
    </row>
    <row r="266" spans="1:19" ht="24.75" customHeight="1">
      <c r="A266" s="99"/>
      <c r="B266" s="98"/>
      <c r="C266" s="97"/>
      <c r="D266" s="101"/>
      <c r="E266" s="115"/>
      <c r="F266" s="115"/>
      <c r="G266" s="89"/>
      <c r="H266" s="5" t="s">
        <v>31</v>
      </c>
      <c r="I266" s="8">
        <v>27</v>
      </c>
      <c r="J266" s="7">
        <v>4</v>
      </c>
      <c r="K266" s="7">
        <v>12</v>
      </c>
      <c r="L266" s="95" t="s">
        <v>45</v>
      </c>
      <c r="M266" s="96" t="s">
        <v>563</v>
      </c>
      <c r="N266" s="96" t="s">
        <v>592</v>
      </c>
      <c r="O266" s="96" t="s">
        <v>620</v>
      </c>
      <c r="P266" s="6"/>
      <c r="Q266" s="216">
        <f>Q267</f>
        <v>80</v>
      </c>
      <c r="R266" s="216"/>
      <c r="S266" s="216"/>
    </row>
    <row r="267" spans="1:19" ht="30" customHeight="1">
      <c r="A267" s="99"/>
      <c r="B267" s="98"/>
      <c r="C267" s="97"/>
      <c r="D267" s="101"/>
      <c r="E267" s="115"/>
      <c r="F267" s="115"/>
      <c r="G267" s="89"/>
      <c r="H267" s="5" t="s">
        <v>261</v>
      </c>
      <c r="I267" s="8">
        <v>27</v>
      </c>
      <c r="J267" s="7">
        <v>4</v>
      </c>
      <c r="K267" s="7">
        <v>12</v>
      </c>
      <c r="L267" s="95" t="s">
        <v>45</v>
      </c>
      <c r="M267" s="96" t="s">
        <v>563</v>
      </c>
      <c r="N267" s="96" t="s">
        <v>592</v>
      </c>
      <c r="O267" s="96" t="s">
        <v>260</v>
      </c>
      <c r="P267" s="6"/>
      <c r="Q267" s="216">
        <f>Q268</f>
        <v>80</v>
      </c>
      <c r="R267" s="216"/>
      <c r="S267" s="216"/>
    </row>
    <row r="268" spans="1:19" ht="33" customHeight="1">
      <c r="A268" s="99"/>
      <c r="B268" s="98"/>
      <c r="C268" s="97"/>
      <c r="D268" s="101"/>
      <c r="E268" s="115"/>
      <c r="F268" s="115"/>
      <c r="G268" s="89"/>
      <c r="H268" s="5" t="s">
        <v>720</v>
      </c>
      <c r="I268" s="8">
        <v>27</v>
      </c>
      <c r="J268" s="7">
        <v>4</v>
      </c>
      <c r="K268" s="7">
        <v>12</v>
      </c>
      <c r="L268" s="95" t="s">
        <v>45</v>
      </c>
      <c r="M268" s="96" t="s">
        <v>563</v>
      </c>
      <c r="N268" s="96" t="s">
        <v>592</v>
      </c>
      <c r="O268" s="96" t="s">
        <v>260</v>
      </c>
      <c r="P268" s="6">
        <v>240</v>
      </c>
      <c r="Q268" s="216">
        <v>80</v>
      </c>
      <c r="R268" s="216"/>
      <c r="S268" s="216"/>
    </row>
    <row r="269" spans="1:19" s="179" customFormat="1" ht="26.25" customHeight="1">
      <c r="A269" s="142"/>
      <c r="B269" s="143"/>
      <c r="C269" s="142"/>
      <c r="D269" s="150"/>
      <c r="E269" s="151"/>
      <c r="F269" s="151"/>
      <c r="G269" s="136"/>
      <c r="H269" s="312" t="s">
        <v>617</v>
      </c>
      <c r="I269" s="152">
        <v>27</v>
      </c>
      <c r="J269" s="148">
        <v>5</v>
      </c>
      <c r="K269" s="148"/>
      <c r="L269" s="140"/>
      <c r="M269" s="141"/>
      <c r="N269" s="141"/>
      <c r="O269" s="141"/>
      <c r="P269" s="146"/>
      <c r="Q269" s="217">
        <f>Q270+Q279+Q291+Q296</f>
        <v>49693.49999999999</v>
      </c>
      <c r="R269" s="217">
        <f>R270+R279+R291+R296</f>
        <v>4437.200000000001</v>
      </c>
      <c r="S269" s="217">
        <f>S270+S279+S291+S296</f>
        <v>3727</v>
      </c>
    </row>
    <row r="270" spans="1:19" s="179" customFormat="1" ht="29.25" customHeight="1">
      <c r="A270" s="142"/>
      <c r="B270" s="143"/>
      <c r="C270" s="142"/>
      <c r="D270" s="150"/>
      <c r="E270" s="151"/>
      <c r="F270" s="151"/>
      <c r="G270" s="136"/>
      <c r="H270" s="312" t="s">
        <v>618</v>
      </c>
      <c r="I270" s="152">
        <v>27</v>
      </c>
      <c r="J270" s="148">
        <v>5</v>
      </c>
      <c r="K270" s="148">
        <v>1</v>
      </c>
      <c r="L270" s="140"/>
      <c r="M270" s="141"/>
      <c r="N270" s="141"/>
      <c r="O270" s="141"/>
      <c r="P270" s="146"/>
      <c r="Q270" s="217">
        <f aca="true" t="shared" si="19" ref="Q270:S271">Q271</f>
        <v>43249.49999999999</v>
      </c>
      <c r="R270" s="217">
        <f t="shared" si="19"/>
        <v>3941.9</v>
      </c>
      <c r="S270" s="217">
        <f t="shared" si="19"/>
        <v>3299.5</v>
      </c>
    </row>
    <row r="271" spans="1:19" ht="39.75" customHeight="1">
      <c r="A271" s="97"/>
      <c r="B271" s="98"/>
      <c r="C271" s="97"/>
      <c r="D271" s="101"/>
      <c r="E271" s="115"/>
      <c r="F271" s="115"/>
      <c r="G271" s="89"/>
      <c r="H271" s="18" t="s">
        <v>816</v>
      </c>
      <c r="I271" s="8">
        <v>27</v>
      </c>
      <c r="J271" s="7">
        <v>5</v>
      </c>
      <c r="K271" s="7">
        <v>1</v>
      </c>
      <c r="L271" s="95" t="s">
        <v>282</v>
      </c>
      <c r="M271" s="96" t="s">
        <v>563</v>
      </c>
      <c r="N271" s="96" t="s">
        <v>583</v>
      </c>
      <c r="O271" s="96" t="s">
        <v>620</v>
      </c>
      <c r="P271" s="6"/>
      <c r="Q271" s="216">
        <f t="shared" si="19"/>
        <v>43249.49999999999</v>
      </c>
      <c r="R271" s="216">
        <f t="shared" si="19"/>
        <v>3941.9</v>
      </c>
      <c r="S271" s="216">
        <f t="shared" si="19"/>
        <v>3299.5</v>
      </c>
    </row>
    <row r="272" spans="1:19" ht="33" customHeight="1">
      <c r="A272" s="97"/>
      <c r="B272" s="98"/>
      <c r="C272" s="97"/>
      <c r="D272" s="101"/>
      <c r="E272" s="115"/>
      <c r="F272" s="115"/>
      <c r="G272" s="89"/>
      <c r="H272" s="18" t="s">
        <v>119</v>
      </c>
      <c r="I272" s="8">
        <v>27</v>
      </c>
      <c r="J272" s="7">
        <v>5</v>
      </c>
      <c r="K272" s="7">
        <v>1</v>
      </c>
      <c r="L272" s="95" t="s">
        <v>282</v>
      </c>
      <c r="M272" s="96" t="s">
        <v>563</v>
      </c>
      <c r="N272" s="96" t="s">
        <v>817</v>
      </c>
      <c r="O272" s="96" t="s">
        <v>620</v>
      </c>
      <c r="P272" s="6"/>
      <c r="Q272" s="216">
        <f>Q273+Q275+Q277</f>
        <v>43249.49999999999</v>
      </c>
      <c r="R272" s="216">
        <f>R273+R275+R277</f>
        <v>3941.9</v>
      </c>
      <c r="S272" s="216">
        <f>S273+S275+S277</f>
        <v>3299.5</v>
      </c>
    </row>
    <row r="273" spans="1:19" ht="38.25" customHeight="1">
      <c r="A273" s="99"/>
      <c r="B273" s="98"/>
      <c r="C273" s="97"/>
      <c r="D273" s="101"/>
      <c r="E273" s="115"/>
      <c r="F273" s="115"/>
      <c r="G273" s="89"/>
      <c r="H273" s="18" t="s">
        <v>810</v>
      </c>
      <c r="I273" s="8">
        <v>27</v>
      </c>
      <c r="J273" s="7">
        <v>5</v>
      </c>
      <c r="K273" s="7">
        <v>1</v>
      </c>
      <c r="L273" s="95" t="s">
        <v>282</v>
      </c>
      <c r="M273" s="96" t="s">
        <v>563</v>
      </c>
      <c r="N273" s="96" t="s">
        <v>817</v>
      </c>
      <c r="O273" s="96" t="s">
        <v>820</v>
      </c>
      <c r="P273" s="6"/>
      <c r="Q273" s="216">
        <f>Q274</f>
        <v>40846.299999999996</v>
      </c>
      <c r="R273" s="216"/>
      <c r="S273" s="216"/>
    </row>
    <row r="274" spans="1:19" ht="23.25" customHeight="1">
      <c r="A274" s="99"/>
      <c r="B274" s="98"/>
      <c r="C274" s="97"/>
      <c r="D274" s="101"/>
      <c r="E274" s="115"/>
      <c r="F274" s="115"/>
      <c r="G274" s="89"/>
      <c r="H274" s="18" t="s">
        <v>525</v>
      </c>
      <c r="I274" s="8">
        <v>27</v>
      </c>
      <c r="J274" s="7">
        <v>5</v>
      </c>
      <c r="K274" s="7">
        <v>1</v>
      </c>
      <c r="L274" s="95" t="s">
        <v>282</v>
      </c>
      <c r="M274" s="96" t="s">
        <v>563</v>
      </c>
      <c r="N274" s="96" t="s">
        <v>817</v>
      </c>
      <c r="O274" s="96" t="s">
        <v>820</v>
      </c>
      <c r="P274" s="6">
        <v>410</v>
      </c>
      <c r="Q274" s="214">
        <f>'Приложение 9'!Q180</f>
        <v>40846.299999999996</v>
      </c>
      <c r="R274" s="216"/>
      <c r="S274" s="216"/>
    </row>
    <row r="275" spans="1:19" ht="39.75" customHeight="1">
      <c r="A275" s="99"/>
      <c r="B275" s="98"/>
      <c r="C275" s="97"/>
      <c r="D275" s="101"/>
      <c r="E275" s="115"/>
      <c r="F275" s="115"/>
      <c r="G275" s="89"/>
      <c r="H275" s="18" t="s">
        <v>811</v>
      </c>
      <c r="I275" s="8">
        <v>27</v>
      </c>
      <c r="J275" s="7">
        <v>5</v>
      </c>
      <c r="K275" s="7">
        <v>1</v>
      </c>
      <c r="L275" s="95" t="s">
        <v>282</v>
      </c>
      <c r="M275" s="96" t="s">
        <v>563</v>
      </c>
      <c r="N275" s="96" t="s">
        <v>817</v>
      </c>
      <c r="O275" s="96" t="s">
        <v>821</v>
      </c>
      <c r="P275" s="6"/>
      <c r="Q275" s="216">
        <f>Q276</f>
        <v>1702</v>
      </c>
      <c r="R275" s="216">
        <f>R276</f>
        <v>2941.9</v>
      </c>
      <c r="S275" s="216">
        <f>S276</f>
        <v>2299.5</v>
      </c>
    </row>
    <row r="276" spans="1:19" ht="24" customHeight="1">
      <c r="A276" s="99"/>
      <c r="B276" s="98"/>
      <c r="C276" s="97"/>
      <c r="D276" s="101"/>
      <c r="E276" s="115"/>
      <c r="F276" s="115"/>
      <c r="G276" s="89"/>
      <c r="H276" s="18" t="s">
        <v>525</v>
      </c>
      <c r="I276" s="8">
        <v>27</v>
      </c>
      <c r="J276" s="7">
        <v>5</v>
      </c>
      <c r="K276" s="7">
        <v>1</v>
      </c>
      <c r="L276" s="95" t="s">
        <v>282</v>
      </c>
      <c r="M276" s="96" t="s">
        <v>563</v>
      </c>
      <c r="N276" s="96" t="s">
        <v>817</v>
      </c>
      <c r="O276" s="96" t="s">
        <v>821</v>
      </c>
      <c r="P276" s="6">
        <v>410</v>
      </c>
      <c r="Q276" s="214">
        <f>'Приложение 9'!Q182</f>
        <v>1702</v>
      </c>
      <c r="R276" s="216">
        <v>2941.9</v>
      </c>
      <c r="S276" s="216">
        <v>2299.5</v>
      </c>
    </row>
    <row r="277" spans="1:19" ht="42" customHeight="1">
      <c r="A277" s="99"/>
      <c r="B277" s="98"/>
      <c r="C277" s="97"/>
      <c r="D277" s="101"/>
      <c r="E277" s="115"/>
      <c r="F277" s="115"/>
      <c r="G277" s="89"/>
      <c r="H277" s="18" t="s">
        <v>825</v>
      </c>
      <c r="I277" s="8">
        <v>27</v>
      </c>
      <c r="J277" s="7">
        <v>5</v>
      </c>
      <c r="K277" s="7">
        <v>1</v>
      </c>
      <c r="L277" s="95" t="s">
        <v>282</v>
      </c>
      <c r="M277" s="96" t="s">
        <v>563</v>
      </c>
      <c r="N277" s="96" t="s">
        <v>817</v>
      </c>
      <c r="O277" s="96" t="s">
        <v>824</v>
      </c>
      <c r="P277" s="6"/>
      <c r="Q277" s="216">
        <f>Q278</f>
        <v>701.2</v>
      </c>
      <c r="R277" s="216">
        <f>R278</f>
        <v>1000</v>
      </c>
      <c r="S277" s="216">
        <f>S278</f>
        <v>1000</v>
      </c>
    </row>
    <row r="278" spans="1:19" ht="24" customHeight="1">
      <c r="A278" s="99"/>
      <c r="B278" s="98"/>
      <c r="C278" s="97"/>
      <c r="D278" s="101"/>
      <c r="E278" s="115"/>
      <c r="F278" s="115"/>
      <c r="G278" s="89"/>
      <c r="H278" s="18" t="s">
        <v>525</v>
      </c>
      <c r="I278" s="8">
        <v>27</v>
      </c>
      <c r="J278" s="7">
        <v>5</v>
      </c>
      <c r="K278" s="7">
        <v>1</v>
      </c>
      <c r="L278" s="95" t="s">
        <v>282</v>
      </c>
      <c r="M278" s="96" t="s">
        <v>563</v>
      </c>
      <c r="N278" s="96" t="s">
        <v>817</v>
      </c>
      <c r="O278" s="96" t="s">
        <v>824</v>
      </c>
      <c r="P278" s="6">
        <v>410</v>
      </c>
      <c r="Q278" s="216">
        <f>'Приложение 9'!Q184</f>
        <v>701.2</v>
      </c>
      <c r="R278" s="216">
        <v>1000</v>
      </c>
      <c r="S278" s="216">
        <v>1000</v>
      </c>
    </row>
    <row r="279" spans="1:19" s="179" customFormat="1" ht="21" customHeight="1">
      <c r="A279" s="142"/>
      <c r="B279" s="143"/>
      <c r="C279" s="142"/>
      <c r="D279" s="150"/>
      <c r="E279" s="151"/>
      <c r="F279" s="151"/>
      <c r="G279" s="136"/>
      <c r="H279" s="312" t="s">
        <v>739</v>
      </c>
      <c r="I279" s="146">
        <v>27</v>
      </c>
      <c r="J279" s="148">
        <v>5</v>
      </c>
      <c r="K279" s="148">
        <v>2</v>
      </c>
      <c r="L279" s="140"/>
      <c r="M279" s="141"/>
      <c r="N279" s="141"/>
      <c r="O279" s="141"/>
      <c r="P279" s="146"/>
      <c r="Q279" s="217">
        <f>Q280+Q288</f>
        <v>3265</v>
      </c>
      <c r="R279" s="217"/>
      <c r="S279" s="217"/>
    </row>
    <row r="280" spans="1:19" ht="39.75" customHeight="1">
      <c r="A280" s="99"/>
      <c r="B280" s="98"/>
      <c r="C280" s="97"/>
      <c r="D280" s="101"/>
      <c r="E280" s="115"/>
      <c r="F280" s="115"/>
      <c r="G280" s="89"/>
      <c r="H280" s="18" t="s">
        <v>644</v>
      </c>
      <c r="I280" s="27">
        <v>27</v>
      </c>
      <c r="J280" s="7">
        <v>5</v>
      </c>
      <c r="K280" s="7">
        <v>2</v>
      </c>
      <c r="L280" s="95" t="s">
        <v>584</v>
      </c>
      <c r="M280" s="96" t="s">
        <v>563</v>
      </c>
      <c r="N280" s="96" t="s">
        <v>583</v>
      </c>
      <c r="O280" s="96" t="s">
        <v>620</v>
      </c>
      <c r="P280" s="6"/>
      <c r="Q280" s="216">
        <f>Q281+Q285</f>
        <v>2845</v>
      </c>
      <c r="R280" s="216"/>
      <c r="S280" s="216"/>
    </row>
    <row r="281" spans="1:19" ht="39.75" customHeight="1">
      <c r="A281" s="99"/>
      <c r="B281" s="98"/>
      <c r="C281" s="97"/>
      <c r="D281" s="101"/>
      <c r="E281" s="115"/>
      <c r="F281" s="115"/>
      <c r="G281" s="89"/>
      <c r="H281" s="18" t="s">
        <v>308</v>
      </c>
      <c r="I281" s="27">
        <v>27</v>
      </c>
      <c r="J281" s="7">
        <v>5</v>
      </c>
      <c r="K281" s="7">
        <v>2</v>
      </c>
      <c r="L281" s="95" t="s">
        <v>584</v>
      </c>
      <c r="M281" s="96" t="s">
        <v>563</v>
      </c>
      <c r="N281" s="96" t="s">
        <v>564</v>
      </c>
      <c r="O281" s="96" t="s">
        <v>620</v>
      </c>
      <c r="P281" s="6"/>
      <c r="Q281" s="216">
        <f>Q282</f>
        <v>2845</v>
      </c>
      <c r="R281" s="216"/>
      <c r="S281" s="216"/>
    </row>
    <row r="282" spans="1:19" ht="27" customHeight="1">
      <c r="A282" s="99"/>
      <c r="B282" s="98"/>
      <c r="C282" s="97"/>
      <c r="D282" s="101"/>
      <c r="E282" s="115"/>
      <c r="F282" s="115"/>
      <c r="G282" s="89"/>
      <c r="H282" s="18" t="s">
        <v>269</v>
      </c>
      <c r="I282" s="27">
        <v>27</v>
      </c>
      <c r="J282" s="7">
        <v>5</v>
      </c>
      <c r="K282" s="7">
        <v>2</v>
      </c>
      <c r="L282" s="95" t="s">
        <v>584</v>
      </c>
      <c r="M282" s="96" t="s">
        <v>563</v>
      </c>
      <c r="N282" s="96" t="s">
        <v>564</v>
      </c>
      <c r="O282" s="96" t="s">
        <v>268</v>
      </c>
      <c r="P282" s="6"/>
      <c r="Q282" s="216">
        <f>Q283+Q284</f>
        <v>2845</v>
      </c>
      <c r="R282" s="216"/>
      <c r="S282" s="216"/>
    </row>
    <row r="283" spans="1:19" ht="22.5" customHeight="1">
      <c r="A283" s="99"/>
      <c r="B283" s="98"/>
      <c r="C283" s="97"/>
      <c r="D283" s="101"/>
      <c r="E283" s="115"/>
      <c r="F283" s="115"/>
      <c r="G283" s="89"/>
      <c r="H283" s="18" t="s">
        <v>720</v>
      </c>
      <c r="I283" s="27">
        <v>27</v>
      </c>
      <c r="J283" s="7">
        <v>5</v>
      </c>
      <c r="K283" s="7">
        <v>2</v>
      </c>
      <c r="L283" s="95" t="s">
        <v>584</v>
      </c>
      <c r="M283" s="96" t="s">
        <v>563</v>
      </c>
      <c r="N283" s="96" t="s">
        <v>564</v>
      </c>
      <c r="O283" s="96" t="s">
        <v>268</v>
      </c>
      <c r="P283" s="6">
        <v>240</v>
      </c>
      <c r="Q283" s="216">
        <f>'Приложение 9'!Q189</f>
        <v>65</v>
      </c>
      <c r="R283" s="216"/>
      <c r="S283" s="216"/>
    </row>
    <row r="284" spans="1:19" ht="22.5" customHeight="1">
      <c r="A284" s="99"/>
      <c r="B284" s="98"/>
      <c r="C284" s="97"/>
      <c r="D284" s="101"/>
      <c r="E284" s="115"/>
      <c r="F284" s="115"/>
      <c r="G284" s="89"/>
      <c r="H284" s="18" t="str">
        <f>'Приложение 9'!H190</f>
        <v>Иные межбюджетные трансферты</v>
      </c>
      <c r="I284" s="27">
        <f>'Приложение 9'!I190</f>
        <v>27</v>
      </c>
      <c r="J284" s="7">
        <f>'Приложение 9'!J190</f>
        <v>5</v>
      </c>
      <c r="K284" s="7">
        <f>'Приложение 9'!K190</f>
        <v>2</v>
      </c>
      <c r="L284" s="95" t="str">
        <f>'Приложение 9'!L190</f>
        <v>10</v>
      </c>
      <c r="M284" s="96" t="str">
        <f>'Приложение 9'!M190</f>
        <v>0</v>
      </c>
      <c r="N284" s="96" t="str">
        <f>'Приложение 9'!N190</f>
        <v>01</v>
      </c>
      <c r="O284" s="96" t="str">
        <f>'Приложение 9'!O190</f>
        <v>20110</v>
      </c>
      <c r="P284" s="6">
        <f>'Приложение 9'!P190</f>
        <v>540</v>
      </c>
      <c r="Q284" s="216">
        <f>'Приложение 9'!Q190</f>
        <v>2780</v>
      </c>
      <c r="R284" s="216"/>
      <c r="S284" s="216"/>
    </row>
    <row r="285" spans="1:19" ht="22.5" customHeight="1" hidden="1">
      <c r="A285" s="99"/>
      <c r="B285" s="98"/>
      <c r="C285" s="97"/>
      <c r="D285" s="101"/>
      <c r="E285" s="115"/>
      <c r="F285" s="115"/>
      <c r="G285" s="89"/>
      <c r="H285" s="18" t="str">
        <f>'Приложение 9'!H191</f>
        <v>Основное мероприятие "Строительство и реконструкция (модернизация) объектов питьевого водоснабжения в рамках федерального проекта "Чистая вода"</v>
      </c>
      <c r="I285" s="27">
        <f>'Приложение 9'!I191</f>
        <v>27</v>
      </c>
      <c r="J285" s="7">
        <f>'Приложение 9'!J191</f>
        <v>5</v>
      </c>
      <c r="K285" s="7">
        <f>'Приложение 9'!K191</f>
        <v>2</v>
      </c>
      <c r="L285" s="95" t="str">
        <f>'Приложение 9'!L191</f>
        <v>10</v>
      </c>
      <c r="M285" s="96" t="str">
        <f>'Приложение 9'!M191</f>
        <v>0</v>
      </c>
      <c r="N285" s="96" t="str">
        <f>'Приложение 9'!N191</f>
        <v>G5</v>
      </c>
      <c r="O285" s="96" t="str">
        <f>'Приложение 9'!O191</f>
        <v>00000</v>
      </c>
      <c r="P285" s="6" t="s">
        <v>621</v>
      </c>
      <c r="Q285" s="216">
        <f>Q286</f>
        <v>0</v>
      </c>
      <c r="R285" s="216"/>
      <c r="S285" s="216"/>
    </row>
    <row r="286" spans="1:19" ht="22.5" customHeight="1" hidden="1">
      <c r="A286" s="99"/>
      <c r="B286" s="98"/>
      <c r="C286" s="97"/>
      <c r="D286" s="101"/>
      <c r="E286" s="115"/>
      <c r="F286" s="115"/>
      <c r="G286" s="89"/>
      <c r="H286" s="18" t="s">
        <v>664</v>
      </c>
      <c r="I286" s="27">
        <v>27</v>
      </c>
      <c r="J286" s="7">
        <v>5</v>
      </c>
      <c r="K286" s="7">
        <v>2</v>
      </c>
      <c r="L286" s="95" t="s">
        <v>584</v>
      </c>
      <c r="M286" s="96" t="s">
        <v>563</v>
      </c>
      <c r="N286" s="96" t="s">
        <v>663</v>
      </c>
      <c r="O286" s="96" t="s">
        <v>74</v>
      </c>
      <c r="P286" s="6"/>
      <c r="Q286" s="216">
        <f>Q287</f>
        <v>0</v>
      </c>
      <c r="R286" s="216"/>
      <c r="S286" s="216"/>
    </row>
    <row r="287" spans="1:19" ht="22.5" customHeight="1" hidden="1">
      <c r="A287" s="99"/>
      <c r="B287" s="98"/>
      <c r="C287" s="97"/>
      <c r="D287" s="101"/>
      <c r="E287" s="115"/>
      <c r="F287" s="115"/>
      <c r="G287" s="89"/>
      <c r="H287" s="18" t="s">
        <v>720</v>
      </c>
      <c r="I287" s="27">
        <v>27</v>
      </c>
      <c r="J287" s="7">
        <v>5</v>
      </c>
      <c r="K287" s="7">
        <v>2</v>
      </c>
      <c r="L287" s="95" t="s">
        <v>584</v>
      </c>
      <c r="M287" s="96" t="s">
        <v>563</v>
      </c>
      <c r="N287" s="96" t="s">
        <v>663</v>
      </c>
      <c r="O287" s="96" t="s">
        <v>74</v>
      </c>
      <c r="P287" s="6">
        <v>240</v>
      </c>
      <c r="Q287" s="216">
        <f>'Приложение 9'!Q193</f>
        <v>0</v>
      </c>
      <c r="R287" s="216"/>
      <c r="S287" s="216"/>
    </row>
    <row r="288" spans="1:19" ht="22.5" customHeight="1">
      <c r="A288" s="99"/>
      <c r="B288" s="98"/>
      <c r="C288" s="97"/>
      <c r="D288" s="101"/>
      <c r="E288" s="115"/>
      <c r="F288" s="115"/>
      <c r="G288" s="89"/>
      <c r="H288" s="11" t="s">
        <v>299</v>
      </c>
      <c r="I288" s="27">
        <v>27</v>
      </c>
      <c r="J288" s="7">
        <v>5</v>
      </c>
      <c r="K288" s="7">
        <v>2</v>
      </c>
      <c r="L288" s="95" t="s">
        <v>580</v>
      </c>
      <c r="M288" s="96" t="s">
        <v>563</v>
      </c>
      <c r="N288" s="96" t="s">
        <v>583</v>
      </c>
      <c r="O288" s="96" t="s">
        <v>620</v>
      </c>
      <c r="P288" s="6"/>
      <c r="Q288" s="216">
        <f>Q289</f>
        <v>420</v>
      </c>
      <c r="R288" s="216"/>
      <c r="S288" s="216"/>
    </row>
    <row r="289" spans="1:19" ht="21" customHeight="1">
      <c r="A289" s="99"/>
      <c r="B289" s="98"/>
      <c r="C289" s="97"/>
      <c r="D289" s="101"/>
      <c r="E289" s="115"/>
      <c r="F289" s="115"/>
      <c r="G289" s="89"/>
      <c r="H289" s="18" t="s">
        <v>748</v>
      </c>
      <c r="I289" s="27">
        <v>27</v>
      </c>
      <c r="J289" s="7">
        <v>5</v>
      </c>
      <c r="K289" s="7">
        <v>2</v>
      </c>
      <c r="L289" s="95" t="s">
        <v>580</v>
      </c>
      <c r="M289" s="96" t="s">
        <v>563</v>
      </c>
      <c r="N289" s="96" t="s">
        <v>583</v>
      </c>
      <c r="O289" s="96" t="s">
        <v>747</v>
      </c>
      <c r="P289" s="6"/>
      <c r="Q289" s="216">
        <f>Q290</f>
        <v>420</v>
      </c>
      <c r="R289" s="216"/>
      <c r="S289" s="216"/>
    </row>
    <row r="290" spans="1:19" ht="21" customHeight="1">
      <c r="A290" s="99"/>
      <c r="B290" s="98"/>
      <c r="C290" s="97"/>
      <c r="D290" s="101"/>
      <c r="E290" s="115"/>
      <c r="F290" s="115"/>
      <c r="G290" s="89"/>
      <c r="H290" s="18" t="s">
        <v>720</v>
      </c>
      <c r="I290" s="27">
        <v>27</v>
      </c>
      <c r="J290" s="7">
        <v>5</v>
      </c>
      <c r="K290" s="7">
        <v>2</v>
      </c>
      <c r="L290" s="95" t="s">
        <v>580</v>
      </c>
      <c r="M290" s="96" t="s">
        <v>563</v>
      </c>
      <c r="N290" s="96" t="s">
        <v>583</v>
      </c>
      <c r="O290" s="96" t="s">
        <v>747</v>
      </c>
      <c r="P290" s="6">
        <v>240</v>
      </c>
      <c r="Q290" s="216">
        <f>SUM('Приложение 9'!Q196)</f>
        <v>420</v>
      </c>
      <c r="R290" s="216"/>
      <c r="S290" s="216"/>
    </row>
    <row r="291" spans="1:19" s="179" customFormat="1" ht="26.25" customHeight="1">
      <c r="A291" s="142"/>
      <c r="B291" s="143"/>
      <c r="C291" s="142"/>
      <c r="D291" s="150"/>
      <c r="E291" s="151"/>
      <c r="F291" s="151"/>
      <c r="G291" s="136"/>
      <c r="H291" s="236" t="s">
        <v>281</v>
      </c>
      <c r="I291" s="248">
        <v>27</v>
      </c>
      <c r="J291" s="148">
        <v>5</v>
      </c>
      <c r="K291" s="148">
        <v>3</v>
      </c>
      <c r="L291" s="140"/>
      <c r="M291" s="141"/>
      <c r="N291" s="141"/>
      <c r="O291" s="141"/>
      <c r="P291" s="146"/>
      <c r="Q291" s="217">
        <f>Q292</f>
        <v>313</v>
      </c>
      <c r="R291" s="217">
        <f aca="true" t="shared" si="20" ref="R291:S294">R292</f>
        <v>95.3</v>
      </c>
      <c r="S291" s="217">
        <f t="shared" si="20"/>
        <v>27.5</v>
      </c>
    </row>
    <row r="292" spans="1:19" ht="34.5" customHeight="1">
      <c r="A292" s="97"/>
      <c r="B292" s="98"/>
      <c r="C292" s="97"/>
      <c r="D292" s="101"/>
      <c r="E292" s="115"/>
      <c r="F292" s="115"/>
      <c r="G292" s="89"/>
      <c r="H292" s="18" t="s">
        <v>800</v>
      </c>
      <c r="I292" s="6">
        <v>27</v>
      </c>
      <c r="J292" s="7">
        <v>5</v>
      </c>
      <c r="K292" s="7">
        <v>3</v>
      </c>
      <c r="L292" s="95" t="s">
        <v>798</v>
      </c>
      <c r="M292" s="96" t="s">
        <v>563</v>
      </c>
      <c r="N292" s="96" t="s">
        <v>583</v>
      </c>
      <c r="O292" s="96" t="s">
        <v>620</v>
      </c>
      <c r="P292" s="6"/>
      <c r="Q292" s="216">
        <f>Q293</f>
        <v>313</v>
      </c>
      <c r="R292" s="216">
        <f t="shared" si="20"/>
        <v>95.3</v>
      </c>
      <c r="S292" s="216">
        <f t="shared" si="20"/>
        <v>27.5</v>
      </c>
    </row>
    <row r="293" spans="1:19" ht="31.5" customHeight="1">
      <c r="A293" s="97"/>
      <c r="B293" s="98"/>
      <c r="C293" s="97"/>
      <c r="D293" s="101"/>
      <c r="E293" s="115"/>
      <c r="F293" s="115"/>
      <c r="G293" s="89"/>
      <c r="H293" s="128" t="s">
        <v>122</v>
      </c>
      <c r="I293" s="6">
        <v>27</v>
      </c>
      <c r="J293" s="7">
        <v>5</v>
      </c>
      <c r="K293" s="7">
        <v>3</v>
      </c>
      <c r="L293" s="95" t="s">
        <v>798</v>
      </c>
      <c r="M293" s="96" t="s">
        <v>563</v>
      </c>
      <c r="N293" s="96" t="s">
        <v>818</v>
      </c>
      <c r="O293" s="96" t="s">
        <v>620</v>
      </c>
      <c r="P293" s="6"/>
      <c r="Q293" s="216">
        <f>Q294</f>
        <v>313</v>
      </c>
      <c r="R293" s="216">
        <f t="shared" si="20"/>
        <v>95.3</v>
      </c>
      <c r="S293" s="216">
        <f t="shared" si="20"/>
        <v>27.5</v>
      </c>
    </row>
    <row r="294" spans="1:19" ht="33" customHeight="1">
      <c r="A294" s="97"/>
      <c r="B294" s="98"/>
      <c r="C294" s="97"/>
      <c r="D294" s="101"/>
      <c r="E294" s="115"/>
      <c r="F294" s="115"/>
      <c r="G294" s="89"/>
      <c r="H294" s="18" t="s">
        <v>799</v>
      </c>
      <c r="I294" s="6">
        <v>27</v>
      </c>
      <c r="J294" s="7">
        <v>5</v>
      </c>
      <c r="K294" s="7">
        <v>3</v>
      </c>
      <c r="L294" s="95" t="s">
        <v>798</v>
      </c>
      <c r="M294" s="96" t="s">
        <v>563</v>
      </c>
      <c r="N294" s="96" t="s">
        <v>818</v>
      </c>
      <c r="O294" s="96" t="s">
        <v>819</v>
      </c>
      <c r="P294" s="6"/>
      <c r="Q294" s="216">
        <f>Q295</f>
        <v>313</v>
      </c>
      <c r="R294" s="216">
        <f t="shared" si="20"/>
        <v>95.3</v>
      </c>
      <c r="S294" s="216">
        <f t="shared" si="20"/>
        <v>27.5</v>
      </c>
    </row>
    <row r="295" spans="1:19" ht="27" customHeight="1">
      <c r="A295" s="97"/>
      <c r="B295" s="98"/>
      <c r="C295" s="97"/>
      <c r="D295" s="101"/>
      <c r="E295" s="115"/>
      <c r="F295" s="115"/>
      <c r="G295" s="89"/>
      <c r="H295" s="18" t="s">
        <v>720</v>
      </c>
      <c r="I295" s="6">
        <v>27</v>
      </c>
      <c r="J295" s="7">
        <v>5</v>
      </c>
      <c r="K295" s="7">
        <v>3</v>
      </c>
      <c r="L295" s="95" t="s">
        <v>798</v>
      </c>
      <c r="M295" s="96" t="s">
        <v>563</v>
      </c>
      <c r="N295" s="96" t="s">
        <v>818</v>
      </c>
      <c r="O295" s="96" t="s">
        <v>819</v>
      </c>
      <c r="P295" s="6">
        <v>240</v>
      </c>
      <c r="Q295" s="216">
        <v>313</v>
      </c>
      <c r="R295" s="216">
        <v>95.3</v>
      </c>
      <c r="S295" s="216">
        <v>27.5</v>
      </c>
    </row>
    <row r="296" spans="1:19" s="179" customFormat="1" ht="24.75" customHeight="1">
      <c r="A296" s="142"/>
      <c r="B296" s="143"/>
      <c r="C296" s="142"/>
      <c r="D296" s="150"/>
      <c r="E296" s="151"/>
      <c r="F296" s="151"/>
      <c r="G296" s="136"/>
      <c r="H296" s="249" t="s">
        <v>646</v>
      </c>
      <c r="I296" s="250">
        <v>27</v>
      </c>
      <c r="J296" s="148">
        <v>5</v>
      </c>
      <c r="K296" s="148">
        <v>5</v>
      </c>
      <c r="L296" s="140"/>
      <c r="M296" s="141"/>
      <c r="N296" s="141"/>
      <c r="O296" s="141"/>
      <c r="P296" s="146"/>
      <c r="Q296" s="217">
        <f>Q297+Q302</f>
        <v>2866</v>
      </c>
      <c r="R296" s="217">
        <f>R297+R302</f>
        <v>400</v>
      </c>
      <c r="S296" s="217">
        <f>S297+S302</f>
        <v>400</v>
      </c>
    </row>
    <row r="297" spans="1:19" s="179" customFormat="1" ht="24.75" customHeight="1">
      <c r="A297" s="142"/>
      <c r="B297" s="143"/>
      <c r="C297" s="142"/>
      <c r="D297" s="150"/>
      <c r="E297" s="151"/>
      <c r="F297" s="151"/>
      <c r="G297" s="136"/>
      <c r="H297" s="11" t="s">
        <v>299</v>
      </c>
      <c r="I297" s="27">
        <v>27</v>
      </c>
      <c r="J297" s="7">
        <v>5</v>
      </c>
      <c r="K297" s="7">
        <v>5</v>
      </c>
      <c r="L297" s="95" t="s">
        <v>580</v>
      </c>
      <c r="M297" s="96" t="s">
        <v>563</v>
      </c>
      <c r="N297" s="96" t="s">
        <v>583</v>
      </c>
      <c r="O297" s="96" t="s">
        <v>620</v>
      </c>
      <c r="P297" s="146"/>
      <c r="Q297" s="217">
        <f>Q298+Q300</f>
        <v>2500</v>
      </c>
      <c r="R297" s="217">
        <f>R298+R300</f>
        <v>0</v>
      </c>
      <c r="S297" s="217">
        <f>S298+S300</f>
        <v>0</v>
      </c>
    </row>
    <row r="298" spans="1:19" ht="48" customHeight="1">
      <c r="A298" s="99"/>
      <c r="B298" s="98"/>
      <c r="C298" s="97"/>
      <c r="D298" s="101"/>
      <c r="E298" s="115"/>
      <c r="F298" s="115"/>
      <c r="G298" s="89"/>
      <c r="H298" s="116" t="s">
        <v>264</v>
      </c>
      <c r="I298" s="8">
        <v>27</v>
      </c>
      <c r="J298" s="7">
        <v>5</v>
      </c>
      <c r="K298" s="7">
        <v>5</v>
      </c>
      <c r="L298" s="95" t="s">
        <v>580</v>
      </c>
      <c r="M298" s="96" t="s">
        <v>563</v>
      </c>
      <c r="N298" s="96" t="s">
        <v>583</v>
      </c>
      <c r="O298" s="96" t="s">
        <v>652</v>
      </c>
      <c r="P298" s="6"/>
      <c r="Q298" s="216">
        <f>Q299</f>
        <v>1357.5</v>
      </c>
      <c r="R298" s="216">
        <f>R299</f>
        <v>0</v>
      </c>
      <c r="S298" s="216">
        <f>S299</f>
        <v>0</v>
      </c>
    </row>
    <row r="299" spans="1:19" ht="26.25" customHeight="1">
      <c r="A299" s="99"/>
      <c r="B299" s="98"/>
      <c r="C299" s="97"/>
      <c r="D299" s="101"/>
      <c r="E299" s="115"/>
      <c r="F299" s="115"/>
      <c r="G299" s="89"/>
      <c r="H299" s="116" t="s">
        <v>647</v>
      </c>
      <c r="I299" s="8">
        <v>27</v>
      </c>
      <c r="J299" s="7">
        <v>5</v>
      </c>
      <c r="K299" s="7">
        <v>5</v>
      </c>
      <c r="L299" s="95" t="s">
        <v>580</v>
      </c>
      <c r="M299" s="96" t="s">
        <v>563</v>
      </c>
      <c r="N299" s="96" t="s">
        <v>583</v>
      </c>
      <c r="O299" s="96" t="s">
        <v>652</v>
      </c>
      <c r="P299" s="6">
        <v>540</v>
      </c>
      <c r="Q299" s="214">
        <v>1357.5</v>
      </c>
      <c r="R299" s="216"/>
      <c r="S299" s="216"/>
    </row>
    <row r="300" spans="1:19" ht="39" customHeight="1">
      <c r="A300" s="99"/>
      <c r="B300" s="98"/>
      <c r="C300" s="97"/>
      <c r="D300" s="101"/>
      <c r="E300" s="115"/>
      <c r="F300" s="115"/>
      <c r="G300" s="89"/>
      <c r="H300" s="116" t="s">
        <v>266</v>
      </c>
      <c r="I300" s="8">
        <v>27</v>
      </c>
      <c r="J300" s="7">
        <v>5</v>
      </c>
      <c r="K300" s="7">
        <v>5</v>
      </c>
      <c r="L300" s="95" t="s">
        <v>580</v>
      </c>
      <c r="M300" s="96" t="s">
        <v>563</v>
      </c>
      <c r="N300" s="96" t="s">
        <v>583</v>
      </c>
      <c r="O300" s="96" t="s">
        <v>265</v>
      </c>
      <c r="P300" s="6"/>
      <c r="Q300" s="216">
        <f>Q301</f>
        <v>1142.5</v>
      </c>
      <c r="R300" s="216"/>
      <c r="S300" s="216"/>
    </row>
    <row r="301" spans="1:19" ht="26.25" customHeight="1">
      <c r="A301" s="99"/>
      <c r="B301" s="98"/>
      <c r="C301" s="97"/>
      <c r="D301" s="101"/>
      <c r="E301" s="115"/>
      <c r="F301" s="115"/>
      <c r="G301" s="89"/>
      <c r="H301" s="116" t="s">
        <v>647</v>
      </c>
      <c r="I301" s="8">
        <v>27</v>
      </c>
      <c r="J301" s="7">
        <v>5</v>
      </c>
      <c r="K301" s="7">
        <v>5</v>
      </c>
      <c r="L301" s="95" t="s">
        <v>580</v>
      </c>
      <c r="M301" s="96" t="s">
        <v>563</v>
      </c>
      <c r="N301" s="96" t="s">
        <v>583</v>
      </c>
      <c r="O301" s="96" t="s">
        <v>265</v>
      </c>
      <c r="P301" s="6">
        <v>540</v>
      </c>
      <c r="Q301" s="214">
        <v>1142.5</v>
      </c>
      <c r="R301" s="216"/>
      <c r="S301" s="216"/>
    </row>
    <row r="302" spans="1:19" ht="28.5" customHeight="1">
      <c r="A302" s="99"/>
      <c r="B302" s="98"/>
      <c r="C302" s="97"/>
      <c r="D302" s="101"/>
      <c r="E302" s="115"/>
      <c r="F302" s="115"/>
      <c r="G302" s="89"/>
      <c r="H302" s="5" t="s">
        <v>267</v>
      </c>
      <c r="I302" s="8">
        <v>27</v>
      </c>
      <c r="J302" s="7">
        <v>5</v>
      </c>
      <c r="K302" s="7">
        <v>5</v>
      </c>
      <c r="L302" s="95" t="s">
        <v>585</v>
      </c>
      <c r="M302" s="96" t="s">
        <v>565</v>
      </c>
      <c r="N302" s="96" t="s">
        <v>583</v>
      </c>
      <c r="O302" s="96" t="s">
        <v>354</v>
      </c>
      <c r="P302" s="6"/>
      <c r="Q302" s="216">
        <f>Q303</f>
        <v>366</v>
      </c>
      <c r="R302" s="216">
        <f>R303</f>
        <v>400</v>
      </c>
      <c r="S302" s="216">
        <f>S303</f>
        <v>400</v>
      </c>
    </row>
    <row r="303" spans="1:19" ht="28.5" customHeight="1">
      <c r="A303" s="99"/>
      <c r="B303" s="98"/>
      <c r="C303" s="97"/>
      <c r="D303" s="101"/>
      <c r="E303" s="115"/>
      <c r="F303" s="115"/>
      <c r="G303" s="89"/>
      <c r="H303" s="117" t="s">
        <v>720</v>
      </c>
      <c r="I303" s="6">
        <v>27</v>
      </c>
      <c r="J303" s="7">
        <v>5</v>
      </c>
      <c r="K303" s="7">
        <v>5</v>
      </c>
      <c r="L303" s="95" t="s">
        <v>585</v>
      </c>
      <c r="M303" s="96" t="s">
        <v>565</v>
      </c>
      <c r="N303" s="96" t="s">
        <v>583</v>
      </c>
      <c r="O303" s="96" t="s">
        <v>354</v>
      </c>
      <c r="P303" s="6">
        <v>240</v>
      </c>
      <c r="Q303" s="216">
        <v>366</v>
      </c>
      <c r="R303" s="216">
        <v>400</v>
      </c>
      <c r="S303" s="216">
        <v>400</v>
      </c>
    </row>
    <row r="304" spans="1:19" s="179" customFormat="1" ht="24" customHeight="1">
      <c r="A304" s="142"/>
      <c r="B304" s="143"/>
      <c r="C304" s="153"/>
      <c r="D304" s="150"/>
      <c r="E304" s="154"/>
      <c r="F304" s="154"/>
      <c r="G304" s="155">
        <v>611</v>
      </c>
      <c r="H304" s="149" t="s">
        <v>550</v>
      </c>
      <c r="I304" s="152">
        <v>27</v>
      </c>
      <c r="J304" s="148">
        <v>6</v>
      </c>
      <c r="K304" s="148"/>
      <c r="L304" s="140"/>
      <c r="M304" s="141"/>
      <c r="N304" s="141"/>
      <c r="O304" s="141"/>
      <c r="P304" s="146"/>
      <c r="Q304" s="217">
        <f>Q305+Q308</f>
        <v>1667.4</v>
      </c>
      <c r="R304" s="217">
        <f>R305+R308</f>
        <v>136.9</v>
      </c>
      <c r="S304" s="217">
        <f>S305+S308</f>
        <v>136.8</v>
      </c>
    </row>
    <row r="305" spans="1:19" s="179" customFormat="1" ht="24" customHeight="1">
      <c r="A305" s="142"/>
      <c r="B305" s="143"/>
      <c r="C305" s="153"/>
      <c r="D305" s="150"/>
      <c r="E305" s="154"/>
      <c r="F305" s="154"/>
      <c r="G305" s="155"/>
      <c r="H305" s="149" t="s">
        <v>549</v>
      </c>
      <c r="I305" s="152">
        <v>27</v>
      </c>
      <c r="J305" s="148">
        <v>6</v>
      </c>
      <c r="K305" s="148">
        <v>3</v>
      </c>
      <c r="L305" s="140"/>
      <c r="M305" s="141"/>
      <c r="N305" s="141"/>
      <c r="O305" s="141"/>
      <c r="P305" s="146"/>
      <c r="Q305" s="217">
        <f aca="true" t="shared" si="21" ref="Q305:S306">Q306</f>
        <v>27.4</v>
      </c>
      <c r="R305" s="217">
        <f t="shared" si="21"/>
        <v>27.4</v>
      </c>
      <c r="S305" s="217">
        <f t="shared" si="21"/>
        <v>27.4</v>
      </c>
    </row>
    <row r="306" spans="1:19" ht="48" customHeight="1">
      <c r="A306" s="97"/>
      <c r="B306" s="98"/>
      <c r="C306" s="103"/>
      <c r="D306" s="101"/>
      <c r="E306" s="113"/>
      <c r="F306" s="113"/>
      <c r="G306" s="105"/>
      <c r="H306" s="5" t="s">
        <v>768</v>
      </c>
      <c r="I306" s="8">
        <v>27</v>
      </c>
      <c r="J306" s="7">
        <v>6</v>
      </c>
      <c r="K306" s="7">
        <v>3</v>
      </c>
      <c r="L306" s="95" t="s">
        <v>580</v>
      </c>
      <c r="M306" s="96" t="s">
        <v>563</v>
      </c>
      <c r="N306" s="96" t="s">
        <v>583</v>
      </c>
      <c r="O306" s="96" t="s">
        <v>767</v>
      </c>
      <c r="P306" s="6"/>
      <c r="Q306" s="216">
        <f t="shared" si="21"/>
        <v>27.4</v>
      </c>
      <c r="R306" s="216">
        <f t="shared" si="21"/>
        <v>27.4</v>
      </c>
      <c r="S306" s="216">
        <f t="shared" si="21"/>
        <v>27.4</v>
      </c>
    </row>
    <row r="307" spans="1:19" ht="24" customHeight="1">
      <c r="A307" s="97"/>
      <c r="B307" s="98"/>
      <c r="C307" s="103"/>
      <c r="D307" s="101"/>
      <c r="E307" s="113"/>
      <c r="F307" s="113"/>
      <c r="G307" s="105"/>
      <c r="H307" s="5" t="s">
        <v>720</v>
      </c>
      <c r="I307" s="8">
        <v>27</v>
      </c>
      <c r="J307" s="7">
        <v>6</v>
      </c>
      <c r="K307" s="7">
        <v>3</v>
      </c>
      <c r="L307" s="95" t="s">
        <v>580</v>
      </c>
      <c r="M307" s="96" t="s">
        <v>563</v>
      </c>
      <c r="N307" s="96" t="s">
        <v>583</v>
      </c>
      <c r="O307" s="96" t="s">
        <v>767</v>
      </c>
      <c r="P307" s="6">
        <v>240</v>
      </c>
      <c r="Q307" s="216">
        <v>27.4</v>
      </c>
      <c r="R307" s="216">
        <v>27.4</v>
      </c>
      <c r="S307" s="216">
        <v>27.4</v>
      </c>
    </row>
    <row r="308" spans="1:19" s="179" customFormat="1" ht="24.75" customHeight="1">
      <c r="A308" s="142"/>
      <c r="B308" s="143"/>
      <c r="C308" s="153"/>
      <c r="D308" s="150"/>
      <c r="E308" s="154"/>
      <c r="F308" s="154"/>
      <c r="G308" s="155">
        <v>621</v>
      </c>
      <c r="H308" s="149" t="s">
        <v>548</v>
      </c>
      <c r="I308" s="152">
        <v>27</v>
      </c>
      <c r="J308" s="148">
        <v>6</v>
      </c>
      <c r="K308" s="148">
        <v>5</v>
      </c>
      <c r="L308" s="140"/>
      <c r="M308" s="141"/>
      <c r="N308" s="141"/>
      <c r="O308" s="141"/>
      <c r="P308" s="146"/>
      <c r="Q308" s="217">
        <f>Q309+Q312</f>
        <v>1640</v>
      </c>
      <c r="R308" s="217">
        <f>R309+R312</f>
        <v>109.5</v>
      </c>
      <c r="S308" s="217">
        <f>S309+S312</f>
        <v>109.4</v>
      </c>
    </row>
    <row r="309" spans="1:19" ht="18.75" customHeight="1">
      <c r="A309" s="99"/>
      <c r="B309" s="98"/>
      <c r="C309" s="103"/>
      <c r="D309" s="107"/>
      <c r="E309" s="104"/>
      <c r="F309" s="104"/>
      <c r="G309" s="105"/>
      <c r="H309" s="172" t="s">
        <v>815</v>
      </c>
      <c r="I309" s="8">
        <v>27</v>
      </c>
      <c r="J309" s="7">
        <v>6</v>
      </c>
      <c r="K309" s="7">
        <v>5</v>
      </c>
      <c r="L309" s="95" t="s">
        <v>580</v>
      </c>
      <c r="M309" s="96" t="s">
        <v>563</v>
      </c>
      <c r="N309" s="96" t="s">
        <v>583</v>
      </c>
      <c r="O309" s="96" t="s">
        <v>814</v>
      </c>
      <c r="P309" s="6"/>
      <c r="Q309" s="216">
        <f>SUM(Q310:Q311)</f>
        <v>132</v>
      </c>
      <c r="R309" s="216">
        <f>SUM(R310:R310)</f>
        <v>109.5</v>
      </c>
      <c r="S309" s="216">
        <f>SUM(S310:S310)</f>
        <v>109.4</v>
      </c>
    </row>
    <row r="310" spans="1:19" ht="23.25" customHeight="1">
      <c r="A310" s="99"/>
      <c r="B310" s="98"/>
      <c r="C310" s="103"/>
      <c r="D310" s="107"/>
      <c r="E310" s="104"/>
      <c r="F310" s="104"/>
      <c r="G310" s="105"/>
      <c r="H310" s="3" t="s">
        <v>533</v>
      </c>
      <c r="I310" s="8">
        <v>27</v>
      </c>
      <c r="J310" s="7">
        <v>6</v>
      </c>
      <c r="K310" s="7">
        <v>5</v>
      </c>
      <c r="L310" s="95" t="s">
        <v>580</v>
      </c>
      <c r="M310" s="96" t="s">
        <v>563</v>
      </c>
      <c r="N310" s="96" t="s">
        <v>583</v>
      </c>
      <c r="O310" s="96" t="s">
        <v>814</v>
      </c>
      <c r="P310" s="6">
        <v>120</v>
      </c>
      <c r="Q310" s="216">
        <f>'Приложение 9'!Q216</f>
        <v>103</v>
      </c>
      <c r="R310" s="239">
        <v>109.5</v>
      </c>
      <c r="S310" s="239">
        <v>109.4</v>
      </c>
    </row>
    <row r="311" spans="1:19" ht="23.25" customHeight="1">
      <c r="A311" s="99"/>
      <c r="B311" s="98"/>
      <c r="C311" s="103"/>
      <c r="D311" s="107"/>
      <c r="E311" s="104"/>
      <c r="F311" s="104"/>
      <c r="G311" s="105"/>
      <c r="H311" s="3" t="str">
        <f>'Приложение 9'!H217</f>
        <v>Иные закупки товаров, работ и услуг для обеспечения государственных (муниципальных) нужд</v>
      </c>
      <c r="I311" s="8">
        <f>'Приложение 9'!I217</f>
        <v>27</v>
      </c>
      <c r="J311" s="7">
        <f>'Приложение 9'!J217</f>
        <v>6</v>
      </c>
      <c r="K311" s="7">
        <f>'Приложение 9'!K217</f>
        <v>5</v>
      </c>
      <c r="L311" s="95" t="str">
        <f>'Приложение 9'!L217</f>
        <v>91</v>
      </c>
      <c r="M311" s="96" t="str">
        <f>'Приложение 9'!M217</f>
        <v>0</v>
      </c>
      <c r="N311" s="96" t="str">
        <f>'Приложение 9'!N217</f>
        <v>00</v>
      </c>
      <c r="O311" s="96" t="str">
        <f>'Приложение 9'!O217</f>
        <v>72310</v>
      </c>
      <c r="P311" s="6">
        <f>'Приложение 9'!P217</f>
        <v>240</v>
      </c>
      <c r="Q311" s="216">
        <f>'Приложение 9'!Q217</f>
        <v>29</v>
      </c>
      <c r="R311" s="239"/>
      <c r="S311" s="239"/>
    </row>
    <row r="312" spans="1:19" ht="35.25" customHeight="1">
      <c r="A312" s="99"/>
      <c r="B312" s="98"/>
      <c r="C312" s="103"/>
      <c r="D312" s="109"/>
      <c r="E312" s="104"/>
      <c r="F312" s="104"/>
      <c r="G312" s="105">
        <v>622</v>
      </c>
      <c r="H312" s="3" t="s">
        <v>644</v>
      </c>
      <c r="I312" s="8">
        <v>27</v>
      </c>
      <c r="J312" s="7">
        <v>6</v>
      </c>
      <c r="K312" s="7">
        <v>5</v>
      </c>
      <c r="L312" s="95" t="s">
        <v>584</v>
      </c>
      <c r="M312" s="96" t="s">
        <v>563</v>
      </c>
      <c r="N312" s="96" t="s">
        <v>583</v>
      </c>
      <c r="O312" s="96" t="s">
        <v>620</v>
      </c>
      <c r="P312" s="6"/>
      <c r="Q312" s="216">
        <f>Q313</f>
        <v>1508</v>
      </c>
      <c r="R312" s="216"/>
      <c r="S312" s="216"/>
    </row>
    <row r="313" spans="1:19" ht="33.75" customHeight="1">
      <c r="A313" s="99"/>
      <c r="B313" s="98"/>
      <c r="C313" s="106"/>
      <c r="D313" s="107"/>
      <c r="E313" s="104"/>
      <c r="F313" s="104"/>
      <c r="G313" s="105"/>
      <c r="H313" s="116" t="s">
        <v>310</v>
      </c>
      <c r="I313" s="8">
        <v>27</v>
      </c>
      <c r="J313" s="7">
        <v>6</v>
      </c>
      <c r="K313" s="7">
        <v>5</v>
      </c>
      <c r="L313" s="95" t="s">
        <v>584</v>
      </c>
      <c r="M313" s="96" t="s">
        <v>563</v>
      </c>
      <c r="N313" s="96" t="s">
        <v>592</v>
      </c>
      <c r="O313" s="96" t="s">
        <v>620</v>
      </c>
      <c r="P313" s="6"/>
      <c r="Q313" s="216">
        <f>Q314</f>
        <v>1508</v>
      </c>
      <c r="R313" s="216"/>
      <c r="S313" s="216"/>
    </row>
    <row r="314" spans="1:19" ht="24.75" customHeight="1">
      <c r="A314" s="99"/>
      <c r="B314" s="98"/>
      <c r="C314" s="106"/>
      <c r="D314" s="107"/>
      <c r="E314" s="104"/>
      <c r="F314" s="104"/>
      <c r="G314" s="105"/>
      <c r="H314" s="116" t="s">
        <v>269</v>
      </c>
      <c r="I314" s="8">
        <v>27</v>
      </c>
      <c r="J314" s="7">
        <v>6</v>
      </c>
      <c r="K314" s="7">
        <v>5</v>
      </c>
      <c r="L314" s="95" t="s">
        <v>584</v>
      </c>
      <c r="M314" s="96" t="s">
        <v>563</v>
      </c>
      <c r="N314" s="96" t="s">
        <v>592</v>
      </c>
      <c r="O314" s="96" t="s">
        <v>268</v>
      </c>
      <c r="P314" s="6"/>
      <c r="Q314" s="216">
        <f>Q315</f>
        <v>1508</v>
      </c>
      <c r="R314" s="216"/>
      <c r="S314" s="216"/>
    </row>
    <row r="315" spans="1:19" ht="33.75" customHeight="1">
      <c r="A315" s="99"/>
      <c r="B315" s="98"/>
      <c r="C315" s="106"/>
      <c r="D315" s="107"/>
      <c r="E315" s="104"/>
      <c r="F315" s="104"/>
      <c r="G315" s="105"/>
      <c r="H315" s="116" t="s">
        <v>720</v>
      </c>
      <c r="I315" s="8">
        <v>27</v>
      </c>
      <c r="J315" s="7">
        <v>6</v>
      </c>
      <c r="K315" s="7">
        <v>5</v>
      </c>
      <c r="L315" s="95" t="s">
        <v>584</v>
      </c>
      <c r="M315" s="96" t="s">
        <v>563</v>
      </c>
      <c r="N315" s="96" t="s">
        <v>592</v>
      </c>
      <c r="O315" s="96" t="s">
        <v>268</v>
      </c>
      <c r="P315" s="6">
        <v>240</v>
      </c>
      <c r="Q315" s="216">
        <f>'Приложение 9'!Q221</f>
        <v>1508</v>
      </c>
      <c r="R315" s="216"/>
      <c r="S315" s="216"/>
    </row>
    <row r="316" spans="1:19" s="179" customFormat="1" ht="18" customHeight="1">
      <c r="A316" s="142"/>
      <c r="B316" s="143"/>
      <c r="C316" s="142"/>
      <c r="D316" s="380">
        <v>5550000</v>
      </c>
      <c r="E316" s="381"/>
      <c r="F316" s="381"/>
      <c r="G316" s="136">
        <v>314</v>
      </c>
      <c r="H316" s="137" t="s">
        <v>545</v>
      </c>
      <c r="I316" s="138">
        <v>663</v>
      </c>
      <c r="J316" s="148">
        <v>7</v>
      </c>
      <c r="K316" s="148" t="s">
        <v>621</v>
      </c>
      <c r="L316" s="140" t="s">
        <v>534</v>
      </c>
      <c r="M316" s="141" t="s">
        <v>534</v>
      </c>
      <c r="N316" s="141"/>
      <c r="O316" s="141" t="s">
        <v>534</v>
      </c>
      <c r="P316" s="138"/>
      <c r="Q316" s="213">
        <f>Q317+Q339+Q389+Q422+Q407</f>
        <v>284718.2</v>
      </c>
      <c r="R316" s="213" t="e">
        <f>R317+R339+R389+R422+R407</f>
        <v>#REF!</v>
      </c>
      <c r="S316" s="213" t="e">
        <f>S317+S339+S389+S422+S407</f>
        <v>#REF!</v>
      </c>
    </row>
    <row r="317" spans="1:19" s="179" customFormat="1" ht="18.75" customHeight="1">
      <c r="A317" s="142"/>
      <c r="B317" s="143"/>
      <c r="C317" s="153"/>
      <c r="D317" s="150"/>
      <c r="E317" s="379">
        <v>5551700</v>
      </c>
      <c r="F317" s="379"/>
      <c r="G317" s="136">
        <v>314</v>
      </c>
      <c r="H317" s="137" t="s">
        <v>376</v>
      </c>
      <c r="I317" s="138">
        <v>663</v>
      </c>
      <c r="J317" s="148">
        <v>7</v>
      </c>
      <c r="K317" s="148">
        <v>1</v>
      </c>
      <c r="L317" s="140" t="s">
        <v>534</v>
      </c>
      <c r="M317" s="141" t="s">
        <v>534</v>
      </c>
      <c r="N317" s="141"/>
      <c r="O317" s="141" t="s">
        <v>534</v>
      </c>
      <c r="P317" s="138"/>
      <c r="Q317" s="213">
        <f>Q318+Q329</f>
        <v>75498.59999999999</v>
      </c>
      <c r="R317" s="213" t="e">
        <f>R318+R329+#REF!</f>
        <v>#REF!</v>
      </c>
      <c r="S317" s="213" t="e">
        <f>S318+S329+#REF!</f>
        <v>#REF!</v>
      </c>
    </row>
    <row r="318" spans="1:19" ht="41.25" customHeight="1">
      <c r="A318" s="99"/>
      <c r="B318" s="98"/>
      <c r="C318" s="103"/>
      <c r="D318" s="101"/>
      <c r="E318" s="104"/>
      <c r="F318" s="104"/>
      <c r="G318" s="89"/>
      <c r="H318" s="253" t="s">
        <v>271</v>
      </c>
      <c r="I318" s="10">
        <v>663</v>
      </c>
      <c r="J318" s="7">
        <v>7</v>
      </c>
      <c r="K318" s="7">
        <v>1</v>
      </c>
      <c r="L318" s="95" t="s">
        <v>595</v>
      </c>
      <c r="M318" s="96" t="s">
        <v>563</v>
      </c>
      <c r="N318" s="96" t="s">
        <v>583</v>
      </c>
      <c r="O318" s="96" t="s">
        <v>620</v>
      </c>
      <c r="P318" s="10"/>
      <c r="Q318" s="214">
        <f>Q319+Q326</f>
        <v>75349.59999999999</v>
      </c>
      <c r="R318" s="214"/>
      <c r="S318" s="214"/>
    </row>
    <row r="319" spans="1:19" ht="27" customHeight="1">
      <c r="A319" s="99"/>
      <c r="B319" s="98"/>
      <c r="C319" s="103"/>
      <c r="D319" s="101"/>
      <c r="E319" s="104"/>
      <c r="F319" s="104"/>
      <c r="G319" s="89"/>
      <c r="H319" s="254" t="s">
        <v>656</v>
      </c>
      <c r="I319" s="10">
        <v>663</v>
      </c>
      <c r="J319" s="7">
        <v>7</v>
      </c>
      <c r="K319" s="7">
        <v>1</v>
      </c>
      <c r="L319" s="95" t="s">
        <v>595</v>
      </c>
      <c r="M319" s="96" t="s">
        <v>563</v>
      </c>
      <c r="N319" s="96" t="s">
        <v>564</v>
      </c>
      <c r="O319" s="96" t="s">
        <v>620</v>
      </c>
      <c r="P319" s="10"/>
      <c r="Q319" s="214">
        <f>Q320+Q324+Q322</f>
        <v>74894.59999999999</v>
      </c>
      <c r="R319" s="214"/>
      <c r="S319" s="214"/>
    </row>
    <row r="320" spans="1:19" ht="24.75" customHeight="1">
      <c r="A320" s="99"/>
      <c r="B320" s="98"/>
      <c r="C320" s="103"/>
      <c r="D320" s="101"/>
      <c r="E320" s="104"/>
      <c r="F320" s="104"/>
      <c r="G320" s="89"/>
      <c r="H320" s="3" t="s">
        <v>331</v>
      </c>
      <c r="I320" s="10">
        <v>663</v>
      </c>
      <c r="J320" s="7">
        <v>7</v>
      </c>
      <c r="K320" s="7">
        <v>1</v>
      </c>
      <c r="L320" s="95" t="s">
        <v>595</v>
      </c>
      <c r="M320" s="96" t="s">
        <v>563</v>
      </c>
      <c r="N320" s="96" t="s">
        <v>564</v>
      </c>
      <c r="O320" s="96" t="s">
        <v>321</v>
      </c>
      <c r="P320" s="10"/>
      <c r="Q320" s="214">
        <f>Q321</f>
        <v>13014.2</v>
      </c>
      <c r="R320" s="214"/>
      <c r="S320" s="214"/>
    </row>
    <row r="321" spans="1:19" ht="24.75" customHeight="1">
      <c r="A321" s="99"/>
      <c r="B321" s="98"/>
      <c r="C321" s="103"/>
      <c r="D321" s="101"/>
      <c r="E321" s="104"/>
      <c r="F321" s="104"/>
      <c r="G321" s="89"/>
      <c r="H321" s="3" t="s">
        <v>722</v>
      </c>
      <c r="I321" s="10">
        <v>663</v>
      </c>
      <c r="J321" s="7">
        <v>7</v>
      </c>
      <c r="K321" s="7">
        <v>1</v>
      </c>
      <c r="L321" s="95" t="s">
        <v>595</v>
      </c>
      <c r="M321" s="96" t="s">
        <v>563</v>
      </c>
      <c r="N321" s="96" t="s">
        <v>564</v>
      </c>
      <c r="O321" s="96" t="s">
        <v>321</v>
      </c>
      <c r="P321" s="10">
        <v>610</v>
      </c>
      <c r="Q321" s="214">
        <f>'Приложение 9'!Q445</f>
        <v>13014.2</v>
      </c>
      <c r="R321" s="214"/>
      <c r="S321" s="214"/>
    </row>
    <row r="322" spans="1:19" ht="34.5" customHeight="1">
      <c r="A322" s="99"/>
      <c r="B322" s="98"/>
      <c r="C322" s="103"/>
      <c r="D322" s="101"/>
      <c r="E322" s="104"/>
      <c r="F322" s="104"/>
      <c r="G322" s="89"/>
      <c r="H322" s="306" t="str">
        <f>'Приложение 9'!H446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22" s="10">
        <f>'Приложение 9'!I446</f>
        <v>663</v>
      </c>
      <c r="J322" s="7">
        <f>'Приложение 9'!J446</f>
        <v>7</v>
      </c>
      <c r="K322" s="7">
        <f>'Приложение 9'!K446</f>
        <v>1</v>
      </c>
      <c r="L322" s="95" t="str">
        <f>'Приложение 9'!L446</f>
        <v>06</v>
      </c>
      <c r="M322" s="96" t="str">
        <f>'Приложение 9'!M446</f>
        <v>0</v>
      </c>
      <c r="N322" s="96" t="str">
        <f>'Приложение 9'!N446</f>
        <v>01</v>
      </c>
      <c r="O322" s="96" t="str">
        <f>'Приложение 9'!O446</f>
        <v>70030</v>
      </c>
      <c r="P322" s="10" t="s">
        <v>621</v>
      </c>
      <c r="Q322" s="214">
        <f>Q323</f>
        <v>4477.9</v>
      </c>
      <c r="R322" s="214"/>
      <c r="S322" s="214"/>
    </row>
    <row r="323" spans="1:19" ht="24.75" customHeight="1">
      <c r="A323" s="99"/>
      <c r="B323" s="98"/>
      <c r="C323" s="103"/>
      <c r="D323" s="101"/>
      <c r="E323" s="104"/>
      <c r="F323" s="104"/>
      <c r="G323" s="89"/>
      <c r="H323" s="306" t="str">
        <f>'Приложение 9'!H447</f>
        <v>Субсидии бюджетным учреждениям</v>
      </c>
      <c r="I323" s="10">
        <f>'Приложение 9'!I447</f>
        <v>663</v>
      </c>
      <c r="J323" s="7">
        <f>'Приложение 9'!J447</f>
        <v>7</v>
      </c>
      <c r="K323" s="7">
        <f>'Приложение 9'!K447</f>
        <v>1</v>
      </c>
      <c r="L323" s="95" t="str">
        <f>'Приложение 9'!L447</f>
        <v>06</v>
      </c>
      <c r="M323" s="96" t="str">
        <f>'Приложение 9'!M447</f>
        <v>0</v>
      </c>
      <c r="N323" s="96" t="str">
        <f>'Приложение 9'!N447</f>
        <v>01</v>
      </c>
      <c r="O323" s="96" t="str">
        <f>'Приложение 9'!O447</f>
        <v>70030</v>
      </c>
      <c r="P323" s="10">
        <f>'Приложение 9'!P447</f>
        <v>610</v>
      </c>
      <c r="Q323" s="214">
        <f>'Приложение 9'!Q447</f>
        <v>4477.9</v>
      </c>
      <c r="R323" s="214"/>
      <c r="S323" s="214"/>
    </row>
    <row r="324" spans="1:19" ht="39" customHeight="1">
      <c r="A324" s="99"/>
      <c r="B324" s="98"/>
      <c r="C324" s="103"/>
      <c r="D324" s="101"/>
      <c r="E324" s="104"/>
      <c r="F324" s="104"/>
      <c r="G324" s="89"/>
      <c r="H324" s="255" t="s">
        <v>333</v>
      </c>
      <c r="I324" s="10">
        <v>663</v>
      </c>
      <c r="J324" s="7">
        <v>7</v>
      </c>
      <c r="K324" s="7">
        <v>1</v>
      </c>
      <c r="L324" s="95" t="s">
        <v>595</v>
      </c>
      <c r="M324" s="96" t="s">
        <v>563</v>
      </c>
      <c r="N324" s="96" t="s">
        <v>564</v>
      </c>
      <c r="O324" s="96" t="s">
        <v>332</v>
      </c>
      <c r="P324" s="10"/>
      <c r="Q324" s="214">
        <f>Q325</f>
        <v>57402.5</v>
      </c>
      <c r="R324" s="214"/>
      <c r="S324" s="214"/>
    </row>
    <row r="325" spans="1:19" ht="23.25" customHeight="1">
      <c r="A325" s="99"/>
      <c r="B325" s="98"/>
      <c r="C325" s="103"/>
      <c r="D325" s="101"/>
      <c r="E325" s="104"/>
      <c r="F325" s="104"/>
      <c r="G325" s="89"/>
      <c r="H325" s="255" t="s">
        <v>722</v>
      </c>
      <c r="I325" s="10">
        <v>663</v>
      </c>
      <c r="J325" s="7">
        <v>7</v>
      </c>
      <c r="K325" s="7">
        <v>1</v>
      </c>
      <c r="L325" s="95" t="s">
        <v>595</v>
      </c>
      <c r="M325" s="96" t="s">
        <v>563</v>
      </c>
      <c r="N325" s="96" t="s">
        <v>564</v>
      </c>
      <c r="O325" s="96" t="s">
        <v>332</v>
      </c>
      <c r="P325" s="10">
        <v>610</v>
      </c>
      <c r="Q325" s="214">
        <v>57402.5</v>
      </c>
      <c r="R325" s="214"/>
      <c r="S325" s="214"/>
    </row>
    <row r="326" spans="1:19" ht="23.25" customHeight="1">
      <c r="A326" s="99"/>
      <c r="B326" s="98"/>
      <c r="C326" s="103"/>
      <c r="D326" s="101"/>
      <c r="E326" s="104"/>
      <c r="F326" s="104"/>
      <c r="G326" s="89"/>
      <c r="H326" s="3" t="s">
        <v>793</v>
      </c>
      <c r="I326" s="10">
        <v>663</v>
      </c>
      <c r="J326" s="7">
        <v>7</v>
      </c>
      <c r="K326" s="7">
        <v>1</v>
      </c>
      <c r="L326" s="95" t="s">
        <v>595</v>
      </c>
      <c r="M326" s="96" t="s">
        <v>563</v>
      </c>
      <c r="N326" s="96" t="s">
        <v>566</v>
      </c>
      <c r="O326" s="96" t="s">
        <v>620</v>
      </c>
      <c r="P326" s="10"/>
      <c r="Q326" s="214">
        <f>Q327</f>
        <v>455</v>
      </c>
      <c r="R326" s="214"/>
      <c r="S326" s="214"/>
    </row>
    <row r="327" spans="1:19" ht="30.75" customHeight="1">
      <c r="A327" s="99"/>
      <c r="B327" s="98"/>
      <c r="C327" s="103"/>
      <c r="D327" s="101"/>
      <c r="E327" s="104"/>
      <c r="F327" s="104"/>
      <c r="G327" s="89"/>
      <c r="H327" s="3" t="s">
        <v>331</v>
      </c>
      <c r="I327" s="10">
        <v>663</v>
      </c>
      <c r="J327" s="7">
        <v>7</v>
      </c>
      <c r="K327" s="7">
        <v>1</v>
      </c>
      <c r="L327" s="95" t="s">
        <v>595</v>
      </c>
      <c r="M327" s="96" t="s">
        <v>563</v>
      </c>
      <c r="N327" s="96" t="s">
        <v>566</v>
      </c>
      <c r="O327" s="96" t="s">
        <v>321</v>
      </c>
      <c r="P327" s="10"/>
      <c r="Q327" s="214">
        <f>Q328</f>
        <v>455</v>
      </c>
      <c r="R327" s="214"/>
      <c r="S327" s="214"/>
    </row>
    <row r="328" spans="1:19" ht="27.75" customHeight="1">
      <c r="A328" s="99"/>
      <c r="B328" s="98"/>
      <c r="C328" s="103"/>
      <c r="D328" s="101"/>
      <c r="E328" s="104"/>
      <c r="F328" s="104"/>
      <c r="G328" s="89"/>
      <c r="H328" s="3" t="s">
        <v>722</v>
      </c>
      <c r="I328" s="10">
        <v>663</v>
      </c>
      <c r="J328" s="7">
        <v>7</v>
      </c>
      <c r="K328" s="7">
        <v>1</v>
      </c>
      <c r="L328" s="95" t="s">
        <v>595</v>
      </c>
      <c r="M328" s="96" t="s">
        <v>563</v>
      </c>
      <c r="N328" s="96" t="s">
        <v>566</v>
      </c>
      <c r="O328" s="96" t="s">
        <v>321</v>
      </c>
      <c r="P328" s="10">
        <v>610</v>
      </c>
      <c r="Q328" s="214">
        <f>'Приложение 9'!Q452</f>
        <v>455</v>
      </c>
      <c r="R328" s="214"/>
      <c r="S328" s="214"/>
    </row>
    <row r="329" spans="1:19" ht="33" customHeight="1">
      <c r="A329" s="99"/>
      <c r="B329" s="98"/>
      <c r="C329" s="103"/>
      <c r="D329" s="101"/>
      <c r="E329" s="104"/>
      <c r="F329" s="104"/>
      <c r="G329" s="89"/>
      <c r="H329" s="5" t="s">
        <v>687</v>
      </c>
      <c r="I329" s="10">
        <v>663</v>
      </c>
      <c r="J329" s="7">
        <v>7</v>
      </c>
      <c r="K329" s="7">
        <v>1</v>
      </c>
      <c r="L329" s="95" t="s">
        <v>688</v>
      </c>
      <c r="M329" s="96" t="s">
        <v>563</v>
      </c>
      <c r="N329" s="96" t="s">
        <v>583</v>
      </c>
      <c r="O329" s="96" t="s">
        <v>620</v>
      </c>
      <c r="P329" s="10"/>
      <c r="Q329" s="214">
        <f>Q330+Q333+Q336</f>
        <v>149</v>
      </c>
      <c r="R329" s="214">
        <f>R330+R333+R336</f>
        <v>149</v>
      </c>
      <c r="S329" s="214">
        <f>S330+S333+S336</f>
        <v>149</v>
      </c>
    </row>
    <row r="330" spans="1:19" ht="33" customHeight="1">
      <c r="A330" s="99"/>
      <c r="B330" s="98"/>
      <c r="C330" s="103"/>
      <c r="D330" s="101"/>
      <c r="E330" s="104"/>
      <c r="F330" s="104"/>
      <c r="G330" s="89"/>
      <c r="H330" s="5" t="s">
        <v>324</v>
      </c>
      <c r="I330" s="10">
        <v>663</v>
      </c>
      <c r="J330" s="7">
        <v>7</v>
      </c>
      <c r="K330" s="7">
        <v>1</v>
      </c>
      <c r="L330" s="95" t="s">
        <v>688</v>
      </c>
      <c r="M330" s="96" t="s">
        <v>563</v>
      </c>
      <c r="N330" s="96" t="s">
        <v>592</v>
      </c>
      <c r="O330" s="96" t="s">
        <v>620</v>
      </c>
      <c r="P330" s="10"/>
      <c r="Q330" s="214">
        <f aca="true" t="shared" si="22" ref="Q330:S331">Q331</f>
        <v>131</v>
      </c>
      <c r="R330" s="214">
        <f t="shared" si="22"/>
        <v>131</v>
      </c>
      <c r="S330" s="214">
        <f t="shared" si="22"/>
        <v>131</v>
      </c>
    </row>
    <row r="331" spans="1:19" ht="24" customHeight="1">
      <c r="A331" s="99"/>
      <c r="B331" s="98"/>
      <c r="C331" s="103"/>
      <c r="D331" s="101"/>
      <c r="E331" s="104"/>
      <c r="F331" s="104"/>
      <c r="G331" s="89"/>
      <c r="H331" s="5" t="s">
        <v>331</v>
      </c>
      <c r="I331" s="10">
        <v>663</v>
      </c>
      <c r="J331" s="7">
        <v>7</v>
      </c>
      <c r="K331" s="7">
        <v>1</v>
      </c>
      <c r="L331" s="95" t="s">
        <v>688</v>
      </c>
      <c r="M331" s="96" t="s">
        <v>563</v>
      </c>
      <c r="N331" s="96" t="s">
        <v>592</v>
      </c>
      <c r="O331" s="96" t="s">
        <v>321</v>
      </c>
      <c r="P331" s="10"/>
      <c r="Q331" s="214">
        <f t="shared" si="22"/>
        <v>131</v>
      </c>
      <c r="R331" s="214">
        <f t="shared" si="22"/>
        <v>131</v>
      </c>
      <c r="S331" s="214">
        <f t="shared" si="22"/>
        <v>131</v>
      </c>
    </row>
    <row r="332" spans="1:19" ht="24" customHeight="1">
      <c r="A332" s="99"/>
      <c r="B332" s="98"/>
      <c r="C332" s="103"/>
      <c r="D332" s="101"/>
      <c r="E332" s="104"/>
      <c r="F332" s="104"/>
      <c r="G332" s="89"/>
      <c r="H332" s="5" t="s">
        <v>722</v>
      </c>
      <c r="I332" s="10">
        <v>663</v>
      </c>
      <c r="J332" s="7">
        <v>7</v>
      </c>
      <c r="K332" s="7">
        <v>1</v>
      </c>
      <c r="L332" s="95" t="s">
        <v>688</v>
      </c>
      <c r="M332" s="96" t="s">
        <v>563</v>
      </c>
      <c r="N332" s="96" t="s">
        <v>592</v>
      </c>
      <c r="O332" s="96" t="s">
        <v>321</v>
      </c>
      <c r="P332" s="10">
        <v>610</v>
      </c>
      <c r="Q332" s="214">
        <v>131</v>
      </c>
      <c r="R332" s="214">
        <v>131</v>
      </c>
      <c r="S332" s="214">
        <v>131</v>
      </c>
    </row>
    <row r="333" spans="1:19" ht="26.25" customHeight="1">
      <c r="A333" s="99"/>
      <c r="B333" s="98"/>
      <c r="C333" s="103"/>
      <c r="D333" s="101"/>
      <c r="E333" s="104"/>
      <c r="F333" s="104"/>
      <c r="G333" s="89"/>
      <c r="H333" s="200" t="s">
        <v>320</v>
      </c>
      <c r="I333" s="10">
        <v>663</v>
      </c>
      <c r="J333" s="7">
        <v>7</v>
      </c>
      <c r="K333" s="7">
        <v>1</v>
      </c>
      <c r="L333" s="95" t="s">
        <v>688</v>
      </c>
      <c r="M333" s="96" t="s">
        <v>563</v>
      </c>
      <c r="N333" s="96" t="s">
        <v>593</v>
      </c>
      <c r="O333" s="96" t="s">
        <v>620</v>
      </c>
      <c r="P333" s="10"/>
      <c r="Q333" s="214">
        <f aca="true" t="shared" si="23" ref="Q333:S334">Q334</f>
        <v>9</v>
      </c>
      <c r="R333" s="214">
        <f t="shared" si="23"/>
        <v>9</v>
      </c>
      <c r="S333" s="214">
        <f t="shared" si="23"/>
        <v>9</v>
      </c>
    </row>
    <row r="334" spans="1:19" ht="22.5" customHeight="1">
      <c r="A334" s="99"/>
      <c r="B334" s="98"/>
      <c r="C334" s="103"/>
      <c r="D334" s="101"/>
      <c r="E334" s="104"/>
      <c r="F334" s="104"/>
      <c r="G334" s="89"/>
      <c r="H334" s="18" t="s">
        <v>322</v>
      </c>
      <c r="I334" s="10">
        <v>663</v>
      </c>
      <c r="J334" s="7">
        <v>7</v>
      </c>
      <c r="K334" s="7">
        <v>1</v>
      </c>
      <c r="L334" s="95" t="s">
        <v>688</v>
      </c>
      <c r="M334" s="96" t="s">
        <v>563</v>
      </c>
      <c r="N334" s="96" t="s">
        <v>593</v>
      </c>
      <c r="O334" s="96" t="s">
        <v>321</v>
      </c>
      <c r="P334" s="10"/>
      <c r="Q334" s="214">
        <f t="shared" si="23"/>
        <v>9</v>
      </c>
      <c r="R334" s="214">
        <f t="shared" si="23"/>
        <v>9</v>
      </c>
      <c r="S334" s="214">
        <f t="shared" si="23"/>
        <v>9</v>
      </c>
    </row>
    <row r="335" spans="1:19" ht="22.5" customHeight="1">
      <c r="A335" s="99"/>
      <c r="B335" s="98"/>
      <c r="C335" s="103"/>
      <c r="D335" s="101"/>
      <c r="E335" s="104"/>
      <c r="F335" s="104"/>
      <c r="G335" s="89"/>
      <c r="H335" s="18" t="s">
        <v>722</v>
      </c>
      <c r="I335" s="10">
        <v>663</v>
      </c>
      <c r="J335" s="7">
        <v>7</v>
      </c>
      <c r="K335" s="7">
        <v>1</v>
      </c>
      <c r="L335" s="95" t="s">
        <v>688</v>
      </c>
      <c r="M335" s="96" t="s">
        <v>563</v>
      </c>
      <c r="N335" s="96" t="s">
        <v>593</v>
      </c>
      <c r="O335" s="96" t="s">
        <v>321</v>
      </c>
      <c r="P335" s="10">
        <v>610</v>
      </c>
      <c r="Q335" s="214">
        <v>9</v>
      </c>
      <c r="R335" s="214">
        <v>9</v>
      </c>
      <c r="S335" s="214">
        <v>9</v>
      </c>
    </row>
    <row r="336" spans="1:19" ht="44.25" customHeight="1">
      <c r="A336" s="99"/>
      <c r="B336" s="98"/>
      <c r="C336" s="103"/>
      <c r="D336" s="101"/>
      <c r="E336" s="104"/>
      <c r="F336" s="104"/>
      <c r="G336" s="89"/>
      <c r="H336" s="18" t="s">
        <v>686</v>
      </c>
      <c r="I336" s="10">
        <v>663</v>
      </c>
      <c r="J336" s="7">
        <v>7</v>
      </c>
      <c r="K336" s="7">
        <v>1</v>
      </c>
      <c r="L336" s="95" t="s">
        <v>688</v>
      </c>
      <c r="M336" s="96" t="s">
        <v>563</v>
      </c>
      <c r="N336" s="96" t="s">
        <v>588</v>
      </c>
      <c r="O336" s="96" t="s">
        <v>620</v>
      </c>
      <c r="P336" s="10"/>
      <c r="Q336" s="214">
        <f aca="true" t="shared" si="24" ref="Q336:S337">Q337</f>
        <v>9</v>
      </c>
      <c r="R336" s="214">
        <f t="shared" si="24"/>
        <v>9</v>
      </c>
      <c r="S336" s="214">
        <f t="shared" si="24"/>
        <v>9</v>
      </c>
    </row>
    <row r="337" spans="1:19" ht="29.25" customHeight="1">
      <c r="A337" s="99"/>
      <c r="B337" s="98"/>
      <c r="C337" s="103"/>
      <c r="D337" s="101"/>
      <c r="E337" s="104"/>
      <c r="F337" s="104"/>
      <c r="G337" s="89"/>
      <c r="H337" s="18" t="s">
        <v>331</v>
      </c>
      <c r="I337" s="10">
        <v>663</v>
      </c>
      <c r="J337" s="7">
        <v>7</v>
      </c>
      <c r="K337" s="7">
        <v>1</v>
      </c>
      <c r="L337" s="95" t="s">
        <v>688</v>
      </c>
      <c r="M337" s="96" t="s">
        <v>563</v>
      </c>
      <c r="N337" s="96" t="s">
        <v>588</v>
      </c>
      <c r="O337" s="96" t="s">
        <v>321</v>
      </c>
      <c r="P337" s="10"/>
      <c r="Q337" s="214">
        <f t="shared" si="24"/>
        <v>9</v>
      </c>
      <c r="R337" s="214">
        <f t="shared" si="24"/>
        <v>9</v>
      </c>
      <c r="S337" s="214">
        <f t="shared" si="24"/>
        <v>9</v>
      </c>
    </row>
    <row r="338" spans="1:19" ht="32.25" customHeight="1">
      <c r="A338" s="99"/>
      <c r="B338" s="98"/>
      <c r="C338" s="103"/>
      <c r="D338" s="101"/>
      <c r="E338" s="104"/>
      <c r="F338" s="104"/>
      <c r="G338" s="89"/>
      <c r="H338" s="18" t="s">
        <v>722</v>
      </c>
      <c r="I338" s="10">
        <v>663</v>
      </c>
      <c r="J338" s="7">
        <v>7</v>
      </c>
      <c r="K338" s="7">
        <v>1</v>
      </c>
      <c r="L338" s="95" t="s">
        <v>688</v>
      </c>
      <c r="M338" s="96" t="s">
        <v>563</v>
      </c>
      <c r="N338" s="96" t="s">
        <v>588</v>
      </c>
      <c r="O338" s="96" t="s">
        <v>321</v>
      </c>
      <c r="P338" s="10">
        <v>610</v>
      </c>
      <c r="Q338" s="214">
        <v>9</v>
      </c>
      <c r="R338" s="214">
        <v>9</v>
      </c>
      <c r="S338" s="214">
        <v>9</v>
      </c>
    </row>
    <row r="339" spans="1:19" s="179" customFormat="1" ht="27" customHeight="1">
      <c r="A339" s="142"/>
      <c r="B339" s="143"/>
      <c r="C339" s="153"/>
      <c r="D339" s="150"/>
      <c r="E339" s="145"/>
      <c r="F339" s="145"/>
      <c r="G339" s="136"/>
      <c r="H339" s="149" t="s">
        <v>544</v>
      </c>
      <c r="I339" s="138">
        <v>663</v>
      </c>
      <c r="J339" s="148">
        <v>7</v>
      </c>
      <c r="K339" s="148">
        <v>2</v>
      </c>
      <c r="L339" s="139"/>
      <c r="M339" s="141" t="s">
        <v>621</v>
      </c>
      <c r="N339" s="141"/>
      <c r="O339" s="141"/>
      <c r="P339" s="138"/>
      <c r="Q339" s="256">
        <f>Q340+Q376+Q369+Q366</f>
        <v>180021.69999999998</v>
      </c>
      <c r="R339" s="256" t="e">
        <f>R340+R376+#REF!</f>
        <v>#REF!</v>
      </c>
      <c r="S339" s="256" t="e">
        <f>S340+S376+#REF!</f>
        <v>#REF!</v>
      </c>
    </row>
    <row r="340" spans="1:19" ht="30" customHeight="1">
      <c r="A340" s="99"/>
      <c r="B340" s="98"/>
      <c r="C340" s="103"/>
      <c r="D340" s="101"/>
      <c r="E340" s="104"/>
      <c r="F340" s="104"/>
      <c r="G340" s="89"/>
      <c r="H340" s="253" t="s">
        <v>271</v>
      </c>
      <c r="I340" s="10">
        <v>663</v>
      </c>
      <c r="J340" s="7">
        <v>7</v>
      </c>
      <c r="K340" s="7">
        <v>2</v>
      </c>
      <c r="L340" s="95" t="s">
        <v>595</v>
      </c>
      <c r="M340" s="96" t="s">
        <v>563</v>
      </c>
      <c r="N340" s="96" t="s">
        <v>583</v>
      </c>
      <c r="O340" s="96" t="s">
        <v>620</v>
      </c>
      <c r="P340" s="10"/>
      <c r="Q340" s="214">
        <f>Q341+Q344+Q356+Q359</f>
        <v>177518.3</v>
      </c>
      <c r="R340" s="214"/>
      <c r="S340" s="214"/>
    </row>
    <row r="341" spans="1:19" ht="30" customHeight="1">
      <c r="A341" s="99"/>
      <c r="B341" s="98"/>
      <c r="C341" s="103"/>
      <c r="D341" s="101"/>
      <c r="E341" s="104"/>
      <c r="F341" s="104"/>
      <c r="G341" s="89"/>
      <c r="H341" s="55" t="s">
        <v>656</v>
      </c>
      <c r="I341" s="10">
        <v>663</v>
      </c>
      <c r="J341" s="7">
        <v>7</v>
      </c>
      <c r="K341" s="7">
        <v>2</v>
      </c>
      <c r="L341" s="95" t="s">
        <v>595</v>
      </c>
      <c r="M341" s="96" t="s">
        <v>563</v>
      </c>
      <c r="N341" s="96" t="s">
        <v>564</v>
      </c>
      <c r="O341" s="96" t="s">
        <v>620</v>
      </c>
      <c r="P341" s="10"/>
      <c r="Q341" s="214">
        <f>Q342</f>
        <v>172.5</v>
      </c>
      <c r="R341" s="214"/>
      <c r="S341" s="214"/>
    </row>
    <row r="342" spans="1:19" ht="24.75" customHeight="1">
      <c r="A342" s="99"/>
      <c r="B342" s="98"/>
      <c r="C342" s="103"/>
      <c r="D342" s="101"/>
      <c r="E342" s="104"/>
      <c r="F342" s="104"/>
      <c r="G342" s="89"/>
      <c r="H342" s="254" t="s">
        <v>334</v>
      </c>
      <c r="I342" s="10">
        <v>663</v>
      </c>
      <c r="J342" s="7">
        <v>7</v>
      </c>
      <c r="K342" s="7">
        <v>2</v>
      </c>
      <c r="L342" s="95" t="s">
        <v>595</v>
      </c>
      <c r="M342" s="96" t="s">
        <v>563</v>
      </c>
      <c r="N342" s="96" t="s">
        <v>564</v>
      </c>
      <c r="O342" s="96" t="s">
        <v>323</v>
      </c>
      <c r="P342" s="10"/>
      <c r="Q342" s="214">
        <f>Q343</f>
        <v>172.5</v>
      </c>
      <c r="R342" s="214"/>
      <c r="S342" s="214"/>
    </row>
    <row r="343" spans="1:19" ht="24.75" customHeight="1">
      <c r="A343" s="99"/>
      <c r="B343" s="98"/>
      <c r="C343" s="103"/>
      <c r="D343" s="101"/>
      <c r="E343" s="104"/>
      <c r="F343" s="104"/>
      <c r="G343" s="89"/>
      <c r="H343" s="254" t="s">
        <v>722</v>
      </c>
      <c r="I343" s="10">
        <v>663</v>
      </c>
      <c r="J343" s="7">
        <v>7</v>
      </c>
      <c r="K343" s="7">
        <v>2</v>
      </c>
      <c r="L343" s="95" t="s">
        <v>595</v>
      </c>
      <c r="M343" s="96" t="s">
        <v>563</v>
      </c>
      <c r="N343" s="96" t="s">
        <v>564</v>
      </c>
      <c r="O343" s="96" t="s">
        <v>323</v>
      </c>
      <c r="P343" s="10">
        <v>610</v>
      </c>
      <c r="Q343" s="214">
        <v>172.5</v>
      </c>
      <c r="R343" s="214"/>
      <c r="S343" s="214"/>
    </row>
    <row r="344" spans="1:19" ht="27" customHeight="1">
      <c r="A344" s="99"/>
      <c r="B344" s="98"/>
      <c r="C344" s="103"/>
      <c r="D344" s="101"/>
      <c r="E344" s="104"/>
      <c r="F344" s="104"/>
      <c r="G344" s="89"/>
      <c r="H344" s="18" t="s">
        <v>657</v>
      </c>
      <c r="I344" s="6">
        <v>663</v>
      </c>
      <c r="J344" s="7">
        <v>7</v>
      </c>
      <c r="K344" s="7">
        <v>2</v>
      </c>
      <c r="L344" s="95" t="s">
        <v>595</v>
      </c>
      <c r="M344" s="96" t="s">
        <v>563</v>
      </c>
      <c r="N344" s="96" t="s">
        <v>592</v>
      </c>
      <c r="O344" s="96" t="s">
        <v>620</v>
      </c>
      <c r="P344" s="6"/>
      <c r="Q344" s="216">
        <f>Q345+Q352+Q350+Q348+Q354</f>
        <v>149745.8</v>
      </c>
      <c r="R344" s="216"/>
      <c r="S344" s="216"/>
    </row>
    <row r="345" spans="1:19" ht="27" customHeight="1">
      <c r="A345" s="99"/>
      <c r="B345" s="98"/>
      <c r="C345" s="103"/>
      <c r="D345" s="101"/>
      <c r="E345" s="104"/>
      <c r="F345" s="104"/>
      <c r="G345" s="89"/>
      <c r="H345" s="20" t="s">
        <v>334</v>
      </c>
      <c r="I345" s="6">
        <v>663</v>
      </c>
      <c r="J345" s="7">
        <v>7</v>
      </c>
      <c r="K345" s="7">
        <v>2</v>
      </c>
      <c r="L345" s="95" t="s">
        <v>595</v>
      </c>
      <c r="M345" s="96" t="s">
        <v>563</v>
      </c>
      <c r="N345" s="96" t="s">
        <v>592</v>
      </c>
      <c r="O345" s="96" t="s">
        <v>323</v>
      </c>
      <c r="P345" s="6"/>
      <c r="Q345" s="216">
        <f>SUM(Q346:Q347)</f>
        <v>32096.1</v>
      </c>
      <c r="R345" s="216"/>
      <c r="S345" s="216"/>
    </row>
    <row r="346" spans="1:19" ht="27" customHeight="1" hidden="1">
      <c r="A346" s="99"/>
      <c r="B346" s="98"/>
      <c r="C346" s="103"/>
      <c r="D346" s="101"/>
      <c r="E346" s="104"/>
      <c r="F346" s="104"/>
      <c r="G346" s="89"/>
      <c r="H346" s="5" t="s">
        <v>720</v>
      </c>
      <c r="I346" s="6">
        <v>663</v>
      </c>
      <c r="J346" s="7">
        <v>7</v>
      </c>
      <c r="K346" s="7">
        <v>2</v>
      </c>
      <c r="L346" s="95" t="s">
        <v>595</v>
      </c>
      <c r="M346" s="96" t="s">
        <v>563</v>
      </c>
      <c r="N346" s="96" t="s">
        <v>592</v>
      </c>
      <c r="O346" s="96" t="s">
        <v>323</v>
      </c>
      <c r="P346" s="6">
        <v>240</v>
      </c>
      <c r="Q346" s="216">
        <f>'Приложение 9'!Q475</f>
        <v>0</v>
      </c>
      <c r="R346" s="216"/>
      <c r="S346" s="216"/>
    </row>
    <row r="347" spans="1:19" ht="27" customHeight="1">
      <c r="A347" s="99"/>
      <c r="B347" s="98"/>
      <c r="C347" s="103"/>
      <c r="D347" s="101"/>
      <c r="E347" s="104"/>
      <c r="F347" s="104"/>
      <c r="G347" s="89"/>
      <c r="H347" s="20" t="s">
        <v>722</v>
      </c>
      <c r="I347" s="6">
        <v>663</v>
      </c>
      <c r="J347" s="7">
        <v>7</v>
      </c>
      <c r="K347" s="7">
        <v>2</v>
      </c>
      <c r="L347" s="95" t="s">
        <v>595</v>
      </c>
      <c r="M347" s="96" t="s">
        <v>563</v>
      </c>
      <c r="N347" s="96" t="s">
        <v>592</v>
      </c>
      <c r="O347" s="96" t="s">
        <v>323</v>
      </c>
      <c r="P347" s="6">
        <v>610</v>
      </c>
      <c r="Q347" s="216">
        <f>'Приложение 9'!Q476</f>
        <v>32096.1</v>
      </c>
      <c r="R347" s="216"/>
      <c r="S347" s="216"/>
    </row>
    <row r="348" spans="1:19" ht="27" customHeight="1">
      <c r="A348" s="99"/>
      <c r="B348" s="98"/>
      <c r="C348" s="103"/>
      <c r="D348" s="101"/>
      <c r="E348" s="104"/>
      <c r="F348" s="104"/>
      <c r="G348" s="89"/>
      <c r="H348" s="20" t="str">
        <f>'Приложение 9'!H477</f>
        <v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v>
      </c>
      <c r="I348" s="6">
        <f>'Приложение 9'!I477</f>
        <v>663</v>
      </c>
      <c r="J348" s="7">
        <f>'Приложение 9'!J477</f>
        <v>7</v>
      </c>
      <c r="K348" s="7">
        <f>'Приложение 9'!K477</f>
        <v>2</v>
      </c>
      <c r="L348" s="95" t="str">
        <f>'Приложение 9'!L477</f>
        <v>06</v>
      </c>
      <c r="M348" s="96" t="str">
        <f>'Приложение 9'!M477</f>
        <v>0</v>
      </c>
      <c r="N348" s="96" t="str">
        <f>'Приложение 9'!N477</f>
        <v>02</v>
      </c>
      <c r="O348" s="96" t="str">
        <f>'Приложение 9'!O477</f>
        <v>53031</v>
      </c>
      <c r="P348" s="6" t="s">
        <v>621</v>
      </c>
      <c r="Q348" s="216">
        <f>Q349</f>
        <v>3114.4</v>
      </c>
      <c r="R348" s="216"/>
      <c r="S348" s="216"/>
    </row>
    <row r="349" spans="1:19" ht="27" customHeight="1">
      <c r="A349" s="99"/>
      <c r="B349" s="98"/>
      <c r="C349" s="103"/>
      <c r="D349" s="101"/>
      <c r="E349" s="104"/>
      <c r="F349" s="104"/>
      <c r="G349" s="89"/>
      <c r="H349" s="20" t="str">
        <f>'Приложение 9'!H478</f>
        <v>Субсидии бюджетным учреждениям</v>
      </c>
      <c r="I349" s="6">
        <f>'Приложение 9'!I478</f>
        <v>663</v>
      </c>
      <c r="J349" s="7">
        <f>'Приложение 9'!J478</f>
        <v>7</v>
      </c>
      <c r="K349" s="7">
        <f>'Приложение 9'!K478</f>
        <v>2</v>
      </c>
      <c r="L349" s="95" t="str">
        <f>'Приложение 9'!L478</f>
        <v>06</v>
      </c>
      <c r="M349" s="96" t="str">
        <f>'Приложение 9'!M478</f>
        <v>0</v>
      </c>
      <c r="N349" s="96" t="str">
        <f>'Приложение 9'!N478</f>
        <v>02</v>
      </c>
      <c r="O349" s="96" t="str">
        <f>'Приложение 9'!O478</f>
        <v>53031</v>
      </c>
      <c r="P349" s="6">
        <f>'Приложение 9'!P478</f>
        <v>610</v>
      </c>
      <c r="Q349" s="216">
        <f>'Приложение 9'!Q478</f>
        <v>3114.4</v>
      </c>
      <c r="R349" s="216"/>
      <c r="S349" s="216"/>
    </row>
    <row r="350" spans="1:19" ht="33.75" customHeight="1">
      <c r="A350" s="99"/>
      <c r="B350" s="98"/>
      <c r="C350" s="103"/>
      <c r="D350" s="101"/>
      <c r="E350" s="104"/>
      <c r="F350" s="104"/>
      <c r="G350" s="89"/>
      <c r="H350" s="20" t="str">
        <f>'Приложение 9'!H479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50" s="6">
        <f>'Приложение 9'!I479</f>
        <v>663</v>
      </c>
      <c r="J350" s="7">
        <f>'Приложение 9'!J479</f>
        <v>7</v>
      </c>
      <c r="K350" s="7">
        <f>'Приложение 9'!K479</f>
        <v>2</v>
      </c>
      <c r="L350" s="95" t="str">
        <f>'Приложение 9'!L479</f>
        <v>06</v>
      </c>
      <c r="M350" s="96" t="str">
        <f>'Приложение 9'!M479</f>
        <v>0</v>
      </c>
      <c r="N350" s="96" t="str">
        <f>'Приложение 9'!N479</f>
        <v>02</v>
      </c>
      <c r="O350" s="96" t="str">
        <f>'Приложение 9'!O479</f>
        <v>70030</v>
      </c>
      <c r="P350" s="6" t="s">
        <v>621</v>
      </c>
      <c r="Q350" s="216">
        <f>Q351</f>
        <v>10448.9</v>
      </c>
      <c r="R350" s="216"/>
      <c r="S350" s="216"/>
    </row>
    <row r="351" spans="1:19" ht="27" customHeight="1">
      <c r="A351" s="99"/>
      <c r="B351" s="98"/>
      <c r="C351" s="103"/>
      <c r="D351" s="101"/>
      <c r="E351" s="104"/>
      <c r="F351" s="104"/>
      <c r="G351" s="89"/>
      <c r="H351" s="20" t="str">
        <f>'Приложение 9'!H480</f>
        <v>Субсидии бюджетным учреждениям</v>
      </c>
      <c r="I351" s="6">
        <f>'Приложение 9'!I480</f>
        <v>663</v>
      </c>
      <c r="J351" s="7">
        <f>'Приложение 9'!J480</f>
        <v>7</v>
      </c>
      <c r="K351" s="7">
        <f>'Приложение 9'!K480</f>
        <v>2</v>
      </c>
      <c r="L351" s="95" t="str">
        <f>'Приложение 9'!L480</f>
        <v>06</v>
      </c>
      <c r="M351" s="96" t="str">
        <f>'Приложение 9'!M480</f>
        <v>0</v>
      </c>
      <c r="N351" s="96" t="str">
        <f>'Приложение 9'!N480</f>
        <v>02</v>
      </c>
      <c r="O351" s="96" t="str">
        <f>'Приложение 9'!O480</f>
        <v>70030</v>
      </c>
      <c r="P351" s="6">
        <f>'Приложение 9'!P480</f>
        <v>610</v>
      </c>
      <c r="Q351" s="216">
        <f>'Приложение 9'!Q480</f>
        <v>10448.9</v>
      </c>
      <c r="R351" s="216"/>
      <c r="S351" s="216"/>
    </row>
    <row r="352" spans="1:19" ht="40.5" customHeight="1">
      <c r="A352" s="99"/>
      <c r="B352" s="98"/>
      <c r="C352" s="103"/>
      <c r="D352" s="101"/>
      <c r="E352" s="104"/>
      <c r="F352" s="104"/>
      <c r="G352" s="89"/>
      <c r="H352" s="20" t="s">
        <v>333</v>
      </c>
      <c r="I352" s="6">
        <v>663</v>
      </c>
      <c r="J352" s="7">
        <v>7</v>
      </c>
      <c r="K352" s="7">
        <v>2</v>
      </c>
      <c r="L352" s="95" t="s">
        <v>595</v>
      </c>
      <c r="M352" s="96" t="s">
        <v>563</v>
      </c>
      <c r="N352" s="96" t="s">
        <v>592</v>
      </c>
      <c r="O352" s="96" t="s">
        <v>332</v>
      </c>
      <c r="P352" s="6"/>
      <c r="Q352" s="216">
        <f>Q353</f>
        <v>103197.9</v>
      </c>
      <c r="R352" s="216"/>
      <c r="S352" s="216"/>
    </row>
    <row r="353" spans="1:19" ht="27" customHeight="1">
      <c r="A353" s="99"/>
      <c r="B353" s="98"/>
      <c r="C353" s="103"/>
      <c r="D353" s="101"/>
      <c r="E353" s="104"/>
      <c r="F353" s="104"/>
      <c r="G353" s="89"/>
      <c r="H353" s="20" t="s">
        <v>722</v>
      </c>
      <c r="I353" s="6">
        <v>663</v>
      </c>
      <c r="J353" s="7">
        <v>7</v>
      </c>
      <c r="K353" s="7">
        <v>2</v>
      </c>
      <c r="L353" s="95" t="s">
        <v>595</v>
      </c>
      <c r="M353" s="96" t="s">
        <v>563</v>
      </c>
      <c r="N353" s="96" t="s">
        <v>592</v>
      </c>
      <c r="O353" s="96" t="s">
        <v>332</v>
      </c>
      <c r="P353" s="6">
        <v>610</v>
      </c>
      <c r="Q353" s="216">
        <f>'Приложение 9'!Q482</f>
        <v>103197.9</v>
      </c>
      <c r="R353" s="216"/>
      <c r="S353" s="216"/>
    </row>
    <row r="354" spans="1:19" ht="27" customHeight="1">
      <c r="A354" s="99"/>
      <c r="B354" s="98"/>
      <c r="C354" s="103"/>
      <c r="D354" s="101"/>
      <c r="E354" s="104"/>
      <c r="F354" s="104"/>
      <c r="G354" s="89"/>
      <c r="H354" s="20" t="str">
        <f>'Приложение 9'!H483</f>
        <v>Организация бесплатного горячего питания обучающихся, получающих начальное общее образование в муниципальных образовательных организациях</v>
      </c>
      <c r="I354" s="8">
        <f>'Приложение 9'!I483</f>
        <v>663</v>
      </c>
      <c r="J354" s="7">
        <f>'Приложение 9'!J483</f>
        <v>7</v>
      </c>
      <c r="K354" s="7">
        <f>'Приложение 9'!K483</f>
        <v>2</v>
      </c>
      <c r="L354" s="95" t="str">
        <f>'Приложение 9'!L483</f>
        <v>06</v>
      </c>
      <c r="M354" s="96" t="str">
        <f>'Приложение 9'!M483</f>
        <v>0</v>
      </c>
      <c r="N354" s="96" t="str">
        <f>'Приложение 9'!N483</f>
        <v>02</v>
      </c>
      <c r="O354" s="96" t="str">
        <f>'Приложение 9'!O483</f>
        <v>R3041</v>
      </c>
      <c r="P354" s="6" t="s">
        <v>621</v>
      </c>
      <c r="Q354" s="216">
        <f>Q355</f>
        <v>888.5</v>
      </c>
      <c r="R354" s="216"/>
      <c r="S354" s="216"/>
    </row>
    <row r="355" spans="1:19" ht="27" customHeight="1">
      <c r="A355" s="99"/>
      <c r="B355" s="98"/>
      <c r="C355" s="103"/>
      <c r="D355" s="101"/>
      <c r="E355" s="104"/>
      <c r="F355" s="104"/>
      <c r="G355" s="89"/>
      <c r="H355" s="20" t="str">
        <f>'Приложение 9'!H484</f>
        <v>Субсидии бюджетным учреждениям</v>
      </c>
      <c r="I355" s="8">
        <f>'Приложение 9'!I484</f>
        <v>663</v>
      </c>
      <c r="J355" s="7">
        <f>'Приложение 9'!J484</f>
        <v>7</v>
      </c>
      <c r="K355" s="7">
        <f>'Приложение 9'!K484</f>
        <v>2</v>
      </c>
      <c r="L355" s="95" t="str">
        <f>'Приложение 9'!L484</f>
        <v>06</v>
      </c>
      <c r="M355" s="96" t="str">
        <f>'Приложение 9'!M484</f>
        <v>0</v>
      </c>
      <c r="N355" s="96" t="str">
        <f>'Приложение 9'!N484</f>
        <v>02</v>
      </c>
      <c r="O355" s="96" t="str">
        <f>'Приложение 9'!O484</f>
        <v>R3041</v>
      </c>
      <c r="P355" s="6">
        <f>'Приложение 9'!P484</f>
        <v>610</v>
      </c>
      <c r="Q355" s="216">
        <f>'Приложение 9'!Q484</f>
        <v>888.5</v>
      </c>
      <c r="R355" s="216"/>
      <c r="S355" s="216"/>
    </row>
    <row r="356" spans="1:19" ht="24" customHeight="1">
      <c r="A356" s="99"/>
      <c r="B356" s="98"/>
      <c r="C356" s="103"/>
      <c r="D356" s="101"/>
      <c r="E356" s="104"/>
      <c r="F356" s="104"/>
      <c r="G356" s="89"/>
      <c r="H356" s="3" t="s">
        <v>792</v>
      </c>
      <c r="I356" s="8">
        <v>663</v>
      </c>
      <c r="J356" s="7">
        <v>7</v>
      </c>
      <c r="K356" s="7">
        <v>2</v>
      </c>
      <c r="L356" s="95" t="s">
        <v>595</v>
      </c>
      <c r="M356" s="96" t="s">
        <v>563</v>
      </c>
      <c r="N356" s="96" t="s">
        <v>593</v>
      </c>
      <c r="O356" s="96" t="s">
        <v>620</v>
      </c>
      <c r="P356" s="6"/>
      <c r="Q356" s="216">
        <f>Q357</f>
        <v>122</v>
      </c>
      <c r="R356" s="216"/>
      <c r="S356" s="216"/>
    </row>
    <row r="357" spans="1:19" ht="24" customHeight="1">
      <c r="A357" s="99"/>
      <c r="B357" s="98"/>
      <c r="C357" s="103"/>
      <c r="D357" s="101"/>
      <c r="E357" s="104"/>
      <c r="F357" s="104"/>
      <c r="G357" s="89"/>
      <c r="H357" s="3" t="s">
        <v>334</v>
      </c>
      <c r="I357" s="8">
        <v>663</v>
      </c>
      <c r="J357" s="7">
        <v>7</v>
      </c>
      <c r="K357" s="7">
        <v>2</v>
      </c>
      <c r="L357" s="95" t="s">
        <v>595</v>
      </c>
      <c r="M357" s="96" t="s">
        <v>563</v>
      </c>
      <c r="N357" s="96" t="s">
        <v>593</v>
      </c>
      <c r="O357" s="96" t="s">
        <v>323</v>
      </c>
      <c r="P357" s="6"/>
      <c r="Q357" s="216">
        <f>Q358</f>
        <v>122</v>
      </c>
      <c r="R357" s="216"/>
      <c r="S357" s="216"/>
    </row>
    <row r="358" spans="1:19" ht="24" customHeight="1">
      <c r="A358" s="99"/>
      <c r="B358" s="98"/>
      <c r="C358" s="103"/>
      <c r="D358" s="101"/>
      <c r="E358" s="104"/>
      <c r="F358" s="104"/>
      <c r="G358" s="89"/>
      <c r="H358" s="3" t="s">
        <v>722</v>
      </c>
      <c r="I358" s="8">
        <v>663</v>
      </c>
      <c r="J358" s="7">
        <v>7</v>
      </c>
      <c r="K358" s="7">
        <v>2</v>
      </c>
      <c r="L358" s="95" t="s">
        <v>595</v>
      </c>
      <c r="M358" s="96" t="s">
        <v>563</v>
      </c>
      <c r="N358" s="96" t="s">
        <v>593</v>
      </c>
      <c r="O358" s="96" t="s">
        <v>323</v>
      </c>
      <c r="P358" s="6">
        <v>610</v>
      </c>
      <c r="Q358" s="216">
        <v>122</v>
      </c>
      <c r="R358" s="216"/>
      <c r="S358" s="216"/>
    </row>
    <row r="359" spans="1:19" ht="29.25" customHeight="1">
      <c r="A359" s="99"/>
      <c r="B359" s="98"/>
      <c r="C359" s="103"/>
      <c r="D359" s="101"/>
      <c r="E359" s="104"/>
      <c r="F359" s="104"/>
      <c r="G359" s="89"/>
      <c r="H359" s="3" t="s">
        <v>793</v>
      </c>
      <c r="I359" s="8">
        <v>663</v>
      </c>
      <c r="J359" s="7">
        <v>7</v>
      </c>
      <c r="K359" s="7">
        <v>2</v>
      </c>
      <c r="L359" s="95" t="s">
        <v>595</v>
      </c>
      <c r="M359" s="96" t="s">
        <v>563</v>
      </c>
      <c r="N359" s="96" t="s">
        <v>566</v>
      </c>
      <c r="O359" s="96" t="s">
        <v>620</v>
      </c>
      <c r="P359" s="6"/>
      <c r="Q359" s="216">
        <f>Q360+Q362+Q365</f>
        <v>27478</v>
      </c>
      <c r="R359" s="216"/>
      <c r="S359" s="216"/>
    </row>
    <row r="360" spans="1:19" ht="22.5" customHeight="1">
      <c r="A360" s="99"/>
      <c r="B360" s="98"/>
      <c r="C360" s="103"/>
      <c r="D360" s="101"/>
      <c r="E360" s="104"/>
      <c r="F360" s="104"/>
      <c r="G360" s="89"/>
      <c r="H360" s="3" t="s">
        <v>334</v>
      </c>
      <c r="I360" s="8">
        <v>663</v>
      </c>
      <c r="J360" s="7">
        <v>7</v>
      </c>
      <c r="K360" s="7">
        <v>2</v>
      </c>
      <c r="L360" s="95" t="s">
        <v>595</v>
      </c>
      <c r="M360" s="96" t="s">
        <v>563</v>
      </c>
      <c r="N360" s="96" t="s">
        <v>566</v>
      </c>
      <c r="O360" s="96" t="s">
        <v>323</v>
      </c>
      <c r="P360" s="6"/>
      <c r="Q360" s="216">
        <f>Q361</f>
        <v>1744.8</v>
      </c>
      <c r="R360" s="216"/>
      <c r="S360" s="216"/>
    </row>
    <row r="361" spans="1:19" ht="27.75" customHeight="1">
      <c r="A361" s="99"/>
      <c r="B361" s="98"/>
      <c r="C361" s="103"/>
      <c r="D361" s="101"/>
      <c r="E361" s="104"/>
      <c r="F361" s="104"/>
      <c r="G361" s="89"/>
      <c r="H361" s="3" t="s">
        <v>722</v>
      </c>
      <c r="I361" s="8">
        <v>663</v>
      </c>
      <c r="J361" s="7">
        <v>7</v>
      </c>
      <c r="K361" s="7">
        <v>2</v>
      </c>
      <c r="L361" s="95" t="s">
        <v>595</v>
      </c>
      <c r="M361" s="96" t="s">
        <v>563</v>
      </c>
      <c r="N361" s="96" t="s">
        <v>566</v>
      </c>
      <c r="O361" s="96" t="s">
        <v>323</v>
      </c>
      <c r="P361" s="10">
        <v>610</v>
      </c>
      <c r="Q361" s="214">
        <f>'Приложение 9'!Q490</f>
        <v>1744.8</v>
      </c>
      <c r="R361" s="214"/>
      <c r="S361" s="214"/>
    </row>
    <row r="362" spans="1:19" ht="36" customHeight="1">
      <c r="A362" s="99"/>
      <c r="B362" s="98"/>
      <c r="C362" s="103"/>
      <c r="D362" s="101"/>
      <c r="E362" s="113"/>
      <c r="F362" s="113"/>
      <c r="G362" s="89"/>
      <c r="H362" s="5" t="s">
        <v>294</v>
      </c>
      <c r="I362" s="8">
        <v>663</v>
      </c>
      <c r="J362" s="7">
        <v>7</v>
      </c>
      <c r="K362" s="7">
        <v>2</v>
      </c>
      <c r="L362" s="16">
        <v>6</v>
      </c>
      <c r="M362" s="96" t="s">
        <v>563</v>
      </c>
      <c r="N362" s="96" t="s">
        <v>566</v>
      </c>
      <c r="O362" s="96" t="s">
        <v>295</v>
      </c>
      <c r="P362" s="10"/>
      <c r="Q362" s="214">
        <f>Q363</f>
        <v>24830</v>
      </c>
      <c r="R362" s="214"/>
      <c r="S362" s="214"/>
    </row>
    <row r="363" spans="1:19" ht="24.75" customHeight="1">
      <c r="A363" s="99"/>
      <c r="B363" s="98"/>
      <c r="C363" s="103"/>
      <c r="D363" s="101"/>
      <c r="E363" s="113"/>
      <c r="F363" s="113"/>
      <c r="G363" s="89"/>
      <c r="H363" s="5" t="s">
        <v>722</v>
      </c>
      <c r="I363" s="8">
        <v>663</v>
      </c>
      <c r="J363" s="7">
        <v>7</v>
      </c>
      <c r="K363" s="7">
        <v>2</v>
      </c>
      <c r="L363" s="16">
        <v>6</v>
      </c>
      <c r="M363" s="96" t="s">
        <v>563</v>
      </c>
      <c r="N363" s="96" t="s">
        <v>566</v>
      </c>
      <c r="O363" s="96" t="s">
        <v>295</v>
      </c>
      <c r="P363" s="10">
        <v>610</v>
      </c>
      <c r="Q363" s="214">
        <f>'Приложение 9'!Q492</f>
        <v>24830</v>
      </c>
      <c r="R363" s="214"/>
      <c r="S363" s="214"/>
    </row>
    <row r="364" spans="1:19" ht="24.75" customHeight="1">
      <c r="A364" s="99"/>
      <c r="B364" s="98"/>
      <c r="C364" s="103"/>
      <c r="D364" s="101"/>
      <c r="E364" s="104"/>
      <c r="F364" s="104"/>
      <c r="G364" s="89"/>
      <c r="H364" s="5" t="str">
        <f>'Приложение 9'!H493</f>
        <v>Создание условий по организации дошкольного и общего образования</v>
      </c>
      <c r="I364" s="13">
        <f>'Приложение 9'!I493</f>
        <v>663</v>
      </c>
      <c r="J364" s="7">
        <f>'Приложение 9'!J493</f>
        <v>7</v>
      </c>
      <c r="K364" s="7">
        <f>'Приложение 9'!K493</f>
        <v>2</v>
      </c>
      <c r="L364" s="16">
        <f>'Приложение 9'!L493</f>
        <v>6</v>
      </c>
      <c r="M364" s="96" t="str">
        <f>'Приложение 9'!M493</f>
        <v>0</v>
      </c>
      <c r="N364" s="96" t="str">
        <f>'Приложение 9'!N493</f>
        <v>05</v>
      </c>
      <c r="O364" s="96" t="str">
        <f>'Приложение 9'!O493</f>
        <v>S1330</v>
      </c>
      <c r="P364" s="10" t="s">
        <v>621</v>
      </c>
      <c r="Q364" s="214">
        <f>Q365</f>
        <v>903.2</v>
      </c>
      <c r="R364" s="214"/>
      <c r="S364" s="214"/>
    </row>
    <row r="365" spans="1:19" ht="24.75" customHeight="1">
      <c r="A365" s="99"/>
      <c r="B365" s="98"/>
      <c r="C365" s="103"/>
      <c r="D365" s="101"/>
      <c r="E365" s="104"/>
      <c r="F365" s="104"/>
      <c r="G365" s="89"/>
      <c r="H365" s="5" t="str">
        <f>'Приложение 9'!H494</f>
        <v>Субсидии бюджетным учреждениям</v>
      </c>
      <c r="I365" s="13">
        <f>'Приложение 9'!I494</f>
        <v>663</v>
      </c>
      <c r="J365" s="7">
        <f>'Приложение 9'!J494</f>
        <v>7</v>
      </c>
      <c r="K365" s="7">
        <f>'Приложение 9'!K494</f>
        <v>2</v>
      </c>
      <c r="L365" s="16">
        <f>'Приложение 9'!L494</f>
        <v>6</v>
      </c>
      <c r="M365" s="96" t="str">
        <f>'Приложение 9'!M494</f>
        <v>0</v>
      </c>
      <c r="N365" s="96" t="str">
        <f>'Приложение 9'!N494</f>
        <v>05</v>
      </c>
      <c r="O365" s="96" t="str">
        <f>'Приложение 9'!O494</f>
        <v>S1330</v>
      </c>
      <c r="P365" s="10">
        <f>'Приложение 9'!P494</f>
        <v>610</v>
      </c>
      <c r="Q365" s="214">
        <f>'Приложение 9'!Q494</f>
        <v>903.2</v>
      </c>
      <c r="R365" s="214"/>
      <c r="S365" s="214"/>
    </row>
    <row r="366" spans="1:19" ht="24.75" customHeight="1">
      <c r="A366" s="99"/>
      <c r="B366" s="98"/>
      <c r="C366" s="103"/>
      <c r="D366" s="101"/>
      <c r="E366" s="104"/>
      <c r="F366" s="104"/>
      <c r="G366" s="89"/>
      <c r="H366" s="5" t="str">
        <f>'Приложение 9'!H495</f>
        <v>Основное мероприятие "Реализация регионального проекта "Современная школа"</v>
      </c>
      <c r="I366" s="13">
        <f>'Приложение 9'!I495</f>
        <v>663</v>
      </c>
      <c r="J366" s="7">
        <f>'Приложение 9'!J495</f>
        <v>7</v>
      </c>
      <c r="K366" s="7">
        <f>'Приложение 9'!K495</f>
        <v>2</v>
      </c>
      <c r="L366" s="16">
        <f>'Приложение 9'!L495</f>
        <v>6</v>
      </c>
      <c r="M366" s="96" t="str">
        <f>'Приложение 9'!M495</f>
        <v>0</v>
      </c>
      <c r="N366" s="96" t="str">
        <f>'Приложение 9'!N495</f>
        <v>E1</v>
      </c>
      <c r="O366" s="96" t="str">
        <f>'Приложение 9'!O495</f>
        <v>00000</v>
      </c>
      <c r="P366" s="10" t="s">
        <v>621</v>
      </c>
      <c r="Q366" s="214">
        <f>'Приложение 9'!Q495</f>
        <v>2234.4</v>
      </c>
      <c r="R366" s="214"/>
      <c r="S366" s="214"/>
    </row>
    <row r="367" spans="1:19" ht="48.75" customHeight="1">
      <c r="A367" s="99"/>
      <c r="B367" s="98"/>
      <c r="C367" s="103"/>
      <c r="D367" s="101"/>
      <c r="E367" s="104"/>
      <c r="F367" s="104"/>
      <c r="G367" s="89"/>
      <c r="H367" s="5" t="str">
        <f>'Приложение 9'!H496</f>
        <v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v>
      </c>
      <c r="I367" s="13">
        <f>'Приложение 9'!I496</f>
        <v>663</v>
      </c>
      <c r="J367" s="7">
        <f>'Приложение 9'!J496</f>
        <v>7</v>
      </c>
      <c r="K367" s="7">
        <f>'Приложение 9'!K496</f>
        <v>2</v>
      </c>
      <c r="L367" s="16">
        <f>'Приложение 9'!L496</f>
        <v>6</v>
      </c>
      <c r="M367" s="96" t="str">
        <f>'Приложение 9'!M496</f>
        <v>0</v>
      </c>
      <c r="N367" s="96" t="str">
        <f>'Приложение 9'!N496</f>
        <v>E1</v>
      </c>
      <c r="O367" s="96" t="str">
        <f>'Приложение 9'!O496</f>
        <v>51690</v>
      </c>
      <c r="P367" s="10" t="s">
        <v>621</v>
      </c>
      <c r="Q367" s="214">
        <f>'Приложение 9'!Q496</f>
        <v>2234.4</v>
      </c>
      <c r="R367" s="214"/>
      <c r="S367" s="214"/>
    </row>
    <row r="368" spans="1:19" ht="24.75" customHeight="1">
      <c r="A368" s="99"/>
      <c r="B368" s="98"/>
      <c r="C368" s="103"/>
      <c r="D368" s="101"/>
      <c r="E368" s="104"/>
      <c r="F368" s="104"/>
      <c r="G368" s="89"/>
      <c r="H368" s="5" t="str">
        <f>'Приложение 9'!H497</f>
        <v>Субсидии бюджетным учреждениям</v>
      </c>
      <c r="I368" s="13">
        <f>'Приложение 9'!I497</f>
        <v>663</v>
      </c>
      <c r="J368" s="7">
        <f>'Приложение 9'!J497</f>
        <v>7</v>
      </c>
      <c r="K368" s="7">
        <f>'Приложение 9'!K497</f>
        <v>2</v>
      </c>
      <c r="L368" s="16">
        <f>'Приложение 9'!L497</f>
        <v>6</v>
      </c>
      <c r="M368" s="96" t="str">
        <f>'Приложение 9'!M497</f>
        <v>0</v>
      </c>
      <c r="N368" s="96" t="str">
        <f>'Приложение 9'!N497</f>
        <v>E1</v>
      </c>
      <c r="O368" s="96" t="str">
        <f>'Приложение 9'!O497</f>
        <v>51690</v>
      </c>
      <c r="P368" s="10">
        <v>610</v>
      </c>
      <c r="Q368" s="214">
        <f>'Приложение 9'!Q497</f>
        <v>2234.4</v>
      </c>
      <c r="R368" s="214"/>
      <c r="S368" s="214"/>
    </row>
    <row r="369" spans="1:19" ht="37.5" customHeight="1">
      <c r="A369" s="99"/>
      <c r="B369" s="98"/>
      <c r="C369" s="103"/>
      <c r="D369" s="101"/>
      <c r="E369" s="104"/>
      <c r="F369" s="104"/>
      <c r="G369" s="89"/>
      <c r="H369" s="5" t="str">
        <f>'Приложение 9'!H498</f>
        <v>Муниципальная  программа "Формирование законопослушного поведения участников дорожного движения в Белозерском муниципальном районе на 2019-2021 годы"</v>
      </c>
      <c r="I369" s="13">
        <f>'Приложение 9'!I498</f>
        <v>663</v>
      </c>
      <c r="J369" s="7">
        <f>'Приложение 9'!J498</f>
        <v>7</v>
      </c>
      <c r="K369" s="7">
        <f>'Приложение 9'!K498</f>
        <v>2</v>
      </c>
      <c r="L369" s="16" t="str">
        <f>'Приложение 9'!L498</f>
        <v>09</v>
      </c>
      <c r="M369" s="96" t="str">
        <f>'Приложение 9'!M498</f>
        <v>0</v>
      </c>
      <c r="N369" s="96" t="str">
        <f>'Приложение 9'!N498</f>
        <v>00</v>
      </c>
      <c r="O369" s="96" t="str">
        <f>'Приложение 9'!O498</f>
        <v>00000</v>
      </c>
      <c r="P369" s="10" t="s">
        <v>621</v>
      </c>
      <c r="Q369" s="214">
        <f>'Приложение 9'!Q498</f>
        <v>30</v>
      </c>
      <c r="R369" s="214"/>
      <c r="S369" s="214"/>
    </row>
    <row r="370" spans="1:19" ht="36" customHeight="1">
      <c r="A370" s="99"/>
      <c r="B370" s="98"/>
      <c r="C370" s="103"/>
      <c r="D370" s="101"/>
      <c r="E370" s="104"/>
      <c r="F370" s="104"/>
      <c r="G370" s="89"/>
      <c r="H370" s="5" t="str">
        <f>'Приложение 9'!H499</f>
        <v>Основное мероприятие "Разработка проекта, приобретение, размещение социальной рекламы по обеспечению безопасности дорожного движения"</v>
      </c>
      <c r="I370" s="13">
        <f>'Приложение 9'!I499</f>
        <v>663</v>
      </c>
      <c r="J370" s="7">
        <f>'Приложение 9'!J499</f>
        <v>7</v>
      </c>
      <c r="K370" s="7">
        <f>'Приложение 9'!K499</f>
        <v>2</v>
      </c>
      <c r="L370" s="16" t="str">
        <f>'Приложение 9'!L499</f>
        <v>09</v>
      </c>
      <c r="M370" s="96" t="str">
        <f>'Приложение 9'!M499</f>
        <v>0</v>
      </c>
      <c r="N370" s="96" t="str">
        <f>'Приложение 9'!N499</f>
        <v>01</v>
      </c>
      <c r="O370" s="96" t="str">
        <f>'Приложение 9'!O499</f>
        <v>00000</v>
      </c>
      <c r="P370" s="10" t="s">
        <v>621</v>
      </c>
      <c r="Q370" s="214">
        <f>'Приложение 9'!Q499</f>
        <v>20</v>
      </c>
      <c r="R370" s="214"/>
      <c r="S370" s="214"/>
    </row>
    <row r="371" spans="1:19" ht="24.75" customHeight="1">
      <c r="A371" s="99"/>
      <c r="B371" s="98"/>
      <c r="C371" s="103"/>
      <c r="D371" s="101"/>
      <c r="E371" s="104"/>
      <c r="F371" s="104"/>
      <c r="G371" s="89"/>
      <c r="H371" s="5" t="str">
        <f>'Приложение 9'!H500</f>
        <v>Реализация мероприятий, направленных на обеспечение безопасности дорожного движения</v>
      </c>
      <c r="I371" s="13">
        <f>'Приложение 9'!I500</f>
        <v>663</v>
      </c>
      <c r="J371" s="7">
        <f>'Приложение 9'!J500</f>
        <v>7</v>
      </c>
      <c r="K371" s="7">
        <f>'Приложение 9'!K500</f>
        <v>2</v>
      </c>
      <c r="L371" s="16" t="str">
        <f>'Приложение 9'!L500</f>
        <v>09</v>
      </c>
      <c r="M371" s="96" t="str">
        <f>'Приложение 9'!M500</f>
        <v>0</v>
      </c>
      <c r="N371" s="96" t="str">
        <f>'Приложение 9'!N500</f>
        <v>01</v>
      </c>
      <c r="O371" s="96" t="str">
        <f>'Приложение 9'!O500</f>
        <v>20440</v>
      </c>
      <c r="P371" s="10" t="s">
        <v>621</v>
      </c>
      <c r="Q371" s="214">
        <f>'Приложение 9'!Q500</f>
        <v>20</v>
      </c>
      <c r="R371" s="214"/>
      <c r="S371" s="214"/>
    </row>
    <row r="372" spans="1:19" ht="24.75" customHeight="1">
      <c r="A372" s="99"/>
      <c r="B372" s="98"/>
      <c r="C372" s="103"/>
      <c r="D372" s="101"/>
      <c r="E372" s="104"/>
      <c r="F372" s="104"/>
      <c r="G372" s="89"/>
      <c r="H372" s="5" t="str">
        <f>'Приложение 9'!H501</f>
        <v>Субсидии бюджетным учреждениям</v>
      </c>
      <c r="I372" s="13">
        <f>'Приложение 9'!I501</f>
        <v>663</v>
      </c>
      <c r="J372" s="7">
        <f>'Приложение 9'!J501</f>
        <v>7</v>
      </c>
      <c r="K372" s="7">
        <f>'Приложение 9'!K501</f>
        <v>2</v>
      </c>
      <c r="L372" s="16" t="str">
        <f>'Приложение 9'!L501</f>
        <v>09</v>
      </c>
      <c r="M372" s="96" t="str">
        <f>'Приложение 9'!M501</f>
        <v>0</v>
      </c>
      <c r="N372" s="96" t="str">
        <f>'Приложение 9'!N501</f>
        <v>01</v>
      </c>
      <c r="O372" s="96" t="str">
        <f>'Приложение 9'!O501</f>
        <v>20440</v>
      </c>
      <c r="P372" s="10">
        <f>'Приложение 9'!P501</f>
        <v>610</v>
      </c>
      <c r="Q372" s="214">
        <f>'Приложение 9'!Q501</f>
        <v>20</v>
      </c>
      <c r="R372" s="214"/>
      <c r="S372" s="214"/>
    </row>
    <row r="373" spans="1:19" ht="37.5" customHeight="1">
      <c r="A373" s="99"/>
      <c r="B373" s="98"/>
      <c r="C373" s="103"/>
      <c r="D373" s="101"/>
      <c r="E373" s="104"/>
      <c r="F373" s="104"/>
      <c r="G373" s="89"/>
      <c r="H373" s="5" t="str">
        <f>'Приложение 9'!H502</f>
        <v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v>
      </c>
      <c r="I373" s="13">
        <f>'Приложение 9'!I502</f>
        <v>663</v>
      </c>
      <c r="J373" s="7">
        <f>'Приложение 9'!J502</f>
        <v>7</v>
      </c>
      <c r="K373" s="7">
        <f>'Приложение 9'!K502</f>
        <v>2</v>
      </c>
      <c r="L373" s="16" t="str">
        <f>'Приложение 9'!L502</f>
        <v>09</v>
      </c>
      <c r="M373" s="96" t="str">
        <f>'Приложение 9'!M502</f>
        <v>0</v>
      </c>
      <c r="N373" s="96" t="str">
        <f>'Приложение 9'!N502</f>
        <v>02</v>
      </c>
      <c r="O373" s="96" t="str">
        <f>'Приложение 9'!O502</f>
        <v>00000</v>
      </c>
      <c r="P373" s="10" t="s">
        <v>621</v>
      </c>
      <c r="Q373" s="214">
        <f>'Приложение 9'!Q502</f>
        <v>10</v>
      </c>
      <c r="R373" s="214"/>
      <c r="S373" s="214"/>
    </row>
    <row r="374" spans="1:19" ht="24.75" customHeight="1">
      <c r="A374" s="99"/>
      <c r="B374" s="98"/>
      <c r="C374" s="103"/>
      <c r="D374" s="101"/>
      <c r="E374" s="104"/>
      <c r="F374" s="104"/>
      <c r="G374" s="89"/>
      <c r="H374" s="5" t="str">
        <f>'Приложение 9'!H503</f>
        <v>Реализация мероприятий, направленных на обеспечение безопасности дорожного движения</v>
      </c>
      <c r="I374" s="13">
        <f>'Приложение 9'!I503</f>
        <v>663</v>
      </c>
      <c r="J374" s="7">
        <f>'Приложение 9'!J503</f>
        <v>7</v>
      </c>
      <c r="K374" s="7">
        <f>'Приложение 9'!K503</f>
        <v>2</v>
      </c>
      <c r="L374" s="16" t="str">
        <f>'Приложение 9'!L503</f>
        <v>09</v>
      </c>
      <c r="M374" s="96" t="str">
        <f>'Приложение 9'!M503</f>
        <v>0</v>
      </c>
      <c r="N374" s="96" t="str">
        <f>'Приложение 9'!N503</f>
        <v>02</v>
      </c>
      <c r="O374" s="96" t="str">
        <f>'Приложение 9'!O503</f>
        <v>20440</v>
      </c>
      <c r="P374" s="10" t="s">
        <v>621</v>
      </c>
      <c r="Q374" s="214">
        <f>'Приложение 9'!Q503</f>
        <v>10</v>
      </c>
      <c r="R374" s="214"/>
      <c r="S374" s="214"/>
    </row>
    <row r="375" spans="1:19" ht="24.75" customHeight="1">
      <c r="A375" s="99"/>
      <c r="B375" s="98"/>
      <c r="C375" s="103"/>
      <c r="D375" s="101"/>
      <c r="E375" s="104"/>
      <c r="F375" s="104"/>
      <c r="G375" s="89"/>
      <c r="H375" s="5" t="str">
        <f>'Приложение 9'!H504</f>
        <v>Субсидии бюджетным учреждениям</v>
      </c>
      <c r="I375" s="13">
        <f>'Приложение 9'!I504</f>
        <v>663</v>
      </c>
      <c r="J375" s="7">
        <f>'Приложение 9'!J504</f>
        <v>7</v>
      </c>
      <c r="K375" s="7">
        <f>'Приложение 9'!K504</f>
        <v>2</v>
      </c>
      <c r="L375" s="16" t="str">
        <f>'Приложение 9'!L504</f>
        <v>09</v>
      </c>
      <c r="M375" s="96" t="str">
        <f>'Приложение 9'!M504</f>
        <v>0</v>
      </c>
      <c r="N375" s="96" t="str">
        <f>'Приложение 9'!N504</f>
        <v>02</v>
      </c>
      <c r="O375" s="96" t="str">
        <f>'Приложение 9'!O504</f>
        <v>20440</v>
      </c>
      <c r="P375" s="10">
        <f>'Приложение 9'!P504</f>
        <v>610</v>
      </c>
      <c r="Q375" s="214">
        <f>'Приложение 9'!Q504</f>
        <v>10</v>
      </c>
      <c r="R375" s="214"/>
      <c r="S375" s="214"/>
    </row>
    <row r="376" spans="1:19" ht="30.75" customHeight="1">
      <c r="A376" s="99"/>
      <c r="B376" s="98"/>
      <c r="C376" s="103"/>
      <c r="D376" s="101"/>
      <c r="E376" s="104"/>
      <c r="F376" s="104"/>
      <c r="G376" s="89"/>
      <c r="H376" s="5" t="s">
        <v>687</v>
      </c>
      <c r="I376" s="10">
        <v>663</v>
      </c>
      <c r="J376" s="7">
        <v>7</v>
      </c>
      <c r="K376" s="7">
        <v>2</v>
      </c>
      <c r="L376" s="95" t="s">
        <v>688</v>
      </c>
      <c r="M376" s="96" t="s">
        <v>563</v>
      </c>
      <c r="N376" s="96" t="s">
        <v>583</v>
      </c>
      <c r="O376" s="96" t="s">
        <v>620</v>
      </c>
      <c r="P376" s="10"/>
      <c r="Q376" s="214">
        <f>Q377+Q380+Q383+Q386</f>
        <v>239</v>
      </c>
      <c r="R376" s="214">
        <f>R377+R380+R383+R386</f>
        <v>239</v>
      </c>
      <c r="S376" s="214">
        <f>S377+S380+S383+S386</f>
        <v>239</v>
      </c>
    </row>
    <row r="377" spans="1:19" ht="34.5" customHeight="1">
      <c r="A377" s="99"/>
      <c r="B377" s="98"/>
      <c r="C377" s="103"/>
      <c r="D377" s="101"/>
      <c r="E377" s="104"/>
      <c r="F377" s="104"/>
      <c r="G377" s="89"/>
      <c r="H377" s="18" t="s">
        <v>324</v>
      </c>
      <c r="I377" s="10">
        <v>663</v>
      </c>
      <c r="J377" s="7">
        <v>7</v>
      </c>
      <c r="K377" s="7">
        <v>2</v>
      </c>
      <c r="L377" s="95" t="s">
        <v>688</v>
      </c>
      <c r="M377" s="96" t="s">
        <v>563</v>
      </c>
      <c r="N377" s="96" t="s">
        <v>592</v>
      </c>
      <c r="O377" s="96" t="s">
        <v>620</v>
      </c>
      <c r="P377" s="10"/>
      <c r="Q377" s="214">
        <f aca="true" t="shared" si="25" ref="Q377:S378">Q378</f>
        <v>9</v>
      </c>
      <c r="R377" s="214">
        <f t="shared" si="25"/>
        <v>9</v>
      </c>
      <c r="S377" s="214">
        <f t="shared" si="25"/>
        <v>9</v>
      </c>
    </row>
    <row r="378" spans="1:19" ht="24.75" customHeight="1">
      <c r="A378" s="99"/>
      <c r="B378" s="98"/>
      <c r="C378" s="103"/>
      <c r="D378" s="101"/>
      <c r="E378" s="104"/>
      <c r="F378" s="104"/>
      <c r="G378" s="89"/>
      <c r="H378" s="18" t="s">
        <v>325</v>
      </c>
      <c r="I378" s="10">
        <v>663</v>
      </c>
      <c r="J378" s="7">
        <v>7</v>
      </c>
      <c r="K378" s="7">
        <v>2</v>
      </c>
      <c r="L378" s="95" t="s">
        <v>688</v>
      </c>
      <c r="M378" s="96" t="s">
        <v>563</v>
      </c>
      <c r="N378" s="96" t="s">
        <v>592</v>
      </c>
      <c r="O378" s="96" t="s">
        <v>323</v>
      </c>
      <c r="P378" s="10"/>
      <c r="Q378" s="214">
        <f t="shared" si="25"/>
        <v>9</v>
      </c>
      <c r="R378" s="214">
        <f t="shared" si="25"/>
        <v>9</v>
      </c>
      <c r="S378" s="214">
        <f t="shared" si="25"/>
        <v>9</v>
      </c>
    </row>
    <row r="379" spans="1:19" ht="24.75" customHeight="1">
      <c r="A379" s="99"/>
      <c r="B379" s="98"/>
      <c r="C379" s="103"/>
      <c r="D379" s="101"/>
      <c r="E379" s="104"/>
      <c r="F379" s="104"/>
      <c r="G379" s="89"/>
      <c r="H379" s="18" t="s">
        <v>722</v>
      </c>
      <c r="I379" s="10">
        <v>663</v>
      </c>
      <c r="J379" s="7">
        <v>7</v>
      </c>
      <c r="K379" s="7">
        <v>2</v>
      </c>
      <c r="L379" s="95" t="s">
        <v>688</v>
      </c>
      <c r="M379" s="96" t="s">
        <v>563</v>
      </c>
      <c r="N379" s="96" t="s">
        <v>592</v>
      </c>
      <c r="O379" s="96" t="s">
        <v>323</v>
      </c>
      <c r="P379" s="10">
        <v>610</v>
      </c>
      <c r="Q379" s="214">
        <v>9</v>
      </c>
      <c r="R379" s="214">
        <v>9</v>
      </c>
      <c r="S379" s="214">
        <v>9</v>
      </c>
    </row>
    <row r="380" spans="1:19" ht="30" customHeight="1">
      <c r="A380" s="99"/>
      <c r="B380" s="98"/>
      <c r="C380" s="103"/>
      <c r="D380" s="101"/>
      <c r="E380" s="104"/>
      <c r="F380" s="104"/>
      <c r="G380" s="89"/>
      <c r="H380" s="5" t="s">
        <v>326</v>
      </c>
      <c r="I380" s="10">
        <v>663</v>
      </c>
      <c r="J380" s="7">
        <v>7</v>
      </c>
      <c r="K380" s="7">
        <v>2</v>
      </c>
      <c r="L380" s="95" t="s">
        <v>688</v>
      </c>
      <c r="M380" s="96" t="s">
        <v>563</v>
      </c>
      <c r="N380" s="96" t="s">
        <v>593</v>
      </c>
      <c r="O380" s="96" t="s">
        <v>620</v>
      </c>
      <c r="P380" s="10"/>
      <c r="Q380" s="214">
        <f aca="true" t="shared" si="26" ref="Q380:S381">Q381</f>
        <v>25</v>
      </c>
      <c r="R380" s="214">
        <f t="shared" si="26"/>
        <v>25</v>
      </c>
      <c r="S380" s="214">
        <f t="shared" si="26"/>
        <v>25</v>
      </c>
    </row>
    <row r="381" spans="1:19" ht="30" customHeight="1">
      <c r="A381" s="99"/>
      <c r="B381" s="98"/>
      <c r="C381" s="103"/>
      <c r="D381" s="101"/>
      <c r="E381" s="104"/>
      <c r="F381" s="104"/>
      <c r="G381" s="89"/>
      <c r="H381" s="5" t="s">
        <v>325</v>
      </c>
      <c r="I381" s="10">
        <v>663</v>
      </c>
      <c r="J381" s="7">
        <v>7</v>
      </c>
      <c r="K381" s="7">
        <v>2</v>
      </c>
      <c r="L381" s="95" t="s">
        <v>688</v>
      </c>
      <c r="M381" s="96" t="s">
        <v>563</v>
      </c>
      <c r="N381" s="96" t="s">
        <v>593</v>
      </c>
      <c r="O381" s="96" t="s">
        <v>323</v>
      </c>
      <c r="P381" s="10"/>
      <c r="Q381" s="214">
        <f t="shared" si="26"/>
        <v>25</v>
      </c>
      <c r="R381" s="214">
        <f t="shared" si="26"/>
        <v>25</v>
      </c>
      <c r="S381" s="214">
        <f t="shared" si="26"/>
        <v>25</v>
      </c>
    </row>
    <row r="382" spans="1:19" ht="30" customHeight="1">
      <c r="A382" s="99"/>
      <c r="B382" s="98"/>
      <c r="C382" s="103"/>
      <c r="D382" s="101"/>
      <c r="E382" s="104"/>
      <c r="F382" s="104"/>
      <c r="G382" s="89"/>
      <c r="H382" s="5" t="s">
        <v>722</v>
      </c>
      <c r="I382" s="10">
        <v>663</v>
      </c>
      <c r="J382" s="7">
        <v>7</v>
      </c>
      <c r="K382" s="7">
        <v>2</v>
      </c>
      <c r="L382" s="95" t="s">
        <v>688</v>
      </c>
      <c r="M382" s="96" t="s">
        <v>563</v>
      </c>
      <c r="N382" s="96" t="s">
        <v>593</v>
      </c>
      <c r="O382" s="96" t="s">
        <v>323</v>
      </c>
      <c r="P382" s="10">
        <v>610</v>
      </c>
      <c r="Q382" s="214">
        <v>25</v>
      </c>
      <c r="R382" s="214">
        <v>25</v>
      </c>
      <c r="S382" s="214">
        <v>25</v>
      </c>
    </row>
    <row r="383" spans="1:19" ht="41.25" customHeight="1">
      <c r="A383" s="99"/>
      <c r="B383" s="98"/>
      <c r="C383" s="103"/>
      <c r="D383" s="101"/>
      <c r="E383" s="104"/>
      <c r="F383" s="104"/>
      <c r="G383" s="89"/>
      <c r="H383" s="5" t="s">
        <v>686</v>
      </c>
      <c r="I383" s="10">
        <v>663</v>
      </c>
      <c r="J383" s="7">
        <v>7</v>
      </c>
      <c r="K383" s="7">
        <v>2</v>
      </c>
      <c r="L383" s="95" t="s">
        <v>688</v>
      </c>
      <c r="M383" s="96" t="s">
        <v>563</v>
      </c>
      <c r="N383" s="96" t="s">
        <v>588</v>
      </c>
      <c r="O383" s="96" t="s">
        <v>620</v>
      </c>
      <c r="P383" s="10"/>
      <c r="Q383" s="214">
        <f aca="true" t="shared" si="27" ref="Q383:S384">Q384</f>
        <v>80</v>
      </c>
      <c r="R383" s="214">
        <f t="shared" si="27"/>
        <v>80</v>
      </c>
      <c r="S383" s="214">
        <f t="shared" si="27"/>
        <v>80</v>
      </c>
    </row>
    <row r="384" spans="1:19" ht="28.5" customHeight="1">
      <c r="A384" s="99"/>
      <c r="B384" s="98"/>
      <c r="C384" s="103"/>
      <c r="D384" s="101"/>
      <c r="E384" s="104"/>
      <c r="F384" s="104"/>
      <c r="G384" s="89"/>
      <c r="H384" s="5" t="s">
        <v>325</v>
      </c>
      <c r="I384" s="10">
        <v>663</v>
      </c>
      <c r="J384" s="7">
        <v>7</v>
      </c>
      <c r="K384" s="7">
        <v>2</v>
      </c>
      <c r="L384" s="95" t="s">
        <v>688</v>
      </c>
      <c r="M384" s="96" t="s">
        <v>563</v>
      </c>
      <c r="N384" s="96" t="s">
        <v>588</v>
      </c>
      <c r="O384" s="96" t="s">
        <v>323</v>
      </c>
      <c r="P384" s="10"/>
      <c r="Q384" s="214">
        <f t="shared" si="27"/>
        <v>80</v>
      </c>
      <c r="R384" s="214">
        <f t="shared" si="27"/>
        <v>80</v>
      </c>
      <c r="S384" s="214">
        <f t="shared" si="27"/>
        <v>80</v>
      </c>
    </row>
    <row r="385" spans="1:19" ht="30" customHeight="1">
      <c r="A385" s="99"/>
      <c r="B385" s="98"/>
      <c r="C385" s="103"/>
      <c r="D385" s="101"/>
      <c r="E385" s="104"/>
      <c r="F385" s="104"/>
      <c r="G385" s="89"/>
      <c r="H385" s="5" t="s">
        <v>722</v>
      </c>
      <c r="I385" s="10">
        <v>663</v>
      </c>
      <c r="J385" s="7">
        <v>7</v>
      </c>
      <c r="K385" s="7">
        <v>2</v>
      </c>
      <c r="L385" s="95" t="s">
        <v>688</v>
      </c>
      <c r="M385" s="96" t="s">
        <v>563</v>
      </c>
      <c r="N385" s="96" t="s">
        <v>588</v>
      </c>
      <c r="O385" s="96" t="s">
        <v>323</v>
      </c>
      <c r="P385" s="10">
        <v>610</v>
      </c>
      <c r="Q385" s="214">
        <v>80</v>
      </c>
      <c r="R385" s="214">
        <v>80</v>
      </c>
      <c r="S385" s="214">
        <v>80</v>
      </c>
    </row>
    <row r="386" spans="1:19" ht="41.25" customHeight="1">
      <c r="A386" s="99"/>
      <c r="B386" s="98"/>
      <c r="C386" s="103"/>
      <c r="D386" s="101"/>
      <c r="E386" s="104"/>
      <c r="F386" s="104"/>
      <c r="G386" s="89"/>
      <c r="H386" s="117" t="s">
        <v>253</v>
      </c>
      <c r="I386" s="10">
        <v>663</v>
      </c>
      <c r="J386" s="7">
        <v>7</v>
      </c>
      <c r="K386" s="7">
        <v>2</v>
      </c>
      <c r="L386" s="95" t="s">
        <v>688</v>
      </c>
      <c r="M386" s="96" t="s">
        <v>563</v>
      </c>
      <c r="N386" s="96" t="s">
        <v>566</v>
      </c>
      <c r="O386" s="96" t="s">
        <v>620</v>
      </c>
      <c r="P386" s="10"/>
      <c r="Q386" s="214">
        <f aca="true" t="shared" si="28" ref="Q386:S387">Q387</f>
        <v>125</v>
      </c>
      <c r="R386" s="214">
        <f t="shared" si="28"/>
        <v>125</v>
      </c>
      <c r="S386" s="214">
        <f t="shared" si="28"/>
        <v>125</v>
      </c>
    </row>
    <row r="387" spans="1:19" ht="25.5" customHeight="1">
      <c r="A387" s="99"/>
      <c r="B387" s="98"/>
      <c r="C387" s="103"/>
      <c r="D387" s="101"/>
      <c r="E387" s="104"/>
      <c r="F387" s="104"/>
      <c r="G387" s="89"/>
      <c r="H387" s="5" t="s">
        <v>325</v>
      </c>
      <c r="I387" s="10">
        <v>663</v>
      </c>
      <c r="J387" s="7">
        <v>7</v>
      </c>
      <c r="K387" s="7">
        <v>2</v>
      </c>
      <c r="L387" s="95" t="s">
        <v>688</v>
      </c>
      <c r="M387" s="96" t="s">
        <v>563</v>
      </c>
      <c r="N387" s="96" t="s">
        <v>566</v>
      </c>
      <c r="O387" s="96" t="s">
        <v>323</v>
      </c>
      <c r="P387" s="10"/>
      <c r="Q387" s="214">
        <f t="shared" si="28"/>
        <v>125</v>
      </c>
      <c r="R387" s="214">
        <f t="shared" si="28"/>
        <v>125</v>
      </c>
      <c r="S387" s="214">
        <f t="shared" si="28"/>
        <v>125</v>
      </c>
    </row>
    <row r="388" spans="1:19" ht="27" customHeight="1">
      <c r="A388" s="99"/>
      <c r="B388" s="98"/>
      <c r="C388" s="103"/>
      <c r="D388" s="101"/>
      <c r="E388" s="104"/>
      <c r="F388" s="104"/>
      <c r="G388" s="89"/>
      <c r="H388" s="5" t="s">
        <v>722</v>
      </c>
      <c r="I388" s="10">
        <v>663</v>
      </c>
      <c r="J388" s="7">
        <v>7</v>
      </c>
      <c r="K388" s="7">
        <v>2</v>
      </c>
      <c r="L388" s="95" t="s">
        <v>688</v>
      </c>
      <c r="M388" s="96" t="s">
        <v>563</v>
      </c>
      <c r="N388" s="96" t="s">
        <v>566</v>
      </c>
      <c r="O388" s="96" t="s">
        <v>323</v>
      </c>
      <c r="P388" s="10">
        <v>610</v>
      </c>
      <c r="Q388" s="214">
        <v>125</v>
      </c>
      <c r="R388" s="214">
        <v>125</v>
      </c>
      <c r="S388" s="214">
        <v>125</v>
      </c>
    </row>
    <row r="389" spans="1:19" s="179" customFormat="1" ht="25.5" customHeight="1">
      <c r="A389" s="142"/>
      <c r="B389" s="143"/>
      <c r="C389" s="153"/>
      <c r="D389" s="150"/>
      <c r="E389" s="154"/>
      <c r="F389" s="154"/>
      <c r="G389" s="136"/>
      <c r="H389" s="149" t="s">
        <v>347</v>
      </c>
      <c r="I389" s="152">
        <v>663</v>
      </c>
      <c r="J389" s="148">
        <v>7</v>
      </c>
      <c r="K389" s="148">
        <v>3</v>
      </c>
      <c r="L389" s="139"/>
      <c r="M389" s="141"/>
      <c r="N389" s="141"/>
      <c r="O389" s="141"/>
      <c r="P389" s="138"/>
      <c r="Q389" s="213">
        <f>Q390+Q401</f>
        <v>12001.8</v>
      </c>
      <c r="R389" s="213" t="e">
        <f>R390+#REF!+R401</f>
        <v>#REF!</v>
      </c>
      <c r="S389" s="213" t="e">
        <f>S390+#REF!+S401</f>
        <v>#REF!</v>
      </c>
    </row>
    <row r="390" spans="1:19" ht="30.75" customHeight="1">
      <c r="A390" s="97"/>
      <c r="B390" s="98"/>
      <c r="C390" s="103"/>
      <c r="D390" s="101"/>
      <c r="E390" s="113"/>
      <c r="F390" s="113"/>
      <c r="G390" s="89"/>
      <c r="H390" s="5" t="s">
        <v>271</v>
      </c>
      <c r="I390" s="8">
        <v>663</v>
      </c>
      <c r="J390" s="7">
        <v>7</v>
      </c>
      <c r="K390" s="7">
        <v>3</v>
      </c>
      <c r="L390" s="16">
        <v>6</v>
      </c>
      <c r="M390" s="96" t="s">
        <v>563</v>
      </c>
      <c r="N390" s="96" t="s">
        <v>583</v>
      </c>
      <c r="O390" s="96" t="s">
        <v>620</v>
      </c>
      <c r="P390" s="10"/>
      <c r="Q390" s="214">
        <f>Q391+Q398</f>
        <v>4805.7</v>
      </c>
      <c r="R390" s="214"/>
      <c r="S390" s="214"/>
    </row>
    <row r="391" spans="1:19" ht="25.5" customHeight="1">
      <c r="A391" s="99"/>
      <c r="B391" s="98"/>
      <c r="C391" s="103"/>
      <c r="D391" s="101"/>
      <c r="E391" s="113"/>
      <c r="F391" s="113"/>
      <c r="G391" s="89"/>
      <c r="H391" s="5" t="s">
        <v>792</v>
      </c>
      <c r="I391" s="8">
        <v>663</v>
      </c>
      <c r="J391" s="7">
        <v>7</v>
      </c>
      <c r="K391" s="7">
        <v>3</v>
      </c>
      <c r="L391" s="16">
        <v>6</v>
      </c>
      <c r="M391" s="96" t="s">
        <v>563</v>
      </c>
      <c r="N391" s="96" t="s">
        <v>593</v>
      </c>
      <c r="O391" s="96" t="s">
        <v>620</v>
      </c>
      <c r="P391" s="10"/>
      <c r="Q391" s="214">
        <f>Q392+Q394+Q396</f>
        <v>4076.8999999999996</v>
      </c>
      <c r="R391" s="214"/>
      <c r="S391" s="214"/>
    </row>
    <row r="392" spans="1:19" ht="25.5" customHeight="1">
      <c r="A392" s="99"/>
      <c r="B392" s="98"/>
      <c r="C392" s="103"/>
      <c r="D392" s="101"/>
      <c r="E392" s="113"/>
      <c r="F392" s="113"/>
      <c r="G392" s="89"/>
      <c r="H392" s="5" t="s">
        <v>335</v>
      </c>
      <c r="I392" s="8">
        <v>663</v>
      </c>
      <c r="J392" s="7">
        <v>7</v>
      </c>
      <c r="K392" s="7">
        <v>3</v>
      </c>
      <c r="L392" s="16">
        <v>6</v>
      </c>
      <c r="M392" s="96" t="s">
        <v>563</v>
      </c>
      <c r="N392" s="96" t="s">
        <v>593</v>
      </c>
      <c r="O392" s="96" t="s">
        <v>270</v>
      </c>
      <c r="P392" s="10"/>
      <c r="Q392" s="214">
        <f>Q393</f>
        <v>2910.1</v>
      </c>
      <c r="R392" s="214"/>
      <c r="S392" s="214"/>
    </row>
    <row r="393" spans="1:19" ht="25.5" customHeight="1">
      <c r="A393" s="99"/>
      <c r="B393" s="98"/>
      <c r="C393" s="103"/>
      <c r="D393" s="101"/>
      <c r="E393" s="113"/>
      <c r="F393" s="113"/>
      <c r="G393" s="89"/>
      <c r="H393" s="5" t="s">
        <v>722</v>
      </c>
      <c r="I393" s="8">
        <v>663</v>
      </c>
      <c r="J393" s="7">
        <v>7</v>
      </c>
      <c r="K393" s="7">
        <v>3</v>
      </c>
      <c r="L393" s="16">
        <v>6</v>
      </c>
      <c r="M393" s="96" t="s">
        <v>563</v>
      </c>
      <c r="N393" s="96" t="s">
        <v>593</v>
      </c>
      <c r="O393" s="96" t="s">
        <v>270</v>
      </c>
      <c r="P393" s="10">
        <v>610</v>
      </c>
      <c r="Q393" s="214">
        <f>'Приложение 9'!Q528</f>
        <v>2910.1</v>
      </c>
      <c r="R393" s="214"/>
      <c r="S393" s="214"/>
    </row>
    <row r="394" spans="1:19" ht="34.5" customHeight="1">
      <c r="A394" s="99"/>
      <c r="B394" s="98"/>
      <c r="C394" s="103"/>
      <c r="D394" s="107"/>
      <c r="E394" s="104"/>
      <c r="F394" s="104"/>
      <c r="G394" s="89"/>
      <c r="H394" s="257" t="str">
        <f>'Приложение 9'!H529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94" s="13">
        <f>'Приложение 9'!I529</f>
        <v>663</v>
      </c>
      <c r="J394" s="7">
        <f>'Приложение 9'!J529</f>
        <v>7</v>
      </c>
      <c r="K394" s="7">
        <f>'Приложение 9'!K529</f>
        <v>3</v>
      </c>
      <c r="L394" s="16">
        <f>'Приложение 9'!L529</f>
        <v>6</v>
      </c>
      <c r="M394" s="96" t="str">
        <f>'Приложение 9'!M529</f>
        <v>0</v>
      </c>
      <c r="N394" s="96" t="str">
        <f>'Приложение 9'!N529</f>
        <v>03</v>
      </c>
      <c r="O394" s="96" t="str">
        <f>'Приложение 9'!O529</f>
        <v>70030</v>
      </c>
      <c r="P394" s="10" t="s">
        <v>621</v>
      </c>
      <c r="Q394" s="214">
        <f>'Приложение 9'!Q529</f>
        <v>1093.1</v>
      </c>
      <c r="R394" s="216"/>
      <c r="S394" s="216"/>
    </row>
    <row r="395" spans="1:19" ht="25.5" customHeight="1">
      <c r="A395" s="99"/>
      <c r="B395" s="98"/>
      <c r="C395" s="103"/>
      <c r="D395" s="107"/>
      <c r="E395" s="104"/>
      <c r="F395" s="104"/>
      <c r="G395" s="89"/>
      <c r="H395" s="257" t="str">
        <f>'Приложение 9'!H530</f>
        <v>Субсидии бюджетным учреждениям</v>
      </c>
      <c r="I395" s="13">
        <f>'Приложение 9'!I530</f>
        <v>663</v>
      </c>
      <c r="J395" s="7">
        <f>'Приложение 9'!J530</f>
        <v>7</v>
      </c>
      <c r="K395" s="7">
        <f>'Приложение 9'!K530</f>
        <v>3</v>
      </c>
      <c r="L395" s="16">
        <f>'Приложение 9'!L530</f>
        <v>6</v>
      </c>
      <c r="M395" s="96" t="str">
        <f>'Приложение 9'!M530</f>
        <v>0</v>
      </c>
      <c r="N395" s="96" t="str">
        <f>'Приложение 9'!N530</f>
        <v>03</v>
      </c>
      <c r="O395" s="96" t="str">
        <f>'Приложение 9'!O530</f>
        <v>70030</v>
      </c>
      <c r="P395" s="10">
        <f>'Приложение 9'!P530</f>
        <v>610</v>
      </c>
      <c r="Q395" s="214">
        <f>'Приложение 9'!Q530</f>
        <v>1093.1</v>
      </c>
      <c r="R395" s="216"/>
      <c r="S395" s="216"/>
    </row>
    <row r="396" spans="1:19" ht="25.5" customHeight="1">
      <c r="A396" s="99"/>
      <c r="B396" s="98"/>
      <c r="C396" s="97"/>
      <c r="D396" s="107"/>
      <c r="E396" s="104"/>
      <c r="F396" s="104"/>
      <c r="G396" s="89"/>
      <c r="H396" s="257" t="str">
        <f>'Приложение 9'!H531</f>
        <v>Создание в муниципальных общеобразовательных организациях кружков по развитию предпринимательства</v>
      </c>
      <c r="I396" s="13">
        <f>'Приложение 9'!I531</f>
        <v>663</v>
      </c>
      <c r="J396" s="7">
        <f>'Приложение 9'!J531</f>
        <v>7</v>
      </c>
      <c r="K396" s="7">
        <f>'Приложение 9'!K531</f>
        <v>3</v>
      </c>
      <c r="L396" s="16">
        <f>'Приложение 9'!L531</f>
        <v>6</v>
      </c>
      <c r="M396" s="96" t="str">
        <f>'Приложение 9'!M531</f>
        <v>0</v>
      </c>
      <c r="N396" s="96" t="str">
        <f>'Приложение 9'!N531</f>
        <v>03</v>
      </c>
      <c r="O396" s="96" t="str">
        <f>'Приложение 9'!O531</f>
        <v>S1420</v>
      </c>
      <c r="P396" s="10" t="s">
        <v>621</v>
      </c>
      <c r="Q396" s="214">
        <f>Q397</f>
        <v>73.7</v>
      </c>
      <c r="R396" s="216"/>
      <c r="S396" s="216"/>
    </row>
    <row r="397" spans="1:19" ht="25.5" customHeight="1">
      <c r="A397" s="99"/>
      <c r="B397" s="98"/>
      <c r="C397" s="97"/>
      <c r="D397" s="107"/>
      <c r="E397" s="104"/>
      <c r="F397" s="104"/>
      <c r="G397" s="89"/>
      <c r="H397" s="257" t="str">
        <f>'Приложение 9'!H532</f>
        <v>Субсидии бюджетным учреждениям</v>
      </c>
      <c r="I397" s="13">
        <f>'Приложение 9'!I532</f>
        <v>663</v>
      </c>
      <c r="J397" s="7">
        <f>'Приложение 9'!J532</f>
        <v>7</v>
      </c>
      <c r="K397" s="7">
        <f>'Приложение 9'!K532</f>
        <v>3</v>
      </c>
      <c r="L397" s="16">
        <f>'Приложение 9'!L532</f>
        <v>6</v>
      </c>
      <c r="M397" s="96" t="str">
        <f>'Приложение 9'!M532</f>
        <v>0</v>
      </c>
      <c r="N397" s="96" t="str">
        <f>'Приложение 9'!N532</f>
        <v>03</v>
      </c>
      <c r="O397" s="96" t="str">
        <f>'Приложение 9'!O532</f>
        <v>S1420</v>
      </c>
      <c r="P397" s="10">
        <f>'Приложение 9'!P532</f>
        <v>610</v>
      </c>
      <c r="Q397" s="214">
        <f>'Приложение 9'!Q532</f>
        <v>73.7</v>
      </c>
      <c r="R397" s="216"/>
      <c r="S397" s="216"/>
    </row>
    <row r="398" spans="1:19" ht="25.5" customHeight="1">
      <c r="A398" s="99"/>
      <c r="B398" s="98"/>
      <c r="C398" s="97"/>
      <c r="D398" s="107"/>
      <c r="E398" s="104"/>
      <c r="F398" s="104"/>
      <c r="G398" s="89"/>
      <c r="H398" s="257" t="str">
        <f>'Приложение 9'!H533</f>
        <v>Основное мероприятие "Реализация регионального проекта "Успех каждого ребенка"</v>
      </c>
      <c r="I398" s="13">
        <f>'Приложение 9'!I533</f>
        <v>663</v>
      </c>
      <c r="J398" s="7">
        <f>'Приложение 9'!J533</f>
        <v>7</v>
      </c>
      <c r="K398" s="7">
        <f>'Приложение 9'!K533</f>
        <v>3</v>
      </c>
      <c r="L398" s="16">
        <f>'Приложение 9'!L533</f>
        <v>6</v>
      </c>
      <c r="M398" s="96" t="str">
        <f>'Приложение 9'!M533</f>
        <v>0</v>
      </c>
      <c r="N398" s="96" t="str">
        <f>'Приложение 9'!N533</f>
        <v>E2</v>
      </c>
      <c r="O398" s="96" t="str">
        <f>'Приложение 9'!O533</f>
        <v>00000</v>
      </c>
      <c r="P398" s="10" t="s">
        <v>621</v>
      </c>
      <c r="Q398" s="214">
        <f>Q399</f>
        <v>728.8</v>
      </c>
      <c r="R398" s="216"/>
      <c r="S398" s="216"/>
    </row>
    <row r="399" spans="1:19" s="179" customFormat="1" ht="30" customHeight="1">
      <c r="A399" s="142"/>
      <c r="B399" s="143"/>
      <c r="C399" s="142"/>
      <c r="D399" s="235"/>
      <c r="E399" s="166"/>
      <c r="F399" s="166"/>
      <c r="G399" s="136"/>
      <c r="H399" s="257" t="s">
        <v>131</v>
      </c>
      <c r="I399" s="13"/>
      <c r="J399" s="7">
        <v>7</v>
      </c>
      <c r="K399" s="7">
        <v>3</v>
      </c>
      <c r="L399" s="95" t="s">
        <v>595</v>
      </c>
      <c r="M399" s="96" t="s">
        <v>563</v>
      </c>
      <c r="N399" s="96" t="s">
        <v>80</v>
      </c>
      <c r="O399" s="96" t="s">
        <v>81</v>
      </c>
      <c r="P399" s="10"/>
      <c r="Q399" s="214">
        <v>728.8</v>
      </c>
      <c r="R399" s="216"/>
      <c r="S399" s="216"/>
    </row>
    <row r="400" spans="1:19" s="179" customFormat="1" ht="20.25" customHeight="1">
      <c r="A400" s="142"/>
      <c r="B400" s="143"/>
      <c r="C400" s="142"/>
      <c r="D400" s="235"/>
      <c r="E400" s="166"/>
      <c r="F400" s="166"/>
      <c r="G400" s="136"/>
      <c r="H400" s="257" t="s">
        <v>722</v>
      </c>
      <c r="I400" s="13"/>
      <c r="J400" s="7">
        <v>7</v>
      </c>
      <c r="K400" s="7">
        <v>3</v>
      </c>
      <c r="L400" s="95" t="s">
        <v>595</v>
      </c>
      <c r="M400" s="96" t="s">
        <v>563</v>
      </c>
      <c r="N400" s="96" t="s">
        <v>80</v>
      </c>
      <c r="O400" s="96" t="s">
        <v>81</v>
      </c>
      <c r="P400" s="10">
        <v>610</v>
      </c>
      <c r="Q400" s="214">
        <v>728.8</v>
      </c>
      <c r="R400" s="216"/>
      <c r="S400" s="216"/>
    </row>
    <row r="401" spans="1:19" s="179" customFormat="1" ht="29.25" customHeight="1">
      <c r="A401" s="142"/>
      <c r="B401" s="143"/>
      <c r="C401" s="153"/>
      <c r="D401" s="235"/>
      <c r="E401" s="166"/>
      <c r="F401" s="166"/>
      <c r="G401" s="136"/>
      <c r="H401" s="257" t="s">
        <v>665</v>
      </c>
      <c r="I401" s="10">
        <v>27</v>
      </c>
      <c r="J401" s="7">
        <v>7</v>
      </c>
      <c r="K401" s="7">
        <v>3</v>
      </c>
      <c r="L401" s="95" t="s">
        <v>666</v>
      </c>
      <c r="M401" s="96" t="s">
        <v>563</v>
      </c>
      <c r="N401" s="96" t="s">
        <v>583</v>
      </c>
      <c r="O401" s="96" t="s">
        <v>620</v>
      </c>
      <c r="P401" s="6"/>
      <c r="Q401" s="216">
        <f aca="true" t="shared" si="29" ref="Q401:S403">Q402</f>
        <v>7196.1</v>
      </c>
      <c r="R401" s="216">
        <f t="shared" si="29"/>
        <v>8000</v>
      </c>
      <c r="S401" s="216">
        <f t="shared" si="29"/>
        <v>8000</v>
      </c>
    </row>
    <row r="402" spans="1:19" s="179" customFormat="1" ht="35.25" customHeight="1">
      <c r="A402" s="142"/>
      <c r="B402" s="143"/>
      <c r="C402" s="153"/>
      <c r="D402" s="235"/>
      <c r="E402" s="166"/>
      <c r="F402" s="166"/>
      <c r="G402" s="136"/>
      <c r="H402" s="257" t="s">
        <v>667</v>
      </c>
      <c r="I402" s="10">
        <v>27</v>
      </c>
      <c r="J402" s="7">
        <v>7</v>
      </c>
      <c r="K402" s="7">
        <v>3</v>
      </c>
      <c r="L402" s="95" t="s">
        <v>666</v>
      </c>
      <c r="M402" s="96" t="s">
        <v>563</v>
      </c>
      <c r="N402" s="96" t="s">
        <v>588</v>
      </c>
      <c r="O402" s="96" t="s">
        <v>620</v>
      </c>
      <c r="P402" s="6"/>
      <c r="Q402" s="216">
        <f>Q403+Q405</f>
        <v>7196.1</v>
      </c>
      <c r="R402" s="216">
        <f t="shared" si="29"/>
        <v>8000</v>
      </c>
      <c r="S402" s="216">
        <f t="shared" si="29"/>
        <v>8000</v>
      </c>
    </row>
    <row r="403" spans="1:19" s="179" customFormat="1" ht="20.25" customHeight="1">
      <c r="A403" s="142"/>
      <c r="B403" s="143"/>
      <c r="C403" s="153"/>
      <c r="D403" s="235"/>
      <c r="E403" s="166"/>
      <c r="F403" s="166"/>
      <c r="G403" s="136"/>
      <c r="H403" s="257" t="s">
        <v>335</v>
      </c>
      <c r="I403" s="10">
        <v>27</v>
      </c>
      <c r="J403" s="7">
        <v>7</v>
      </c>
      <c r="K403" s="7">
        <v>3</v>
      </c>
      <c r="L403" s="95" t="s">
        <v>666</v>
      </c>
      <c r="M403" s="96" t="s">
        <v>563</v>
      </c>
      <c r="N403" s="96" t="s">
        <v>588</v>
      </c>
      <c r="O403" s="96" t="s">
        <v>270</v>
      </c>
      <c r="P403" s="6"/>
      <c r="Q403" s="216">
        <f t="shared" si="29"/>
        <v>5758.1</v>
      </c>
      <c r="R403" s="216">
        <f t="shared" si="29"/>
        <v>8000</v>
      </c>
      <c r="S403" s="216">
        <f t="shared" si="29"/>
        <v>8000</v>
      </c>
    </row>
    <row r="404" spans="1:19" s="179" customFormat="1" ht="20.25" customHeight="1">
      <c r="A404" s="142"/>
      <c r="B404" s="143"/>
      <c r="C404" s="153"/>
      <c r="D404" s="235"/>
      <c r="E404" s="166"/>
      <c r="F404" s="166"/>
      <c r="G404" s="136"/>
      <c r="H404" s="257" t="s">
        <v>722</v>
      </c>
      <c r="I404" s="10">
        <v>27</v>
      </c>
      <c r="J404" s="7">
        <v>7</v>
      </c>
      <c r="K404" s="7">
        <v>3</v>
      </c>
      <c r="L404" s="95" t="s">
        <v>666</v>
      </c>
      <c r="M404" s="96" t="s">
        <v>563</v>
      </c>
      <c r="N404" s="96" t="s">
        <v>588</v>
      </c>
      <c r="O404" s="96" t="s">
        <v>270</v>
      </c>
      <c r="P404" s="6">
        <v>610</v>
      </c>
      <c r="Q404" s="216">
        <f>'Приложение 9'!Q227</f>
        <v>5758.1</v>
      </c>
      <c r="R404" s="216">
        <v>8000</v>
      </c>
      <c r="S404" s="216">
        <v>8000</v>
      </c>
    </row>
    <row r="405" spans="1:19" s="179" customFormat="1" ht="20.25" customHeight="1">
      <c r="A405" s="142"/>
      <c r="B405" s="143"/>
      <c r="C405" s="142"/>
      <c r="D405" s="235"/>
      <c r="E405" s="166"/>
      <c r="F405" s="166"/>
      <c r="G405" s="136"/>
      <c r="H405" s="257" t="str">
        <f>'Приложение 9'!H228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05" s="13">
        <f>'Приложение 9'!I228</f>
        <v>27</v>
      </c>
      <c r="J405" s="7">
        <f>'Приложение 9'!J228</f>
        <v>7</v>
      </c>
      <c r="K405" s="7">
        <f>'Приложение 9'!K228</f>
        <v>3</v>
      </c>
      <c r="L405" s="95" t="str">
        <f>'Приложение 9'!L228</f>
        <v>34</v>
      </c>
      <c r="M405" s="96" t="str">
        <f>'Приложение 9'!M228</f>
        <v>0</v>
      </c>
      <c r="N405" s="96" t="str">
        <f>'Приложение 9'!N228</f>
        <v>04</v>
      </c>
      <c r="O405" s="96" t="str">
        <f>'Приложение 9'!O228</f>
        <v>70030</v>
      </c>
      <c r="P405" s="10" t="s">
        <v>621</v>
      </c>
      <c r="Q405" s="214">
        <f>'Приложение 9'!Q228</f>
        <v>1438</v>
      </c>
      <c r="R405" s="216"/>
      <c r="S405" s="216"/>
    </row>
    <row r="406" spans="1:19" s="179" customFormat="1" ht="20.25" customHeight="1">
      <c r="A406" s="142"/>
      <c r="B406" s="143"/>
      <c r="C406" s="142"/>
      <c r="D406" s="235"/>
      <c r="E406" s="166"/>
      <c r="F406" s="166"/>
      <c r="G406" s="136"/>
      <c r="H406" s="257" t="str">
        <f>'Приложение 9'!H229</f>
        <v>Субсидии бюджетным учреждениям</v>
      </c>
      <c r="I406" s="13">
        <f>'Приложение 9'!I229</f>
        <v>27</v>
      </c>
      <c r="J406" s="7">
        <f>'Приложение 9'!J229</f>
        <v>7</v>
      </c>
      <c r="K406" s="7">
        <f>'Приложение 9'!K229</f>
        <v>3</v>
      </c>
      <c r="L406" s="95" t="str">
        <f>'Приложение 9'!L229</f>
        <v>34</v>
      </c>
      <c r="M406" s="96" t="str">
        <f>'Приложение 9'!M229</f>
        <v>0</v>
      </c>
      <c r="N406" s="96" t="str">
        <f>'Приложение 9'!N229</f>
        <v>04</v>
      </c>
      <c r="O406" s="96" t="str">
        <f>'Приложение 9'!O229</f>
        <v>70030</v>
      </c>
      <c r="P406" s="10">
        <f>'Приложение 9'!P229</f>
        <v>610</v>
      </c>
      <c r="Q406" s="214">
        <f>'Приложение 9'!Q229</f>
        <v>1438</v>
      </c>
      <c r="R406" s="216"/>
      <c r="S406" s="216"/>
    </row>
    <row r="407" spans="1:19" ht="21" customHeight="1">
      <c r="A407" s="99"/>
      <c r="B407" s="98"/>
      <c r="C407" s="97"/>
      <c r="D407" s="107"/>
      <c r="E407" s="104"/>
      <c r="F407" s="104"/>
      <c r="G407" s="89"/>
      <c r="H407" s="149" t="s">
        <v>338</v>
      </c>
      <c r="I407" s="152"/>
      <c r="J407" s="148">
        <v>7</v>
      </c>
      <c r="K407" s="148">
        <v>7</v>
      </c>
      <c r="L407" s="139"/>
      <c r="M407" s="141"/>
      <c r="N407" s="141"/>
      <c r="O407" s="141"/>
      <c r="P407" s="138"/>
      <c r="Q407" s="213">
        <f>Q408</f>
        <v>124.7</v>
      </c>
      <c r="R407" s="217">
        <f>R408</f>
        <v>550</v>
      </c>
      <c r="S407" s="217">
        <f>S408</f>
        <v>550</v>
      </c>
    </row>
    <row r="408" spans="1:19" ht="18.75" customHeight="1">
      <c r="A408" s="99"/>
      <c r="B408" s="98"/>
      <c r="C408" s="97"/>
      <c r="D408" s="94"/>
      <c r="E408" s="94"/>
      <c r="F408" s="94"/>
      <c r="G408" s="89"/>
      <c r="H408" s="5" t="s">
        <v>669</v>
      </c>
      <c r="I408" s="6">
        <v>27</v>
      </c>
      <c r="J408" s="7">
        <v>7</v>
      </c>
      <c r="K408" s="7">
        <v>7</v>
      </c>
      <c r="L408" s="95" t="s">
        <v>668</v>
      </c>
      <c r="M408" s="96" t="s">
        <v>563</v>
      </c>
      <c r="N408" s="96" t="s">
        <v>583</v>
      </c>
      <c r="O408" s="96" t="s">
        <v>620</v>
      </c>
      <c r="P408" s="10"/>
      <c r="Q408" s="214">
        <f>Q409+Q416+Q419</f>
        <v>124.7</v>
      </c>
      <c r="R408" s="214">
        <f>R409+R416+R419</f>
        <v>550</v>
      </c>
      <c r="S408" s="214">
        <f>S409+S416+S419</f>
        <v>550</v>
      </c>
    </row>
    <row r="409" spans="1:19" ht="38.25" customHeight="1">
      <c r="A409" s="99"/>
      <c r="B409" s="98"/>
      <c r="C409" s="97"/>
      <c r="D409" s="363">
        <v>4270000</v>
      </c>
      <c r="E409" s="363"/>
      <c r="F409" s="363"/>
      <c r="G409" s="89">
        <v>622</v>
      </c>
      <c r="H409" s="18" t="s">
        <v>671</v>
      </c>
      <c r="I409" s="6">
        <v>27</v>
      </c>
      <c r="J409" s="7">
        <v>7</v>
      </c>
      <c r="K409" s="7">
        <v>7</v>
      </c>
      <c r="L409" s="95" t="s">
        <v>668</v>
      </c>
      <c r="M409" s="96" t="s">
        <v>563</v>
      </c>
      <c r="N409" s="96" t="s">
        <v>564</v>
      </c>
      <c r="O409" s="96" t="s">
        <v>620</v>
      </c>
      <c r="P409" s="10"/>
      <c r="Q409" s="214">
        <f>Q410+Q414+Q412</f>
        <v>102.7</v>
      </c>
      <c r="R409" s="214">
        <f>R410+R414</f>
        <v>200</v>
      </c>
      <c r="S409" s="214">
        <f>S410+S414</f>
        <v>200</v>
      </c>
    </row>
    <row r="410" spans="1:19" ht="28.5" customHeight="1">
      <c r="A410" s="99"/>
      <c r="B410" s="98"/>
      <c r="C410" s="97"/>
      <c r="D410" s="101"/>
      <c r="E410" s="115"/>
      <c r="F410" s="115"/>
      <c r="G410" s="89"/>
      <c r="H410" s="18" t="s">
        <v>262</v>
      </c>
      <c r="I410" s="6">
        <v>27</v>
      </c>
      <c r="J410" s="7">
        <v>7</v>
      </c>
      <c r="K410" s="7">
        <v>7</v>
      </c>
      <c r="L410" s="95" t="s">
        <v>668</v>
      </c>
      <c r="M410" s="96" t="s">
        <v>563</v>
      </c>
      <c r="N410" s="96" t="s">
        <v>564</v>
      </c>
      <c r="O410" s="96" t="s">
        <v>263</v>
      </c>
      <c r="P410" s="6"/>
      <c r="Q410" s="216">
        <f>Q411</f>
        <v>22.700000000000003</v>
      </c>
      <c r="R410" s="216">
        <f>R411</f>
        <v>200</v>
      </c>
      <c r="S410" s="216">
        <f>S411</f>
        <v>200</v>
      </c>
    </row>
    <row r="411" spans="1:19" ht="21.75" customHeight="1">
      <c r="A411" s="99"/>
      <c r="B411" s="98"/>
      <c r="C411" s="97"/>
      <c r="D411" s="101"/>
      <c r="E411" s="115"/>
      <c r="F411" s="115"/>
      <c r="G411" s="89"/>
      <c r="H411" s="257" t="s">
        <v>722</v>
      </c>
      <c r="I411" s="6">
        <v>27</v>
      </c>
      <c r="J411" s="7">
        <v>7</v>
      </c>
      <c r="K411" s="7">
        <v>7</v>
      </c>
      <c r="L411" s="95" t="s">
        <v>668</v>
      </c>
      <c r="M411" s="96" t="s">
        <v>563</v>
      </c>
      <c r="N411" s="96" t="s">
        <v>564</v>
      </c>
      <c r="O411" s="96" t="s">
        <v>263</v>
      </c>
      <c r="P411" s="6">
        <v>610</v>
      </c>
      <c r="Q411" s="216">
        <f>'Приложение 9'!Q234</f>
        <v>22.700000000000003</v>
      </c>
      <c r="R411" s="216">
        <v>200</v>
      </c>
      <c r="S411" s="216">
        <v>200</v>
      </c>
    </row>
    <row r="412" spans="1:19" ht="21.75" customHeight="1">
      <c r="A412" s="99"/>
      <c r="B412" s="98"/>
      <c r="C412" s="97"/>
      <c r="D412" s="101"/>
      <c r="E412" s="115"/>
      <c r="F412" s="115"/>
      <c r="G412" s="89"/>
      <c r="H412" s="257" t="str">
        <f>'Приложение 9'!H235</f>
        <v>Проведение мероприятий для детей и молодежи</v>
      </c>
      <c r="I412" s="6">
        <f>'Приложение 9'!I235</f>
        <v>27</v>
      </c>
      <c r="J412" s="7">
        <f>'Приложение 9'!J235</f>
        <v>7</v>
      </c>
      <c r="K412" s="7">
        <f>'Приложение 9'!K235</f>
        <v>7</v>
      </c>
      <c r="L412" s="95" t="str">
        <f>'Приложение 9'!L235</f>
        <v>36</v>
      </c>
      <c r="M412" s="96" t="str">
        <f>'Приложение 9'!M235</f>
        <v>0</v>
      </c>
      <c r="N412" s="96" t="str">
        <f>'Приложение 9'!N235</f>
        <v>01</v>
      </c>
      <c r="O412" s="96" t="str">
        <f>'Приложение 9'!O235</f>
        <v>20590</v>
      </c>
      <c r="P412" s="6"/>
      <c r="Q412" s="216">
        <f>Q413</f>
        <v>40</v>
      </c>
      <c r="R412" s="216"/>
      <c r="S412" s="216"/>
    </row>
    <row r="413" spans="1:19" ht="21.75" customHeight="1">
      <c r="A413" s="99"/>
      <c r="B413" s="98"/>
      <c r="C413" s="97"/>
      <c r="D413" s="101"/>
      <c r="E413" s="115"/>
      <c r="F413" s="115"/>
      <c r="G413" s="89"/>
      <c r="H413" s="257" t="str">
        <f>'Приложение 9'!H236</f>
        <v>Иные закупки товаров, работ и услуг для обеспечения государственных (муниципальных) нужд</v>
      </c>
      <c r="I413" s="6">
        <f>'Приложение 9'!I236</f>
        <v>27</v>
      </c>
      <c r="J413" s="7">
        <f>'Приложение 9'!J236</f>
        <v>7</v>
      </c>
      <c r="K413" s="7">
        <f>'Приложение 9'!K236</f>
        <v>7</v>
      </c>
      <c r="L413" s="95" t="str">
        <f>'Приложение 9'!L236</f>
        <v>36</v>
      </c>
      <c r="M413" s="96" t="str">
        <f>'Приложение 9'!M236</f>
        <v>0</v>
      </c>
      <c r="N413" s="96" t="str">
        <f>'Приложение 9'!N236</f>
        <v>01</v>
      </c>
      <c r="O413" s="96" t="str">
        <f>'Приложение 9'!O236</f>
        <v>20590</v>
      </c>
      <c r="P413" s="6">
        <f>'Приложение 9'!P236</f>
        <v>240</v>
      </c>
      <c r="Q413" s="216">
        <f>'Приложение 9'!Q236</f>
        <v>40</v>
      </c>
      <c r="R413" s="216"/>
      <c r="S413" s="216"/>
    </row>
    <row r="414" spans="1:19" ht="36.75" customHeight="1">
      <c r="A414" s="99"/>
      <c r="B414" s="98"/>
      <c r="C414" s="97"/>
      <c r="D414" s="101"/>
      <c r="E414" s="115"/>
      <c r="F414" s="115"/>
      <c r="G414" s="89"/>
      <c r="H414" s="5" t="s">
        <v>670</v>
      </c>
      <c r="I414" s="6">
        <v>27</v>
      </c>
      <c r="J414" s="7">
        <v>7</v>
      </c>
      <c r="K414" s="7">
        <v>7</v>
      </c>
      <c r="L414" s="95" t="s">
        <v>668</v>
      </c>
      <c r="M414" s="96" t="s">
        <v>563</v>
      </c>
      <c r="N414" s="96" t="s">
        <v>564</v>
      </c>
      <c r="O414" s="96" t="s">
        <v>241</v>
      </c>
      <c r="P414" s="6"/>
      <c r="Q414" s="216">
        <f>Q415</f>
        <v>40</v>
      </c>
      <c r="R414" s="216">
        <f>R415</f>
        <v>0</v>
      </c>
      <c r="S414" s="216">
        <f>S415</f>
        <v>0</v>
      </c>
    </row>
    <row r="415" spans="1:19" ht="27" customHeight="1">
      <c r="A415" s="99"/>
      <c r="B415" s="98"/>
      <c r="C415" s="103"/>
      <c r="D415" s="101"/>
      <c r="E415" s="113"/>
      <c r="F415" s="113"/>
      <c r="G415" s="105"/>
      <c r="H415" s="257" t="s">
        <v>722</v>
      </c>
      <c r="I415" s="6">
        <v>27</v>
      </c>
      <c r="J415" s="7">
        <v>7</v>
      </c>
      <c r="K415" s="7">
        <v>7</v>
      </c>
      <c r="L415" s="95" t="s">
        <v>668</v>
      </c>
      <c r="M415" s="96" t="s">
        <v>563</v>
      </c>
      <c r="N415" s="96" t="s">
        <v>564</v>
      </c>
      <c r="O415" s="96" t="s">
        <v>241</v>
      </c>
      <c r="P415" s="6">
        <v>610</v>
      </c>
      <c r="Q415" s="216">
        <v>40</v>
      </c>
      <c r="R415" s="216">
        <v>0</v>
      </c>
      <c r="S415" s="216">
        <v>0</v>
      </c>
    </row>
    <row r="416" spans="1:19" ht="33.75" customHeight="1">
      <c r="A416" s="99"/>
      <c r="B416" s="98"/>
      <c r="C416" s="103"/>
      <c r="D416" s="101"/>
      <c r="E416" s="113"/>
      <c r="F416" s="113"/>
      <c r="G416" s="105"/>
      <c r="H416" s="129" t="s">
        <v>672</v>
      </c>
      <c r="I416" s="6">
        <v>27</v>
      </c>
      <c r="J416" s="7">
        <v>7</v>
      </c>
      <c r="K416" s="7">
        <v>7</v>
      </c>
      <c r="L416" s="95" t="s">
        <v>668</v>
      </c>
      <c r="M416" s="96" t="s">
        <v>563</v>
      </c>
      <c r="N416" s="96" t="s">
        <v>592</v>
      </c>
      <c r="O416" s="96" t="s">
        <v>620</v>
      </c>
      <c r="P416" s="6"/>
      <c r="Q416" s="216">
        <f aca="true" t="shared" si="30" ref="Q416:S417">Q417</f>
        <v>12.5</v>
      </c>
      <c r="R416" s="216">
        <f t="shared" si="30"/>
        <v>200</v>
      </c>
      <c r="S416" s="216">
        <f t="shared" si="30"/>
        <v>200</v>
      </c>
    </row>
    <row r="417" spans="1:19" ht="27" customHeight="1">
      <c r="A417" s="99"/>
      <c r="B417" s="98"/>
      <c r="C417" s="103"/>
      <c r="D417" s="101"/>
      <c r="E417" s="113"/>
      <c r="F417" s="113"/>
      <c r="G417" s="105"/>
      <c r="H417" s="129" t="s">
        <v>262</v>
      </c>
      <c r="I417" s="6">
        <v>27</v>
      </c>
      <c r="J417" s="7">
        <v>7</v>
      </c>
      <c r="K417" s="7">
        <v>7</v>
      </c>
      <c r="L417" s="95" t="s">
        <v>668</v>
      </c>
      <c r="M417" s="96" t="s">
        <v>563</v>
      </c>
      <c r="N417" s="96" t="s">
        <v>592</v>
      </c>
      <c r="O417" s="96" t="s">
        <v>263</v>
      </c>
      <c r="P417" s="6"/>
      <c r="Q417" s="216">
        <f t="shared" si="30"/>
        <v>12.5</v>
      </c>
      <c r="R417" s="216">
        <f t="shared" si="30"/>
        <v>200</v>
      </c>
      <c r="S417" s="216">
        <f t="shared" si="30"/>
        <v>200</v>
      </c>
    </row>
    <row r="418" spans="1:19" ht="27" customHeight="1">
      <c r="A418" s="99"/>
      <c r="B418" s="98"/>
      <c r="C418" s="103"/>
      <c r="D418" s="101"/>
      <c r="E418" s="113"/>
      <c r="F418" s="113"/>
      <c r="G418" s="105"/>
      <c r="H418" s="257" t="s">
        <v>722</v>
      </c>
      <c r="I418" s="6">
        <v>27</v>
      </c>
      <c r="J418" s="7">
        <v>7</v>
      </c>
      <c r="K418" s="7">
        <v>7</v>
      </c>
      <c r="L418" s="95" t="s">
        <v>668</v>
      </c>
      <c r="M418" s="96" t="s">
        <v>563</v>
      </c>
      <c r="N418" s="96" t="s">
        <v>592</v>
      </c>
      <c r="O418" s="96" t="s">
        <v>263</v>
      </c>
      <c r="P418" s="6">
        <v>610</v>
      </c>
      <c r="Q418" s="216">
        <f>'Приложение 9'!Q241</f>
        <v>12.5</v>
      </c>
      <c r="R418" s="216">
        <v>200</v>
      </c>
      <c r="S418" s="216">
        <v>200</v>
      </c>
    </row>
    <row r="419" spans="1:19" ht="33" customHeight="1">
      <c r="A419" s="99"/>
      <c r="B419" s="98"/>
      <c r="C419" s="103"/>
      <c r="D419" s="101"/>
      <c r="E419" s="113"/>
      <c r="F419" s="113"/>
      <c r="G419" s="105"/>
      <c r="H419" s="129" t="s">
        <v>673</v>
      </c>
      <c r="I419" s="6">
        <v>27</v>
      </c>
      <c r="J419" s="7">
        <v>7</v>
      </c>
      <c r="K419" s="7">
        <v>7</v>
      </c>
      <c r="L419" s="95" t="s">
        <v>668</v>
      </c>
      <c r="M419" s="96" t="s">
        <v>563</v>
      </c>
      <c r="N419" s="96" t="s">
        <v>593</v>
      </c>
      <c r="O419" s="96" t="s">
        <v>620</v>
      </c>
      <c r="P419" s="6"/>
      <c r="Q419" s="216">
        <f aca="true" t="shared" si="31" ref="Q419:S420">Q420</f>
        <v>9.5</v>
      </c>
      <c r="R419" s="216">
        <f t="shared" si="31"/>
        <v>150</v>
      </c>
      <c r="S419" s="216">
        <f t="shared" si="31"/>
        <v>150</v>
      </c>
    </row>
    <row r="420" spans="1:19" ht="27" customHeight="1">
      <c r="A420" s="99"/>
      <c r="B420" s="98"/>
      <c r="C420" s="103"/>
      <c r="D420" s="101"/>
      <c r="E420" s="113"/>
      <c r="F420" s="113"/>
      <c r="G420" s="105"/>
      <c r="H420" s="129" t="s">
        <v>262</v>
      </c>
      <c r="I420" s="6">
        <v>27</v>
      </c>
      <c r="J420" s="7">
        <v>7</v>
      </c>
      <c r="K420" s="7">
        <v>7</v>
      </c>
      <c r="L420" s="95" t="s">
        <v>668</v>
      </c>
      <c r="M420" s="96" t="s">
        <v>563</v>
      </c>
      <c r="N420" s="96" t="s">
        <v>593</v>
      </c>
      <c r="O420" s="96" t="s">
        <v>263</v>
      </c>
      <c r="P420" s="6"/>
      <c r="Q420" s="216">
        <f t="shared" si="31"/>
        <v>9.5</v>
      </c>
      <c r="R420" s="216">
        <f t="shared" si="31"/>
        <v>150</v>
      </c>
      <c r="S420" s="216">
        <f t="shared" si="31"/>
        <v>150</v>
      </c>
    </row>
    <row r="421" spans="1:19" ht="27" customHeight="1">
      <c r="A421" s="99"/>
      <c r="B421" s="98"/>
      <c r="C421" s="103"/>
      <c r="D421" s="101"/>
      <c r="E421" s="113"/>
      <c r="F421" s="113"/>
      <c r="G421" s="105"/>
      <c r="H421" s="257" t="s">
        <v>722</v>
      </c>
      <c r="I421" s="6">
        <v>27</v>
      </c>
      <c r="J421" s="7">
        <v>7</v>
      </c>
      <c r="K421" s="7">
        <v>7</v>
      </c>
      <c r="L421" s="95" t="s">
        <v>668</v>
      </c>
      <c r="M421" s="96" t="s">
        <v>563</v>
      </c>
      <c r="N421" s="96" t="s">
        <v>593</v>
      </c>
      <c r="O421" s="96" t="s">
        <v>263</v>
      </c>
      <c r="P421" s="6">
        <v>610</v>
      </c>
      <c r="Q421" s="216">
        <f>'Приложение 9'!Q244</f>
        <v>9.5</v>
      </c>
      <c r="R421" s="216">
        <v>150</v>
      </c>
      <c r="S421" s="216">
        <v>150</v>
      </c>
    </row>
    <row r="422" spans="1:19" s="179" customFormat="1" ht="24.75" customHeight="1">
      <c r="A422" s="142"/>
      <c r="B422" s="143"/>
      <c r="C422" s="153"/>
      <c r="D422" s="150"/>
      <c r="E422" s="154"/>
      <c r="F422" s="154"/>
      <c r="G422" s="136"/>
      <c r="H422" s="149" t="s">
        <v>543</v>
      </c>
      <c r="I422" s="152">
        <v>663</v>
      </c>
      <c r="J422" s="148">
        <v>7</v>
      </c>
      <c r="K422" s="148">
        <v>9</v>
      </c>
      <c r="L422" s="140"/>
      <c r="M422" s="141"/>
      <c r="N422" s="141"/>
      <c r="O422" s="141"/>
      <c r="P422" s="146"/>
      <c r="Q422" s="217">
        <f>Q423+Q464+Q459</f>
        <v>17071.4</v>
      </c>
      <c r="R422" s="217" t="e">
        <f>R423+R464+#REF!</f>
        <v>#REF!</v>
      </c>
      <c r="S422" s="217" t="e">
        <f>S423+S464+#REF!</f>
        <v>#REF!</v>
      </c>
    </row>
    <row r="423" spans="1:19" ht="30.75" customHeight="1">
      <c r="A423" s="99"/>
      <c r="B423" s="98"/>
      <c r="C423" s="103"/>
      <c r="D423" s="101"/>
      <c r="E423" s="104"/>
      <c r="F423" s="104"/>
      <c r="G423" s="89"/>
      <c r="H423" s="253" t="s">
        <v>271</v>
      </c>
      <c r="I423" s="10">
        <v>663</v>
      </c>
      <c r="J423" s="7">
        <v>7</v>
      </c>
      <c r="K423" s="7">
        <v>9</v>
      </c>
      <c r="L423" s="95" t="s">
        <v>595</v>
      </c>
      <c r="M423" s="96" t="s">
        <v>563</v>
      </c>
      <c r="N423" s="96" t="s">
        <v>583</v>
      </c>
      <c r="O423" s="96" t="s">
        <v>620</v>
      </c>
      <c r="P423" s="10"/>
      <c r="Q423" s="214">
        <f>Q424+Q429+Q437+Q443+Q448</f>
        <v>16894.4</v>
      </c>
      <c r="R423" s="214"/>
      <c r="S423" s="214"/>
    </row>
    <row r="424" spans="1:19" ht="32.25" customHeight="1">
      <c r="A424" s="99"/>
      <c r="B424" s="98"/>
      <c r="C424" s="103"/>
      <c r="D424" s="101"/>
      <c r="E424" s="104"/>
      <c r="F424" s="104"/>
      <c r="G424" s="89"/>
      <c r="H424" s="254" t="s">
        <v>656</v>
      </c>
      <c r="I424" s="10">
        <v>663</v>
      </c>
      <c r="J424" s="7">
        <v>7</v>
      </c>
      <c r="K424" s="7">
        <v>9</v>
      </c>
      <c r="L424" s="95" t="s">
        <v>595</v>
      </c>
      <c r="M424" s="96" t="s">
        <v>563</v>
      </c>
      <c r="N424" s="96" t="s">
        <v>564</v>
      </c>
      <c r="O424" s="96" t="s">
        <v>620</v>
      </c>
      <c r="P424" s="10" t="s">
        <v>621</v>
      </c>
      <c r="Q424" s="214">
        <f>Q425+Q427</f>
        <v>117.3</v>
      </c>
      <c r="R424" s="214"/>
      <c r="S424" s="214"/>
    </row>
    <row r="425" spans="1:19" ht="32.25" customHeight="1">
      <c r="A425" s="99"/>
      <c r="B425" s="98"/>
      <c r="C425" s="103"/>
      <c r="D425" s="101"/>
      <c r="E425" s="104"/>
      <c r="F425" s="104"/>
      <c r="G425" s="89"/>
      <c r="H425" s="258" t="s">
        <v>342</v>
      </c>
      <c r="I425" s="10">
        <v>663</v>
      </c>
      <c r="J425" s="7">
        <v>7</v>
      </c>
      <c r="K425" s="7">
        <v>9</v>
      </c>
      <c r="L425" s="95" t="s">
        <v>595</v>
      </c>
      <c r="M425" s="96" t="s">
        <v>563</v>
      </c>
      <c r="N425" s="96" t="s">
        <v>564</v>
      </c>
      <c r="O425" s="96" t="s">
        <v>648</v>
      </c>
      <c r="P425" s="10"/>
      <c r="Q425" s="214">
        <f>Q426</f>
        <v>15</v>
      </c>
      <c r="R425" s="214"/>
      <c r="S425" s="214"/>
    </row>
    <row r="426" spans="1:19" ht="32.25" customHeight="1">
      <c r="A426" s="99"/>
      <c r="B426" s="98"/>
      <c r="C426" s="103"/>
      <c r="D426" s="101"/>
      <c r="E426" s="104"/>
      <c r="F426" s="104"/>
      <c r="G426" s="89"/>
      <c r="H426" s="258" t="s">
        <v>720</v>
      </c>
      <c r="I426" s="10">
        <v>663</v>
      </c>
      <c r="J426" s="7">
        <v>7</v>
      </c>
      <c r="K426" s="7">
        <v>9</v>
      </c>
      <c r="L426" s="95" t="s">
        <v>595</v>
      </c>
      <c r="M426" s="96" t="s">
        <v>563</v>
      </c>
      <c r="N426" s="96" t="s">
        <v>564</v>
      </c>
      <c r="O426" s="96" t="s">
        <v>648</v>
      </c>
      <c r="P426" s="10">
        <v>240</v>
      </c>
      <c r="Q426" s="214">
        <v>15</v>
      </c>
      <c r="R426" s="214"/>
      <c r="S426" s="214"/>
    </row>
    <row r="427" spans="1:19" ht="39" customHeight="1">
      <c r="A427" s="99"/>
      <c r="B427" s="98"/>
      <c r="C427" s="103"/>
      <c r="D427" s="101"/>
      <c r="E427" s="104"/>
      <c r="F427" s="104"/>
      <c r="G427" s="89"/>
      <c r="H427" s="22" t="s">
        <v>330</v>
      </c>
      <c r="I427" s="10">
        <v>663</v>
      </c>
      <c r="J427" s="7">
        <v>7</v>
      </c>
      <c r="K427" s="7">
        <v>9</v>
      </c>
      <c r="L427" s="95" t="s">
        <v>595</v>
      </c>
      <c r="M427" s="96" t="s">
        <v>563</v>
      </c>
      <c r="N427" s="96" t="s">
        <v>564</v>
      </c>
      <c r="O427" s="96" t="s">
        <v>329</v>
      </c>
      <c r="P427" s="10"/>
      <c r="Q427" s="214">
        <f>Q428</f>
        <v>102.3</v>
      </c>
      <c r="R427" s="214"/>
      <c r="S427" s="214"/>
    </row>
    <row r="428" spans="1:19" ht="33" customHeight="1">
      <c r="A428" s="99"/>
      <c r="B428" s="98"/>
      <c r="C428" s="103"/>
      <c r="D428" s="101"/>
      <c r="E428" s="104"/>
      <c r="F428" s="104"/>
      <c r="G428" s="89"/>
      <c r="H428" s="5" t="s">
        <v>722</v>
      </c>
      <c r="I428" s="10">
        <v>663</v>
      </c>
      <c r="J428" s="7">
        <v>7</v>
      </c>
      <c r="K428" s="7">
        <v>9</v>
      </c>
      <c r="L428" s="95" t="s">
        <v>595</v>
      </c>
      <c r="M428" s="96" t="s">
        <v>563</v>
      </c>
      <c r="N428" s="96" t="s">
        <v>564</v>
      </c>
      <c r="O428" s="96" t="s">
        <v>329</v>
      </c>
      <c r="P428" s="10">
        <v>610</v>
      </c>
      <c r="Q428" s="214">
        <v>102.3</v>
      </c>
      <c r="R428" s="214"/>
      <c r="S428" s="214"/>
    </row>
    <row r="429" spans="1:19" ht="29.25" customHeight="1">
      <c r="A429" s="99"/>
      <c r="B429" s="98"/>
      <c r="C429" s="103"/>
      <c r="D429" s="101"/>
      <c r="E429" s="104"/>
      <c r="F429" s="104"/>
      <c r="G429" s="89"/>
      <c r="H429" s="18" t="s">
        <v>657</v>
      </c>
      <c r="I429" s="10">
        <v>663</v>
      </c>
      <c r="J429" s="7">
        <v>7</v>
      </c>
      <c r="K429" s="7">
        <v>9</v>
      </c>
      <c r="L429" s="95" t="s">
        <v>595</v>
      </c>
      <c r="M429" s="96" t="s">
        <v>563</v>
      </c>
      <c r="N429" s="96" t="s">
        <v>592</v>
      </c>
      <c r="O429" s="96" t="s">
        <v>620</v>
      </c>
      <c r="P429" s="10" t="s">
        <v>621</v>
      </c>
      <c r="Q429" s="214">
        <f>Q430+Q434+Q432</f>
        <v>10362.5</v>
      </c>
      <c r="R429" s="214"/>
      <c r="S429" s="214"/>
    </row>
    <row r="430" spans="1:19" ht="29.25" customHeight="1">
      <c r="A430" s="99"/>
      <c r="B430" s="98"/>
      <c r="C430" s="103"/>
      <c r="D430" s="101"/>
      <c r="E430" s="104"/>
      <c r="F430" s="104"/>
      <c r="G430" s="89"/>
      <c r="H430" s="22" t="s">
        <v>342</v>
      </c>
      <c r="I430" s="10">
        <v>663</v>
      </c>
      <c r="J430" s="7">
        <v>7</v>
      </c>
      <c r="K430" s="7">
        <v>9</v>
      </c>
      <c r="L430" s="95" t="s">
        <v>595</v>
      </c>
      <c r="M430" s="96" t="s">
        <v>563</v>
      </c>
      <c r="N430" s="96" t="s">
        <v>592</v>
      </c>
      <c r="O430" s="96" t="s">
        <v>648</v>
      </c>
      <c r="P430" s="10"/>
      <c r="Q430" s="214">
        <f>Q431</f>
        <v>50</v>
      </c>
      <c r="R430" s="214"/>
      <c r="S430" s="214"/>
    </row>
    <row r="431" spans="1:19" ht="29.25" customHeight="1">
      <c r="A431" s="99"/>
      <c r="B431" s="98"/>
      <c r="C431" s="103"/>
      <c r="D431" s="101"/>
      <c r="E431" s="104"/>
      <c r="F431" s="104"/>
      <c r="G431" s="89"/>
      <c r="H431" s="22" t="s">
        <v>720</v>
      </c>
      <c r="I431" s="10">
        <v>663</v>
      </c>
      <c r="J431" s="7">
        <v>7</v>
      </c>
      <c r="K431" s="7">
        <v>9</v>
      </c>
      <c r="L431" s="95" t="s">
        <v>595</v>
      </c>
      <c r="M431" s="96" t="s">
        <v>563</v>
      </c>
      <c r="N431" s="96" t="s">
        <v>592</v>
      </c>
      <c r="O431" s="96" t="s">
        <v>648</v>
      </c>
      <c r="P431" s="10">
        <v>240</v>
      </c>
      <c r="Q431" s="214">
        <f>'Приложение 9'!Q545</f>
        <v>50</v>
      </c>
      <c r="R431" s="214"/>
      <c r="S431" s="214"/>
    </row>
    <row r="432" spans="1:19" ht="29.25" customHeight="1">
      <c r="A432" s="99"/>
      <c r="B432" s="98"/>
      <c r="C432" s="103"/>
      <c r="D432" s="101"/>
      <c r="E432" s="104"/>
      <c r="F432" s="104"/>
      <c r="G432" s="89"/>
      <c r="H432" s="22" t="str">
        <f>'Приложение 9'!H546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I432" s="10">
        <f>'Приложение 9'!I546</f>
        <v>663</v>
      </c>
      <c r="J432" s="7">
        <f>'Приложение 9'!J546</f>
        <v>7</v>
      </c>
      <c r="K432" s="7">
        <f>'Приложение 9'!K546</f>
        <v>9</v>
      </c>
      <c r="L432" s="95" t="str">
        <f>'Приложение 9'!L546</f>
        <v>06</v>
      </c>
      <c r="M432" s="96" t="str">
        <f>'Приложение 9'!M546</f>
        <v>0</v>
      </c>
      <c r="N432" s="96" t="str">
        <f>'Приложение 9'!N546</f>
        <v>02</v>
      </c>
      <c r="O432" s="96" t="str">
        <f>'Приложение 9'!O546</f>
        <v>14590</v>
      </c>
      <c r="P432" s="10" t="s">
        <v>621</v>
      </c>
      <c r="Q432" s="214">
        <f>Q433</f>
        <v>6</v>
      </c>
      <c r="R432" s="214"/>
      <c r="S432" s="214"/>
    </row>
    <row r="433" spans="1:19" ht="29.25" customHeight="1">
      <c r="A433" s="99"/>
      <c r="B433" s="98"/>
      <c r="C433" s="103"/>
      <c r="D433" s="101"/>
      <c r="E433" s="104"/>
      <c r="F433" s="104"/>
      <c r="G433" s="89"/>
      <c r="H433" s="22" t="str">
        <f>'Приложение 9'!H547</f>
        <v>Расходы на выплаты персоналу казенных учреждений</v>
      </c>
      <c r="I433" s="10">
        <f>'Приложение 9'!I547</f>
        <v>663</v>
      </c>
      <c r="J433" s="7">
        <f>'Приложение 9'!J547</f>
        <v>7</v>
      </c>
      <c r="K433" s="7">
        <f>'Приложение 9'!K547</f>
        <v>9</v>
      </c>
      <c r="L433" s="95" t="str">
        <f>'Приложение 9'!L547</f>
        <v>06</v>
      </c>
      <c r="M433" s="96" t="str">
        <f>'Приложение 9'!M547</f>
        <v>0</v>
      </c>
      <c r="N433" s="96" t="str">
        <f>'Приложение 9'!N547</f>
        <v>02</v>
      </c>
      <c r="O433" s="96" t="str">
        <f>'Приложение 9'!O547</f>
        <v>14590</v>
      </c>
      <c r="P433" s="10">
        <f>'Приложение 9'!P547</f>
        <v>110</v>
      </c>
      <c r="Q433" s="214">
        <f>'Приложение 9'!Q547</f>
        <v>6</v>
      </c>
      <c r="R433" s="214"/>
      <c r="S433" s="214"/>
    </row>
    <row r="434" spans="1:19" ht="39" customHeight="1">
      <c r="A434" s="99"/>
      <c r="B434" s="98"/>
      <c r="C434" s="103"/>
      <c r="D434" s="101"/>
      <c r="E434" s="104"/>
      <c r="F434" s="104"/>
      <c r="G434" s="89"/>
      <c r="H434" s="22" t="s">
        <v>330</v>
      </c>
      <c r="I434" s="10">
        <v>663</v>
      </c>
      <c r="J434" s="7">
        <v>7</v>
      </c>
      <c r="K434" s="7">
        <v>9</v>
      </c>
      <c r="L434" s="95" t="s">
        <v>595</v>
      </c>
      <c r="M434" s="96" t="s">
        <v>563</v>
      </c>
      <c r="N434" s="96" t="s">
        <v>592</v>
      </c>
      <c r="O434" s="96" t="s">
        <v>329</v>
      </c>
      <c r="P434" s="10"/>
      <c r="Q434" s="214">
        <f>Q435+Q436</f>
        <v>10306.5</v>
      </c>
      <c r="R434" s="214"/>
      <c r="S434" s="214"/>
    </row>
    <row r="435" spans="1:19" ht="33" customHeight="1">
      <c r="A435" s="99"/>
      <c r="B435" s="98"/>
      <c r="C435" s="103"/>
      <c r="D435" s="101"/>
      <c r="E435" s="104"/>
      <c r="F435" s="104"/>
      <c r="G435" s="89"/>
      <c r="H435" s="22" t="s">
        <v>725</v>
      </c>
      <c r="I435" s="10">
        <v>663</v>
      </c>
      <c r="J435" s="7">
        <v>7</v>
      </c>
      <c r="K435" s="7">
        <v>9</v>
      </c>
      <c r="L435" s="95" t="s">
        <v>595</v>
      </c>
      <c r="M435" s="96" t="s">
        <v>563</v>
      </c>
      <c r="N435" s="96" t="s">
        <v>592</v>
      </c>
      <c r="O435" s="96" t="s">
        <v>329</v>
      </c>
      <c r="P435" s="10">
        <v>320</v>
      </c>
      <c r="Q435" s="214">
        <v>1956.6</v>
      </c>
      <c r="R435" s="214"/>
      <c r="S435" s="214"/>
    </row>
    <row r="436" spans="1:19" ht="33" customHeight="1">
      <c r="A436" s="99"/>
      <c r="B436" s="98"/>
      <c r="C436" s="103"/>
      <c r="D436" s="101"/>
      <c r="E436" s="104"/>
      <c r="F436" s="104"/>
      <c r="G436" s="89"/>
      <c r="H436" s="5" t="s">
        <v>722</v>
      </c>
      <c r="I436" s="10">
        <v>663</v>
      </c>
      <c r="J436" s="7">
        <v>7</v>
      </c>
      <c r="K436" s="7">
        <v>9</v>
      </c>
      <c r="L436" s="95" t="s">
        <v>595</v>
      </c>
      <c r="M436" s="96" t="s">
        <v>563</v>
      </c>
      <c r="N436" s="96" t="s">
        <v>592</v>
      </c>
      <c r="O436" s="96" t="s">
        <v>329</v>
      </c>
      <c r="P436" s="10">
        <v>610</v>
      </c>
      <c r="Q436" s="214">
        <f>'Приложение 9'!Q550</f>
        <v>8349.9</v>
      </c>
      <c r="R436" s="214"/>
      <c r="S436" s="214"/>
    </row>
    <row r="437" spans="1:19" ht="27" customHeight="1">
      <c r="A437" s="99"/>
      <c r="B437" s="98"/>
      <c r="C437" s="103"/>
      <c r="D437" s="101"/>
      <c r="E437" s="104"/>
      <c r="F437" s="104"/>
      <c r="G437" s="89"/>
      <c r="H437" s="11" t="s">
        <v>792</v>
      </c>
      <c r="I437" s="10">
        <v>663</v>
      </c>
      <c r="J437" s="7">
        <v>7</v>
      </c>
      <c r="K437" s="7">
        <v>9</v>
      </c>
      <c r="L437" s="95" t="s">
        <v>595</v>
      </c>
      <c r="M437" s="96" t="s">
        <v>563</v>
      </c>
      <c r="N437" s="96" t="s">
        <v>593</v>
      </c>
      <c r="O437" s="96" t="s">
        <v>620</v>
      </c>
      <c r="P437" s="10"/>
      <c r="Q437" s="214">
        <f>Q438+Q441</f>
        <v>1582</v>
      </c>
      <c r="R437" s="214"/>
      <c r="S437" s="214"/>
    </row>
    <row r="438" spans="1:19" ht="18" customHeight="1">
      <c r="A438" s="99"/>
      <c r="B438" s="98"/>
      <c r="C438" s="103"/>
      <c r="D438" s="101"/>
      <c r="E438" s="104"/>
      <c r="F438" s="104"/>
      <c r="G438" s="89"/>
      <c r="H438" s="11" t="s">
        <v>342</v>
      </c>
      <c r="I438" s="10">
        <v>663</v>
      </c>
      <c r="J438" s="7">
        <v>7</v>
      </c>
      <c r="K438" s="7">
        <v>9</v>
      </c>
      <c r="L438" s="95" t="s">
        <v>595</v>
      </c>
      <c r="M438" s="96" t="s">
        <v>563</v>
      </c>
      <c r="N438" s="96" t="s">
        <v>593</v>
      </c>
      <c r="O438" s="96" t="s">
        <v>648</v>
      </c>
      <c r="P438" s="10"/>
      <c r="Q438" s="214">
        <f>Q440+Q439</f>
        <v>1577</v>
      </c>
      <c r="R438" s="214"/>
      <c r="S438" s="214"/>
    </row>
    <row r="439" spans="1:19" ht="18" customHeight="1">
      <c r="A439" s="99"/>
      <c r="B439" s="98"/>
      <c r="C439" s="103"/>
      <c r="D439" s="101"/>
      <c r="E439" s="104"/>
      <c r="F439" s="104"/>
      <c r="G439" s="89"/>
      <c r="H439" s="11" t="str">
        <f>'Приложение 9'!H553</f>
        <v>Иные закупки товаров, работ и услуг для обеспечения государственных (муниципальных) нужд</v>
      </c>
      <c r="I439" s="10">
        <f>'Приложение 9'!I553</f>
        <v>663</v>
      </c>
      <c r="J439" s="7">
        <f>'Приложение 9'!J553</f>
        <v>7</v>
      </c>
      <c r="K439" s="7">
        <f>'Приложение 9'!K553</f>
        <v>9</v>
      </c>
      <c r="L439" s="95" t="str">
        <f>'Приложение 9'!L553</f>
        <v>06</v>
      </c>
      <c r="M439" s="96" t="str">
        <f>'Приложение 9'!M553</f>
        <v>0</v>
      </c>
      <c r="N439" s="96" t="str">
        <f>'Приложение 9'!N553</f>
        <v>03</v>
      </c>
      <c r="O439" s="96" t="str">
        <f>'Приложение 9'!O553</f>
        <v>00190</v>
      </c>
      <c r="P439" s="10">
        <f>'Приложение 9'!P553</f>
        <v>240</v>
      </c>
      <c r="Q439" s="214">
        <f>'Приложение 9'!Q553</f>
        <v>70</v>
      </c>
      <c r="R439" s="214"/>
      <c r="S439" s="214"/>
    </row>
    <row r="440" spans="1:19" ht="33.75" customHeight="1">
      <c r="A440" s="99"/>
      <c r="B440" s="98"/>
      <c r="C440" s="103"/>
      <c r="D440" s="101"/>
      <c r="E440" s="104"/>
      <c r="F440" s="104"/>
      <c r="G440" s="89"/>
      <c r="H440" s="11" t="s">
        <v>210</v>
      </c>
      <c r="I440" s="10">
        <v>663</v>
      </c>
      <c r="J440" s="7">
        <v>7</v>
      </c>
      <c r="K440" s="7">
        <v>9</v>
      </c>
      <c r="L440" s="95" t="s">
        <v>595</v>
      </c>
      <c r="M440" s="96" t="s">
        <v>563</v>
      </c>
      <c r="N440" s="96" t="s">
        <v>593</v>
      </c>
      <c r="O440" s="96" t="s">
        <v>648</v>
      </c>
      <c r="P440" s="10">
        <v>630</v>
      </c>
      <c r="Q440" s="214">
        <v>1507</v>
      </c>
      <c r="R440" s="214"/>
      <c r="S440" s="214"/>
    </row>
    <row r="441" spans="1:19" ht="39" customHeight="1">
      <c r="A441" s="99"/>
      <c r="B441" s="98"/>
      <c r="C441" s="103"/>
      <c r="D441" s="101"/>
      <c r="E441" s="104"/>
      <c r="F441" s="104"/>
      <c r="G441" s="89"/>
      <c r="H441" s="11" t="s">
        <v>327</v>
      </c>
      <c r="I441" s="10">
        <v>663</v>
      </c>
      <c r="J441" s="7">
        <v>7</v>
      </c>
      <c r="K441" s="7">
        <v>9</v>
      </c>
      <c r="L441" s="95" t="s">
        <v>595</v>
      </c>
      <c r="M441" s="96" t="s">
        <v>563</v>
      </c>
      <c r="N441" s="96" t="s">
        <v>593</v>
      </c>
      <c r="O441" s="96" t="s">
        <v>300</v>
      </c>
      <c r="P441" s="10"/>
      <c r="Q441" s="214">
        <f>Q442</f>
        <v>5</v>
      </c>
      <c r="R441" s="214"/>
      <c r="S441" s="214"/>
    </row>
    <row r="442" spans="1:19" ht="24.75" customHeight="1">
      <c r="A442" s="99"/>
      <c r="B442" s="98"/>
      <c r="C442" s="103"/>
      <c r="D442" s="101"/>
      <c r="E442" s="104"/>
      <c r="F442" s="104"/>
      <c r="G442" s="89"/>
      <c r="H442" s="11" t="s">
        <v>720</v>
      </c>
      <c r="I442" s="10">
        <v>663</v>
      </c>
      <c r="J442" s="7">
        <v>7</v>
      </c>
      <c r="K442" s="7">
        <v>9</v>
      </c>
      <c r="L442" s="95" t="s">
        <v>595</v>
      </c>
      <c r="M442" s="96" t="s">
        <v>563</v>
      </c>
      <c r="N442" s="96" t="s">
        <v>593</v>
      </c>
      <c r="O442" s="96" t="s">
        <v>300</v>
      </c>
      <c r="P442" s="10">
        <v>240</v>
      </c>
      <c r="Q442" s="214">
        <f>'Приложение 9'!Q556</f>
        <v>5</v>
      </c>
      <c r="R442" s="214"/>
      <c r="S442" s="214"/>
    </row>
    <row r="443" spans="1:19" ht="28.5" customHeight="1">
      <c r="A443" s="99"/>
      <c r="B443" s="98"/>
      <c r="C443" s="103"/>
      <c r="D443" s="101"/>
      <c r="E443" s="104"/>
      <c r="F443" s="104"/>
      <c r="G443" s="89"/>
      <c r="H443" s="22" t="s">
        <v>658</v>
      </c>
      <c r="I443" s="10">
        <v>663</v>
      </c>
      <c r="J443" s="7">
        <v>7</v>
      </c>
      <c r="K443" s="7">
        <v>9</v>
      </c>
      <c r="L443" s="95" t="s">
        <v>595</v>
      </c>
      <c r="M443" s="96" t="s">
        <v>563</v>
      </c>
      <c r="N443" s="96" t="s">
        <v>588</v>
      </c>
      <c r="O443" s="96" t="s">
        <v>620</v>
      </c>
      <c r="P443" s="10"/>
      <c r="Q443" s="214">
        <f>Q444+Q446</f>
        <v>41.5</v>
      </c>
      <c r="R443" s="214"/>
      <c r="S443" s="214"/>
    </row>
    <row r="444" spans="1:19" ht="28.5" customHeight="1">
      <c r="A444" s="99"/>
      <c r="B444" s="98"/>
      <c r="C444" s="103"/>
      <c r="D444" s="101"/>
      <c r="E444" s="104"/>
      <c r="F444" s="104"/>
      <c r="G444" s="89"/>
      <c r="H444" s="22" t="s">
        <v>342</v>
      </c>
      <c r="I444" s="10">
        <v>663</v>
      </c>
      <c r="J444" s="7">
        <v>7</v>
      </c>
      <c r="K444" s="7">
        <v>9</v>
      </c>
      <c r="L444" s="95" t="s">
        <v>595</v>
      </c>
      <c r="M444" s="96" t="s">
        <v>563</v>
      </c>
      <c r="N444" s="96" t="s">
        <v>588</v>
      </c>
      <c r="O444" s="96" t="s">
        <v>648</v>
      </c>
      <c r="P444" s="10"/>
      <c r="Q444" s="214">
        <f>Q445</f>
        <v>41.5</v>
      </c>
      <c r="R444" s="214"/>
      <c r="S444" s="214"/>
    </row>
    <row r="445" spans="1:19" ht="28.5" customHeight="1">
      <c r="A445" s="99"/>
      <c r="B445" s="98"/>
      <c r="C445" s="103"/>
      <c r="D445" s="101"/>
      <c r="E445" s="104"/>
      <c r="F445" s="104"/>
      <c r="G445" s="89"/>
      <c r="H445" s="22" t="s">
        <v>720</v>
      </c>
      <c r="I445" s="10">
        <v>663</v>
      </c>
      <c r="J445" s="7">
        <v>7</v>
      </c>
      <c r="K445" s="7">
        <v>9</v>
      </c>
      <c r="L445" s="95" t="s">
        <v>595</v>
      </c>
      <c r="M445" s="96" t="s">
        <v>563</v>
      </c>
      <c r="N445" s="96" t="s">
        <v>588</v>
      </c>
      <c r="O445" s="96" t="s">
        <v>648</v>
      </c>
      <c r="P445" s="10">
        <v>240</v>
      </c>
      <c r="Q445" s="214">
        <f>'Приложение 9'!Q559</f>
        <v>41.5</v>
      </c>
      <c r="R445" s="214"/>
      <c r="S445" s="214"/>
    </row>
    <row r="446" spans="1:19" ht="41.25" customHeight="1" hidden="1">
      <c r="A446" s="99"/>
      <c r="B446" s="98"/>
      <c r="C446" s="103"/>
      <c r="D446" s="101"/>
      <c r="E446" s="104"/>
      <c r="F446" s="104"/>
      <c r="G446" s="89"/>
      <c r="H446" s="22" t="s">
        <v>501</v>
      </c>
      <c r="I446" s="10">
        <v>663</v>
      </c>
      <c r="J446" s="7">
        <v>7</v>
      </c>
      <c r="K446" s="7">
        <v>9</v>
      </c>
      <c r="L446" s="95" t="s">
        <v>595</v>
      </c>
      <c r="M446" s="96" t="s">
        <v>563</v>
      </c>
      <c r="N446" s="96" t="s">
        <v>588</v>
      </c>
      <c r="O446" s="96" t="s">
        <v>300</v>
      </c>
      <c r="P446" s="10"/>
      <c r="Q446" s="214">
        <f>Q447</f>
        <v>0</v>
      </c>
      <c r="R446" s="214"/>
      <c r="S446" s="214"/>
    </row>
    <row r="447" spans="1:19" ht="30" customHeight="1" hidden="1">
      <c r="A447" s="99"/>
      <c r="B447" s="98"/>
      <c r="C447" s="103"/>
      <c r="D447" s="101"/>
      <c r="E447" s="104"/>
      <c r="F447" s="104"/>
      <c r="G447" s="89"/>
      <c r="H447" s="22" t="s">
        <v>720</v>
      </c>
      <c r="I447" s="10">
        <v>663</v>
      </c>
      <c r="J447" s="7">
        <v>7</v>
      </c>
      <c r="K447" s="7">
        <v>9</v>
      </c>
      <c r="L447" s="95" t="s">
        <v>595</v>
      </c>
      <c r="M447" s="96" t="s">
        <v>563</v>
      </c>
      <c r="N447" s="96" t="s">
        <v>588</v>
      </c>
      <c r="O447" s="96" t="s">
        <v>300</v>
      </c>
      <c r="P447" s="10">
        <v>240</v>
      </c>
      <c r="Q447" s="214">
        <f>'Приложение 9'!Q561</f>
        <v>0</v>
      </c>
      <c r="R447" s="214"/>
      <c r="S447" s="214"/>
    </row>
    <row r="448" spans="1:19" ht="29.25" customHeight="1">
      <c r="A448" s="99"/>
      <c r="B448" s="98"/>
      <c r="C448" s="103"/>
      <c r="D448" s="101"/>
      <c r="E448" s="104"/>
      <c r="F448" s="104"/>
      <c r="G448" s="89"/>
      <c r="H448" s="22" t="s">
        <v>14</v>
      </c>
      <c r="I448" s="10">
        <v>663</v>
      </c>
      <c r="J448" s="7">
        <v>7</v>
      </c>
      <c r="K448" s="7">
        <v>9</v>
      </c>
      <c r="L448" s="95" t="s">
        <v>595</v>
      </c>
      <c r="M448" s="96" t="s">
        <v>563</v>
      </c>
      <c r="N448" s="96" t="s">
        <v>595</v>
      </c>
      <c r="O448" s="96" t="s">
        <v>620</v>
      </c>
      <c r="P448" s="10"/>
      <c r="Q448" s="214">
        <f>Q449+Q455+Q453</f>
        <v>4791.1</v>
      </c>
      <c r="R448" s="214"/>
      <c r="S448" s="214"/>
    </row>
    <row r="449" spans="1:19" ht="27" customHeight="1">
      <c r="A449" s="99"/>
      <c r="B449" s="98"/>
      <c r="C449" s="103"/>
      <c r="D449" s="101"/>
      <c r="E449" s="104"/>
      <c r="F449" s="104"/>
      <c r="G449" s="89"/>
      <c r="H449" s="22" t="s">
        <v>342</v>
      </c>
      <c r="I449" s="10">
        <v>663</v>
      </c>
      <c r="J449" s="7">
        <v>7</v>
      </c>
      <c r="K449" s="7">
        <v>9</v>
      </c>
      <c r="L449" s="95" t="s">
        <v>595</v>
      </c>
      <c r="M449" s="96" t="s">
        <v>563</v>
      </c>
      <c r="N449" s="96" t="s">
        <v>595</v>
      </c>
      <c r="O449" s="96" t="s">
        <v>648</v>
      </c>
      <c r="P449" s="10"/>
      <c r="Q449" s="214">
        <f>SUM(Q450:S452)</f>
        <v>3516</v>
      </c>
      <c r="R449" s="214"/>
      <c r="S449" s="214"/>
    </row>
    <row r="450" spans="1:19" ht="27" customHeight="1">
      <c r="A450" s="99"/>
      <c r="B450" s="98"/>
      <c r="C450" s="103"/>
      <c r="D450" s="101"/>
      <c r="E450" s="104"/>
      <c r="F450" s="104"/>
      <c r="G450" s="89"/>
      <c r="H450" s="22" t="s">
        <v>533</v>
      </c>
      <c r="I450" s="10">
        <v>663</v>
      </c>
      <c r="J450" s="7">
        <v>7</v>
      </c>
      <c r="K450" s="7">
        <v>9</v>
      </c>
      <c r="L450" s="95" t="s">
        <v>595</v>
      </c>
      <c r="M450" s="96" t="s">
        <v>563</v>
      </c>
      <c r="N450" s="96" t="s">
        <v>595</v>
      </c>
      <c r="O450" s="96" t="s">
        <v>648</v>
      </c>
      <c r="P450" s="10">
        <v>120</v>
      </c>
      <c r="Q450" s="214">
        <f>'Приложение 9'!Q564</f>
        <v>3274.3</v>
      </c>
      <c r="R450" s="214"/>
      <c r="S450" s="214"/>
    </row>
    <row r="451" spans="1:19" ht="26.25" customHeight="1">
      <c r="A451" s="99"/>
      <c r="B451" s="98"/>
      <c r="C451" s="103"/>
      <c r="D451" s="101"/>
      <c r="E451" s="104"/>
      <c r="F451" s="104"/>
      <c r="G451" s="89"/>
      <c r="H451" s="22" t="s">
        <v>720</v>
      </c>
      <c r="I451" s="10">
        <v>663</v>
      </c>
      <c r="J451" s="7">
        <v>7</v>
      </c>
      <c r="K451" s="7">
        <v>9</v>
      </c>
      <c r="L451" s="95" t="s">
        <v>595</v>
      </c>
      <c r="M451" s="96" t="s">
        <v>563</v>
      </c>
      <c r="N451" s="96" t="s">
        <v>595</v>
      </c>
      <c r="O451" s="96" t="s">
        <v>648</v>
      </c>
      <c r="P451" s="10">
        <v>240</v>
      </c>
      <c r="Q451" s="214">
        <f>'Приложение 9'!Q565</f>
        <v>240.7</v>
      </c>
      <c r="R451" s="214"/>
      <c r="S451" s="214"/>
    </row>
    <row r="452" spans="1:19" ht="26.25" customHeight="1">
      <c r="A452" s="99"/>
      <c r="B452" s="98"/>
      <c r="C452" s="103"/>
      <c r="D452" s="101"/>
      <c r="E452" s="104"/>
      <c r="F452" s="104"/>
      <c r="G452" s="89"/>
      <c r="H452" s="259" t="str">
        <f>'Приложение 9'!H566</f>
        <v>Уплата налогов, сборов и иных платежей</v>
      </c>
      <c r="I452" s="10">
        <f>'Приложение 9'!I566</f>
        <v>663</v>
      </c>
      <c r="J452" s="7">
        <f>'Приложение 9'!J566</f>
        <v>7</v>
      </c>
      <c r="K452" s="7">
        <f>'Приложение 9'!K566</f>
        <v>9</v>
      </c>
      <c r="L452" s="95" t="str">
        <f>'Приложение 9'!L566</f>
        <v>06</v>
      </c>
      <c r="M452" s="96" t="str">
        <f>'Приложение 9'!M566</f>
        <v>0</v>
      </c>
      <c r="N452" s="96" t="str">
        <f>'Приложение 9'!N566</f>
        <v>06</v>
      </c>
      <c r="O452" s="96" t="str">
        <f>'Приложение 9'!O566</f>
        <v>00190</v>
      </c>
      <c r="P452" s="10">
        <f>'Приложение 9'!P566</f>
        <v>850</v>
      </c>
      <c r="Q452" s="214">
        <f>'Приложение 9'!Q566</f>
        <v>1</v>
      </c>
      <c r="R452" s="214"/>
      <c r="S452" s="214"/>
    </row>
    <row r="453" spans="1:19" ht="32.25" customHeight="1">
      <c r="A453" s="99"/>
      <c r="B453" s="98"/>
      <c r="C453" s="103"/>
      <c r="D453" s="101"/>
      <c r="E453" s="104"/>
      <c r="F453" s="104"/>
      <c r="G453" s="89"/>
      <c r="H453" s="259" t="str">
        <f>'Приложение 9'!H567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53" s="10">
        <f>'Приложение 9'!I567</f>
        <v>663</v>
      </c>
      <c r="J453" s="7">
        <f>'Приложение 9'!J567</f>
        <v>7</v>
      </c>
      <c r="K453" s="7">
        <f>'Приложение 9'!K567</f>
        <v>9</v>
      </c>
      <c r="L453" s="95" t="str">
        <f>'Приложение 9'!L567</f>
        <v>06</v>
      </c>
      <c r="M453" s="96" t="str">
        <f>'Приложение 9'!M567</f>
        <v>0</v>
      </c>
      <c r="N453" s="96" t="str">
        <f>'Приложение 9'!N567</f>
        <v>06</v>
      </c>
      <c r="O453" s="96" t="str">
        <f>'Приложение 9'!O567</f>
        <v>70030</v>
      </c>
      <c r="P453" s="10" t="s">
        <v>621</v>
      </c>
      <c r="Q453" s="214">
        <f>Q454</f>
        <v>655.5</v>
      </c>
      <c r="R453" s="214"/>
      <c r="S453" s="214"/>
    </row>
    <row r="454" spans="1:19" ht="26.25" customHeight="1">
      <c r="A454" s="99"/>
      <c r="B454" s="98"/>
      <c r="C454" s="103"/>
      <c r="D454" s="101"/>
      <c r="E454" s="104"/>
      <c r="F454" s="104"/>
      <c r="G454" s="89"/>
      <c r="H454" s="259" t="str">
        <f>'Приложение 9'!H568</f>
        <v>Расходы на выплаты персоналу государственных (муниципальных) органов</v>
      </c>
      <c r="I454" s="10">
        <f>'Приложение 9'!I568</f>
        <v>663</v>
      </c>
      <c r="J454" s="7">
        <f>'Приложение 9'!J568</f>
        <v>7</v>
      </c>
      <c r="K454" s="7">
        <f>'Приложение 9'!K568</f>
        <v>9</v>
      </c>
      <c r="L454" s="95" t="str">
        <f>'Приложение 9'!L568</f>
        <v>06</v>
      </c>
      <c r="M454" s="96" t="str">
        <f>'Приложение 9'!M568</f>
        <v>0</v>
      </c>
      <c r="N454" s="96" t="str">
        <f>'Приложение 9'!N568</f>
        <v>06</v>
      </c>
      <c r="O454" s="96" t="str">
        <f>'Приложение 9'!O568</f>
        <v>70030</v>
      </c>
      <c r="P454" s="10">
        <f>'Приложение 9'!P568</f>
        <v>120</v>
      </c>
      <c r="Q454" s="214">
        <f>'Приложение 9'!Q568</f>
        <v>655.5</v>
      </c>
      <c r="R454" s="214"/>
      <c r="S454" s="214"/>
    </row>
    <row r="455" spans="1:19" ht="38.25" customHeight="1">
      <c r="A455" s="99"/>
      <c r="B455" s="98"/>
      <c r="C455" s="103"/>
      <c r="D455" s="101"/>
      <c r="E455" s="104"/>
      <c r="F455" s="104"/>
      <c r="G455" s="89"/>
      <c r="H455" s="259" t="s">
        <v>501</v>
      </c>
      <c r="I455" s="10">
        <v>663</v>
      </c>
      <c r="J455" s="7">
        <v>7</v>
      </c>
      <c r="K455" s="7">
        <v>9</v>
      </c>
      <c r="L455" s="95" t="s">
        <v>595</v>
      </c>
      <c r="M455" s="96" t="s">
        <v>563</v>
      </c>
      <c r="N455" s="96" t="s">
        <v>595</v>
      </c>
      <c r="O455" s="96" t="s">
        <v>300</v>
      </c>
      <c r="P455" s="10"/>
      <c r="Q455" s="214">
        <f>SUM(Q456:Q458)</f>
        <v>619.6000000000001</v>
      </c>
      <c r="R455" s="214"/>
      <c r="S455" s="214"/>
    </row>
    <row r="456" spans="1:19" ht="27" customHeight="1">
      <c r="A456" s="99"/>
      <c r="B456" s="98"/>
      <c r="C456" s="103"/>
      <c r="D456" s="101"/>
      <c r="E456" s="104"/>
      <c r="F456" s="104"/>
      <c r="G456" s="89"/>
      <c r="H456" s="259" t="s">
        <v>723</v>
      </c>
      <c r="I456" s="10">
        <v>663</v>
      </c>
      <c r="J456" s="7">
        <v>7</v>
      </c>
      <c r="K456" s="7">
        <v>9</v>
      </c>
      <c r="L456" s="95" t="s">
        <v>595</v>
      </c>
      <c r="M456" s="96" t="s">
        <v>563</v>
      </c>
      <c r="N456" s="96" t="s">
        <v>595</v>
      </c>
      <c r="O456" s="96" t="s">
        <v>300</v>
      </c>
      <c r="P456" s="10">
        <v>110</v>
      </c>
      <c r="Q456" s="214">
        <f>'Приложение 9'!Q570</f>
        <v>587.1000000000001</v>
      </c>
      <c r="R456" s="214"/>
      <c r="S456" s="214"/>
    </row>
    <row r="457" spans="1:19" ht="22.5" customHeight="1">
      <c r="A457" s="99"/>
      <c r="B457" s="98"/>
      <c r="C457" s="103"/>
      <c r="D457" s="101"/>
      <c r="E457" s="104"/>
      <c r="F457" s="104"/>
      <c r="G457" s="89"/>
      <c r="H457" s="259" t="s">
        <v>720</v>
      </c>
      <c r="I457" s="10">
        <v>663</v>
      </c>
      <c r="J457" s="7">
        <v>7</v>
      </c>
      <c r="K457" s="7">
        <v>9</v>
      </c>
      <c r="L457" s="95" t="s">
        <v>595</v>
      </c>
      <c r="M457" s="96" t="s">
        <v>563</v>
      </c>
      <c r="N457" s="96" t="s">
        <v>595</v>
      </c>
      <c r="O457" s="96" t="s">
        <v>300</v>
      </c>
      <c r="P457" s="10">
        <v>240</v>
      </c>
      <c r="Q457" s="214">
        <f>'Приложение 9'!Q571</f>
        <v>32.2</v>
      </c>
      <c r="R457" s="214"/>
      <c r="S457" s="214"/>
    </row>
    <row r="458" spans="1:19" ht="22.5" customHeight="1">
      <c r="A458" s="99"/>
      <c r="B458" s="98"/>
      <c r="C458" s="103"/>
      <c r="D458" s="101"/>
      <c r="E458" s="104"/>
      <c r="F458" s="104"/>
      <c r="G458" s="89"/>
      <c r="H458" s="259" t="str">
        <f>'Приложение 9'!H572</f>
        <v>Уплата налогов, сборов и иных платежей</v>
      </c>
      <c r="I458" s="10">
        <f>'Приложение 9'!I572</f>
        <v>663</v>
      </c>
      <c r="J458" s="7">
        <f>'Приложение 9'!J572</f>
        <v>7</v>
      </c>
      <c r="K458" s="7">
        <f>'Приложение 9'!K572</f>
        <v>9</v>
      </c>
      <c r="L458" s="95" t="str">
        <f>'Приложение 9'!L572</f>
        <v>06</v>
      </c>
      <c r="M458" s="96" t="str">
        <f>'Приложение 9'!M572</f>
        <v>0</v>
      </c>
      <c r="N458" s="96" t="str">
        <f>'Приложение 9'!N572</f>
        <v>06</v>
      </c>
      <c r="O458" s="96" t="str">
        <f>'Приложение 9'!O572</f>
        <v>14590</v>
      </c>
      <c r="P458" s="10">
        <f>'Приложение 9'!P572</f>
        <v>850</v>
      </c>
      <c r="Q458" s="214">
        <f>'Приложение 9'!Q572</f>
        <v>0.30000000000000004</v>
      </c>
      <c r="R458" s="214"/>
      <c r="S458" s="214"/>
    </row>
    <row r="459" spans="1:19" ht="29.25" customHeight="1">
      <c r="A459" s="99"/>
      <c r="B459" s="98"/>
      <c r="C459" s="103"/>
      <c r="D459" s="101"/>
      <c r="E459" s="104"/>
      <c r="F459" s="104"/>
      <c r="G459" s="89"/>
      <c r="H459" s="5" t="str">
        <f>'Приложение 9'!H573</f>
        <v>Муниципальная программа «Обеспечение законности, правопорядка и общественной безопасности в Белозерском районе на 2014 -2020 годы</v>
      </c>
      <c r="I459" s="10">
        <f>'Приложение 9'!I573</f>
        <v>663</v>
      </c>
      <c r="J459" s="7">
        <f>'Приложение 9'!J573</f>
        <v>7</v>
      </c>
      <c r="K459" s="7">
        <f>'Приложение 9'!K573</f>
        <v>9</v>
      </c>
      <c r="L459" s="95" t="str">
        <f>'Приложение 9'!L573</f>
        <v>13</v>
      </c>
      <c r="M459" s="96" t="str">
        <f>'Приложение 9'!M573</f>
        <v>0</v>
      </c>
      <c r="N459" s="96" t="str">
        <f>'Приложение 9'!N573</f>
        <v>00</v>
      </c>
      <c r="O459" s="96" t="str">
        <f>'Приложение 9'!O573</f>
        <v>00000</v>
      </c>
      <c r="P459" s="10" t="s">
        <v>621</v>
      </c>
      <c r="Q459" s="214">
        <f>Q460</f>
        <v>15</v>
      </c>
      <c r="R459" s="214"/>
      <c r="S459" s="214"/>
    </row>
    <row r="460" spans="1:19" ht="22.5" customHeight="1">
      <c r="A460" s="99"/>
      <c r="B460" s="98"/>
      <c r="C460" s="103"/>
      <c r="D460" s="101"/>
      <c r="E460" s="104"/>
      <c r="F460" s="104"/>
      <c r="G460" s="89"/>
      <c r="H460" s="5" t="str">
        <f>'Приложение 9'!H574</f>
        <v>Подпрограмма "Безопасность дорожного движения"</v>
      </c>
      <c r="I460" s="10">
        <f>'Приложение 9'!I574</f>
        <v>663</v>
      </c>
      <c r="J460" s="7">
        <f>'Приложение 9'!J574</f>
        <v>7</v>
      </c>
      <c r="K460" s="7">
        <f>'Приложение 9'!K574</f>
        <v>9</v>
      </c>
      <c r="L460" s="95" t="str">
        <f>'Приложение 9'!L574</f>
        <v>13</v>
      </c>
      <c r="M460" s="96" t="str">
        <f>'Приложение 9'!M574</f>
        <v>1</v>
      </c>
      <c r="N460" s="96" t="str">
        <f>'Приложение 9'!N574</f>
        <v>00</v>
      </c>
      <c r="O460" s="96" t="str">
        <f>'Приложение 9'!O574</f>
        <v>00000</v>
      </c>
      <c r="P460" s="10" t="s">
        <v>621</v>
      </c>
      <c r="Q460" s="214">
        <f>Q461</f>
        <v>15</v>
      </c>
      <c r="R460" s="214"/>
      <c r="S460" s="214"/>
    </row>
    <row r="461" spans="1:19" ht="31.5" customHeight="1">
      <c r="A461" s="99"/>
      <c r="B461" s="98"/>
      <c r="C461" s="103"/>
      <c r="D461" s="101"/>
      <c r="E461" s="104"/>
      <c r="F461" s="104"/>
      <c r="G461" s="89"/>
      <c r="H461" s="5" t="str">
        <f>'Приложение 9'!H575</f>
        <v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v>
      </c>
      <c r="I461" s="10">
        <f>'Приложение 9'!I575</f>
        <v>663</v>
      </c>
      <c r="J461" s="7">
        <f>'Приложение 9'!J575</f>
        <v>7</v>
      </c>
      <c r="K461" s="7">
        <f>'Приложение 9'!K575</f>
        <v>9</v>
      </c>
      <c r="L461" s="95" t="str">
        <f>'Приложение 9'!L575</f>
        <v>13</v>
      </c>
      <c r="M461" s="96" t="str">
        <f>'Приложение 9'!M575</f>
        <v>1</v>
      </c>
      <c r="N461" s="96" t="str">
        <f>'Приложение 9'!N575</f>
        <v>02</v>
      </c>
      <c r="O461" s="96" t="str">
        <f>'Приложение 9'!O575</f>
        <v>00000</v>
      </c>
      <c r="P461" s="10" t="s">
        <v>621</v>
      </c>
      <c r="Q461" s="214">
        <f>Q462</f>
        <v>15</v>
      </c>
      <c r="R461" s="214"/>
      <c r="S461" s="214"/>
    </row>
    <row r="462" spans="1:19" ht="22.5" customHeight="1">
      <c r="A462" s="99"/>
      <c r="B462" s="98"/>
      <c r="C462" s="103"/>
      <c r="D462" s="101"/>
      <c r="E462" s="104"/>
      <c r="F462" s="104"/>
      <c r="G462" s="89"/>
      <c r="H462" s="5" t="str">
        <f>'Приложение 9'!H576</f>
        <v>Реализация мероприятий, направленных на обеспечение безопасности дорожного движения</v>
      </c>
      <c r="I462" s="10">
        <f>'Приложение 9'!I576</f>
        <v>663</v>
      </c>
      <c r="J462" s="7">
        <f>'Приложение 9'!J576</f>
        <v>7</v>
      </c>
      <c r="K462" s="7">
        <f>'Приложение 9'!K576</f>
        <v>9</v>
      </c>
      <c r="L462" s="95" t="str">
        <f>'Приложение 9'!L576</f>
        <v>13</v>
      </c>
      <c r="M462" s="96" t="str">
        <f>'Приложение 9'!M576</f>
        <v>1</v>
      </c>
      <c r="N462" s="96" t="str">
        <f>'Приложение 9'!N576</f>
        <v>02</v>
      </c>
      <c r="O462" s="96" t="str">
        <f>'Приложение 9'!O576</f>
        <v>20440</v>
      </c>
      <c r="P462" s="10" t="s">
        <v>621</v>
      </c>
      <c r="Q462" s="214">
        <f>Q463</f>
        <v>15</v>
      </c>
      <c r="R462" s="214"/>
      <c r="S462" s="214"/>
    </row>
    <row r="463" spans="1:19" ht="22.5" customHeight="1">
      <c r="A463" s="99"/>
      <c r="B463" s="98"/>
      <c r="C463" s="103"/>
      <c r="D463" s="101"/>
      <c r="E463" s="104"/>
      <c r="F463" s="104"/>
      <c r="G463" s="89"/>
      <c r="H463" s="5" t="str">
        <f>'Приложение 9'!H577</f>
        <v>Иные закупки товаров, работ и услуг для обеспечения государственных (муниципальных) нужд</v>
      </c>
      <c r="I463" s="10">
        <f>'Приложение 9'!I577</f>
        <v>663</v>
      </c>
      <c r="J463" s="7">
        <f>'Приложение 9'!J577</f>
        <v>7</v>
      </c>
      <c r="K463" s="7">
        <f>'Приложение 9'!K577</f>
        <v>9</v>
      </c>
      <c r="L463" s="95" t="str">
        <f>'Приложение 9'!L577</f>
        <v>13</v>
      </c>
      <c r="M463" s="96" t="str">
        <f>'Приложение 9'!M577</f>
        <v>1</v>
      </c>
      <c r="N463" s="96" t="str">
        <f>'Приложение 9'!N577</f>
        <v>02</v>
      </c>
      <c r="O463" s="96" t="str">
        <f>'Приложение 9'!O577</f>
        <v>20440</v>
      </c>
      <c r="P463" s="10">
        <f>'Приложение 9'!P577</f>
        <v>240</v>
      </c>
      <c r="Q463" s="214">
        <f>'Приложение 9'!Q577</f>
        <v>15</v>
      </c>
      <c r="R463" s="214"/>
      <c r="S463" s="214"/>
    </row>
    <row r="464" spans="1:19" ht="39.75" customHeight="1">
      <c r="A464" s="99"/>
      <c r="B464" s="98"/>
      <c r="C464" s="103"/>
      <c r="D464" s="101"/>
      <c r="E464" s="104"/>
      <c r="F464" s="104"/>
      <c r="G464" s="89"/>
      <c r="H464" s="5" t="s">
        <v>687</v>
      </c>
      <c r="I464" s="10">
        <v>663</v>
      </c>
      <c r="J464" s="7">
        <v>7</v>
      </c>
      <c r="K464" s="7">
        <v>9</v>
      </c>
      <c r="L464" s="95" t="s">
        <v>688</v>
      </c>
      <c r="M464" s="96" t="s">
        <v>563</v>
      </c>
      <c r="N464" s="96" t="s">
        <v>583</v>
      </c>
      <c r="O464" s="96" t="s">
        <v>620</v>
      </c>
      <c r="P464" s="10"/>
      <c r="Q464" s="214">
        <f>Q465+Q468+Q472</f>
        <v>162</v>
      </c>
      <c r="R464" s="214">
        <f>R465+R468+R472</f>
        <v>162</v>
      </c>
      <c r="S464" s="214">
        <f>S465+S468+S472</f>
        <v>162</v>
      </c>
    </row>
    <row r="465" spans="1:19" ht="33.75" customHeight="1">
      <c r="A465" s="99"/>
      <c r="B465" s="98"/>
      <c r="C465" s="103"/>
      <c r="D465" s="101"/>
      <c r="E465" s="104"/>
      <c r="F465" s="104"/>
      <c r="G465" s="89"/>
      <c r="H465" s="5" t="s">
        <v>328</v>
      </c>
      <c r="I465" s="10">
        <v>663</v>
      </c>
      <c r="J465" s="7">
        <v>7</v>
      </c>
      <c r="K465" s="7">
        <v>9</v>
      </c>
      <c r="L465" s="95" t="s">
        <v>688</v>
      </c>
      <c r="M465" s="96" t="s">
        <v>563</v>
      </c>
      <c r="N465" s="96" t="s">
        <v>564</v>
      </c>
      <c r="O465" s="96" t="s">
        <v>620</v>
      </c>
      <c r="P465" s="10"/>
      <c r="Q465" s="214">
        <f aca="true" t="shared" si="32" ref="Q465:S466">Q466</f>
        <v>10</v>
      </c>
      <c r="R465" s="214">
        <f t="shared" si="32"/>
        <v>10</v>
      </c>
      <c r="S465" s="214">
        <f t="shared" si="32"/>
        <v>10</v>
      </c>
    </row>
    <row r="466" spans="1:19" ht="42" customHeight="1">
      <c r="A466" s="99"/>
      <c r="B466" s="98"/>
      <c r="C466" s="103"/>
      <c r="D466" s="101"/>
      <c r="E466" s="104"/>
      <c r="F466" s="104"/>
      <c r="G466" s="89"/>
      <c r="H466" s="5" t="s">
        <v>327</v>
      </c>
      <c r="I466" s="10">
        <v>663</v>
      </c>
      <c r="J466" s="7">
        <v>7</v>
      </c>
      <c r="K466" s="7">
        <v>9</v>
      </c>
      <c r="L466" s="95" t="s">
        <v>688</v>
      </c>
      <c r="M466" s="96" t="s">
        <v>563</v>
      </c>
      <c r="N466" s="96" t="s">
        <v>564</v>
      </c>
      <c r="O466" s="96" t="s">
        <v>300</v>
      </c>
      <c r="P466" s="10"/>
      <c r="Q466" s="214">
        <f t="shared" si="32"/>
        <v>10</v>
      </c>
      <c r="R466" s="214">
        <f t="shared" si="32"/>
        <v>10</v>
      </c>
      <c r="S466" s="214">
        <f t="shared" si="32"/>
        <v>10</v>
      </c>
    </row>
    <row r="467" spans="1:19" ht="28.5" customHeight="1">
      <c r="A467" s="99"/>
      <c r="B467" s="98"/>
      <c r="C467" s="103"/>
      <c r="D467" s="101"/>
      <c r="E467" s="104"/>
      <c r="F467" s="104"/>
      <c r="G467" s="89"/>
      <c r="H467" s="5" t="s">
        <v>720</v>
      </c>
      <c r="I467" s="10">
        <v>663</v>
      </c>
      <c r="J467" s="7">
        <v>7</v>
      </c>
      <c r="K467" s="7">
        <v>9</v>
      </c>
      <c r="L467" s="95" t="s">
        <v>688</v>
      </c>
      <c r="M467" s="96" t="s">
        <v>563</v>
      </c>
      <c r="N467" s="96" t="s">
        <v>564</v>
      </c>
      <c r="O467" s="96" t="s">
        <v>300</v>
      </c>
      <c r="P467" s="10">
        <v>240</v>
      </c>
      <c r="Q467" s="214">
        <v>10</v>
      </c>
      <c r="R467" s="214">
        <v>10</v>
      </c>
      <c r="S467" s="214">
        <v>10</v>
      </c>
    </row>
    <row r="468" spans="1:19" ht="37.5" customHeight="1">
      <c r="A468" s="99"/>
      <c r="B468" s="98"/>
      <c r="C468" s="103"/>
      <c r="D468" s="101"/>
      <c r="E468" s="104"/>
      <c r="F468" s="104"/>
      <c r="G468" s="89"/>
      <c r="H468" s="5" t="s">
        <v>686</v>
      </c>
      <c r="I468" s="10">
        <v>663</v>
      </c>
      <c r="J468" s="7">
        <v>7</v>
      </c>
      <c r="K468" s="7">
        <v>9</v>
      </c>
      <c r="L468" s="95" t="s">
        <v>688</v>
      </c>
      <c r="M468" s="96" t="s">
        <v>563</v>
      </c>
      <c r="N468" s="96" t="s">
        <v>588</v>
      </c>
      <c r="O468" s="96" t="s">
        <v>620</v>
      </c>
      <c r="P468" s="10"/>
      <c r="Q468" s="214">
        <f>Q469</f>
        <v>77</v>
      </c>
      <c r="R468" s="214">
        <f>R469</f>
        <v>77</v>
      </c>
      <c r="S468" s="214">
        <f>S469</f>
        <v>77</v>
      </c>
    </row>
    <row r="469" spans="1:19" ht="37.5" customHeight="1">
      <c r="A469" s="99"/>
      <c r="B469" s="98"/>
      <c r="C469" s="103"/>
      <c r="D469" s="101"/>
      <c r="E469" s="104"/>
      <c r="F469" s="104"/>
      <c r="G469" s="89"/>
      <c r="H469" s="5" t="s">
        <v>327</v>
      </c>
      <c r="I469" s="10">
        <v>663</v>
      </c>
      <c r="J469" s="7">
        <v>7</v>
      </c>
      <c r="K469" s="7">
        <v>9</v>
      </c>
      <c r="L469" s="95" t="s">
        <v>688</v>
      </c>
      <c r="M469" s="96" t="s">
        <v>563</v>
      </c>
      <c r="N469" s="96" t="s">
        <v>588</v>
      </c>
      <c r="O469" s="96" t="s">
        <v>300</v>
      </c>
      <c r="P469" s="10"/>
      <c r="Q469" s="214">
        <f>SUM(Q470:Q471)</f>
        <v>77</v>
      </c>
      <c r="R469" s="214">
        <f>SUM(R470:R471)</f>
        <v>77</v>
      </c>
      <c r="S469" s="214">
        <f>SUM(S470:S471)</f>
        <v>77</v>
      </c>
    </row>
    <row r="470" spans="1:19" ht="30" customHeight="1">
      <c r="A470" s="99"/>
      <c r="B470" s="98"/>
      <c r="C470" s="103"/>
      <c r="D470" s="101"/>
      <c r="E470" s="104"/>
      <c r="F470" s="104"/>
      <c r="G470" s="89"/>
      <c r="H470" s="5" t="s">
        <v>720</v>
      </c>
      <c r="I470" s="10">
        <v>663</v>
      </c>
      <c r="J470" s="7">
        <v>7</v>
      </c>
      <c r="K470" s="7">
        <v>9</v>
      </c>
      <c r="L470" s="95" t="s">
        <v>688</v>
      </c>
      <c r="M470" s="96" t="s">
        <v>563</v>
      </c>
      <c r="N470" s="96" t="s">
        <v>588</v>
      </c>
      <c r="O470" s="96" t="s">
        <v>300</v>
      </c>
      <c r="P470" s="10">
        <v>240</v>
      </c>
      <c r="Q470" s="214">
        <v>7</v>
      </c>
      <c r="R470" s="214">
        <v>7</v>
      </c>
      <c r="S470" s="214">
        <v>7</v>
      </c>
    </row>
    <row r="471" spans="1:19" ht="27" customHeight="1">
      <c r="A471" s="99"/>
      <c r="B471" s="98"/>
      <c r="C471" s="103"/>
      <c r="D471" s="101"/>
      <c r="E471" s="104"/>
      <c r="F471" s="104"/>
      <c r="G471" s="89"/>
      <c r="H471" s="5" t="s">
        <v>725</v>
      </c>
      <c r="I471" s="10">
        <v>663</v>
      </c>
      <c r="J471" s="7">
        <v>7</v>
      </c>
      <c r="K471" s="7">
        <v>9</v>
      </c>
      <c r="L471" s="95" t="s">
        <v>688</v>
      </c>
      <c r="M471" s="96" t="s">
        <v>563</v>
      </c>
      <c r="N471" s="96" t="s">
        <v>588</v>
      </c>
      <c r="O471" s="96" t="s">
        <v>300</v>
      </c>
      <c r="P471" s="10">
        <v>320</v>
      </c>
      <c r="Q471" s="214">
        <v>70</v>
      </c>
      <c r="R471" s="214">
        <v>70</v>
      </c>
      <c r="S471" s="214">
        <v>70</v>
      </c>
    </row>
    <row r="472" spans="1:19" ht="30" customHeight="1">
      <c r="A472" s="99"/>
      <c r="B472" s="98"/>
      <c r="C472" s="103"/>
      <c r="D472" s="101"/>
      <c r="E472" s="104"/>
      <c r="F472" s="104"/>
      <c r="G472" s="89"/>
      <c r="H472" s="5" t="s">
        <v>253</v>
      </c>
      <c r="I472" s="10">
        <v>663</v>
      </c>
      <c r="J472" s="7">
        <v>7</v>
      </c>
      <c r="K472" s="7">
        <v>9</v>
      </c>
      <c r="L472" s="95" t="s">
        <v>688</v>
      </c>
      <c r="M472" s="96" t="s">
        <v>563</v>
      </c>
      <c r="N472" s="96" t="s">
        <v>566</v>
      </c>
      <c r="O472" s="96" t="s">
        <v>620</v>
      </c>
      <c r="P472" s="10"/>
      <c r="Q472" s="214">
        <f aca="true" t="shared" si="33" ref="Q472:S473">Q473</f>
        <v>75</v>
      </c>
      <c r="R472" s="214">
        <f t="shared" si="33"/>
        <v>75</v>
      </c>
      <c r="S472" s="214">
        <f t="shared" si="33"/>
        <v>75</v>
      </c>
    </row>
    <row r="473" spans="1:19" ht="33" customHeight="1">
      <c r="A473" s="99"/>
      <c r="B473" s="98"/>
      <c r="C473" s="103"/>
      <c r="D473" s="101"/>
      <c r="E473" s="104"/>
      <c r="F473" s="104"/>
      <c r="G473" s="89"/>
      <c r="H473" s="5" t="s">
        <v>327</v>
      </c>
      <c r="I473" s="10">
        <v>663</v>
      </c>
      <c r="J473" s="7">
        <v>7</v>
      </c>
      <c r="K473" s="7">
        <v>9</v>
      </c>
      <c r="L473" s="95" t="s">
        <v>688</v>
      </c>
      <c r="M473" s="96" t="s">
        <v>563</v>
      </c>
      <c r="N473" s="96" t="s">
        <v>566</v>
      </c>
      <c r="O473" s="96" t="s">
        <v>300</v>
      </c>
      <c r="P473" s="10"/>
      <c r="Q473" s="214">
        <f t="shared" si="33"/>
        <v>75</v>
      </c>
      <c r="R473" s="214">
        <f t="shared" si="33"/>
        <v>75</v>
      </c>
      <c r="S473" s="214">
        <f t="shared" si="33"/>
        <v>75</v>
      </c>
    </row>
    <row r="474" spans="1:19" ht="30" customHeight="1">
      <c r="A474" s="99"/>
      <c r="B474" s="98"/>
      <c r="C474" s="103"/>
      <c r="D474" s="101"/>
      <c r="E474" s="104"/>
      <c r="F474" s="104"/>
      <c r="G474" s="89"/>
      <c r="H474" s="5" t="s">
        <v>725</v>
      </c>
      <c r="I474" s="10">
        <v>663</v>
      </c>
      <c r="J474" s="7">
        <v>7</v>
      </c>
      <c r="K474" s="7">
        <v>9</v>
      </c>
      <c r="L474" s="95" t="s">
        <v>688</v>
      </c>
      <c r="M474" s="96" t="s">
        <v>563</v>
      </c>
      <c r="N474" s="96" t="s">
        <v>566</v>
      </c>
      <c r="O474" s="96" t="s">
        <v>300</v>
      </c>
      <c r="P474" s="10">
        <v>320</v>
      </c>
      <c r="Q474" s="214">
        <v>75</v>
      </c>
      <c r="R474" s="214">
        <v>75</v>
      </c>
      <c r="S474" s="214">
        <v>75</v>
      </c>
    </row>
    <row r="475" spans="1:19" s="179" customFormat="1" ht="24.75" customHeight="1">
      <c r="A475" s="142"/>
      <c r="B475" s="143"/>
      <c r="C475" s="142"/>
      <c r="D475" s="380">
        <v>10000</v>
      </c>
      <c r="E475" s="381"/>
      <c r="F475" s="381"/>
      <c r="G475" s="136">
        <v>240</v>
      </c>
      <c r="H475" s="137" t="s">
        <v>542</v>
      </c>
      <c r="I475" s="138">
        <v>27</v>
      </c>
      <c r="J475" s="148">
        <v>8</v>
      </c>
      <c r="K475" s="148"/>
      <c r="L475" s="140"/>
      <c r="M475" s="141"/>
      <c r="N475" s="141"/>
      <c r="O475" s="141"/>
      <c r="P475" s="138"/>
      <c r="Q475" s="213">
        <f aca="true" t="shared" si="34" ref="Q475:S476">Q476</f>
        <v>45098</v>
      </c>
      <c r="R475" s="213">
        <f t="shared" si="34"/>
        <v>28683.5</v>
      </c>
      <c r="S475" s="213">
        <f t="shared" si="34"/>
        <v>26972.6</v>
      </c>
    </row>
    <row r="476" spans="1:19" s="179" customFormat="1" ht="25.5" customHeight="1">
      <c r="A476" s="142"/>
      <c r="B476" s="143"/>
      <c r="C476" s="153"/>
      <c r="D476" s="150"/>
      <c r="E476" s="379">
        <v>15200</v>
      </c>
      <c r="F476" s="379"/>
      <c r="G476" s="136">
        <v>240</v>
      </c>
      <c r="H476" s="137" t="s">
        <v>381</v>
      </c>
      <c r="I476" s="138">
        <v>27</v>
      </c>
      <c r="J476" s="148">
        <v>8</v>
      </c>
      <c r="K476" s="148">
        <v>1</v>
      </c>
      <c r="L476" s="140"/>
      <c r="M476" s="141"/>
      <c r="N476" s="141"/>
      <c r="O476" s="141"/>
      <c r="P476" s="138"/>
      <c r="Q476" s="213">
        <f t="shared" si="34"/>
        <v>45098</v>
      </c>
      <c r="R476" s="213">
        <f t="shared" si="34"/>
        <v>28683.5</v>
      </c>
      <c r="S476" s="213">
        <f t="shared" si="34"/>
        <v>26972.6</v>
      </c>
    </row>
    <row r="477" spans="1:19" ht="25.5" customHeight="1">
      <c r="A477" s="99"/>
      <c r="B477" s="98"/>
      <c r="C477" s="103"/>
      <c r="D477" s="101"/>
      <c r="E477" s="367">
        <v>20400</v>
      </c>
      <c r="F477" s="367"/>
      <c r="G477" s="89">
        <v>850</v>
      </c>
      <c r="H477" s="5" t="s">
        <v>665</v>
      </c>
      <c r="I477" s="10">
        <v>27</v>
      </c>
      <c r="J477" s="7">
        <v>8</v>
      </c>
      <c r="K477" s="7">
        <v>1</v>
      </c>
      <c r="L477" s="95" t="s">
        <v>666</v>
      </c>
      <c r="M477" s="96" t="s">
        <v>563</v>
      </c>
      <c r="N477" s="96" t="s">
        <v>583</v>
      </c>
      <c r="O477" s="96" t="s">
        <v>620</v>
      </c>
      <c r="P477" s="10"/>
      <c r="Q477" s="214">
        <f>Q478+Q487+Q492</f>
        <v>45098</v>
      </c>
      <c r="R477" s="214">
        <f>R478+R487+R492</f>
        <v>28683.5</v>
      </c>
      <c r="S477" s="214">
        <f>S478+S487+S492</f>
        <v>26972.6</v>
      </c>
    </row>
    <row r="478" spans="1:19" ht="39.75" customHeight="1">
      <c r="A478" s="99"/>
      <c r="B478" s="98"/>
      <c r="C478" s="103"/>
      <c r="D478" s="101"/>
      <c r="E478" s="113"/>
      <c r="F478" s="113"/>
      <c r="G478" s="105">
        <v>120</v>
      </c>
      <c r="H478" s="18" t="s">
        <v>301</v>
      </c>
      <c r="I478" s="6">
        <v>27</v>
      </c>
      <c r="J478" s="7">
        <v>8</v>
      </c>
      <c r="K478" s="7">
        <v>1</v>
      </c>
      <c r="L478" s="95" t="s">
        <v>666</v>
      </c>
      <c r="M478" s="96" t="s">
        <v>563</v>
      </c>
      <c r="N478" s="96" t="s">
        <v>564</v>
      </c>
      <c r="O478" s="96" t="s">
        <v>620</v>
      </c>
      <c r="P478" s="6"/>
      <c r="Q478" s="216">
        <f>Q479+Q483+Q485+Q481</f>
        <v>13072.400000000001</v>
      </c>
      <c r="R478" s="216">
        <f>R479+R483+R485</f>
        <v>14682.6</v>
      </c>
      <c r="S478" s="216">
        <f>S479+S483+S485</f>
        <v>14521.6</v>
      </c>
    </row>
    <row r="479" spans="1:19" ht="25.5" customHeight="1">
      <c r="A479" s="99"/>
      <c r="B479" s="98"/>
      <c r="C479" s="103"/>
      <c r="D479" s="101"/>
      <c r="E479" s="113"/>
      <c r="F479" s="113"/>
      <c r="G479" s="105"/>
      <c r="H479" s="18" t="s">
        <v>303</v>
      </c>
      <c r="I479" s="10">
        <v>27</v>
      </c>
      <c r="J479" s="7">
        <v>8</v>
      </c>
      <c r="K479" s="7">
        <v>1</v>
      </c>
      <c r="L479" s="95" t="s">
        <v>666</v>
      </c>
      <c r="M479" s="96" t="s">
        <v>563</v>
      </c>
      <c r="N479" s="96" t="s">
        <v>564</v>
      </c>
      <c r="O479" s="96" t="s">
        <v>302</v>
      </c>
      <c r="P479" s="6"/>
      <c r="Q479" s="216">
        <f>Q480</f>
        <v>9887.2</v>
      </c>
      <c r="R479" s="216">
        <f>R480</f>
        <v>12161</v>
      </c>
      <c r="S479" s="216">
        <f>S480</f>
        <v>12000</v>
      </c>
    </row>
    <row r="480" spans="1:19" ht="24.75" customHeight="1">
      <c r="A480" s="99"/>
      <c r="B480" s="98"/>
      <c r="C480" s="103"/>
      <c r="D480" s="101"/>
      <c r="E480" s="113"/>
      <c r="F480" s="113"/>
      <c r="G480" s="105"/>
      <c r="H480" s="257" t="s">
        <v>722</v>
      </c>
      <c r="I480" s="10">
        <v>27</v>
      </c>
      <c r="J480" s="7">
        <v>8</v>
      </c>
      <c r="K480" s="7">
        <v>1</v>
      </c>
      <c r="L480" s="95" t="s">
        <v>666</v>
      </c>
      <c r="M480" s="96" t="s">
        <v>563</v>
      </c>
      <c r="N480" s="96" t="s">
        <v>564</v>
      </c>
      <c r="O480" s="96" t="s">
        <v>302</v>
      </c>
      <c r="P480" s="6">
        <v>610</v>
      </c>
      <c r="Q480" s="216">
        <f>'Приложение 9'!Q250</f>
        <v>9887.2</v>
      </c>
      <c r="R480" s="216">
        <v>12161</v>
      </c>
      <c r="S480" s="216">
        <v>12000</v>
      </c>
    </row>
    <row r="481" spans="1:19" ht="33" customHeight="1">
      <c r="A481" s="99"/>
      <c r="B481" s="98"/>
      <c r="C481" s="103"/>
      <c r="D481" s="101"/>
      <c r="E481" s="113"/>
      <c r="F481" s="113"/>
      <c r="G481" s="105"/>
      <c r="H481" s="257" t="str">
        <f>'Приложение 9'!H251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81" s="10">
        <f>'Приложение 9'!I251</f>
        <v>27</v>
      </c>
      <c r="J481" s="7">
        <f>'Приложение 9'!J251</f>
        <v>8</v>
      </c>
      <c r="K481" s="7">
        <f>'Приложение 9'!K251</f>
        <v>1</v>
      </c>
      <c r="L481" s="95" t="str">
        <f>'Приложение 9'!L251</f>
        <v>34</v>
      </c>
      <c r="M481" s="96" t="str">
        <f>'Приложение 9'!M251</f>
        <v>0</v>
      </c>
      <c r="N481" s="96" t="str">
        <f>'Приложение 9'!N251</f>
        <v>01</v>
      </c>
      <c r="O481" s="96" t="str">
        <f>'Приложение 9'!O251</f>
        <v>70030</v>
      </c>
      <c r="P481" s="6" t="s">
        <v>621</v>
      </c>
      <c r="Q481" s="216">
        <f>'Приложение 9'!Q251</f>
        <v>1224.1</v>
      </c>
      <c r="R481" s="216"/>
      <c r="S481" s="216"/>
    </row>
    <row r="482" spans="1:19" ht="24.75" customHeight="1">
      <c r="A482" s="99"/>
      <c r="B482" s="98"/>
      <c r="C482" s="103"/>
      <c r="D482" s="101"/>
      <c r="E482" s="113"/>
      <c r="F482" s="113"/>
      <c r="G482" s="105"/>
      <c r="H482" s="257" t="str">
        <f>'Приложение 9'!H252</f>
        <v>Субсидии бюджетным учреждениям</v>
      </c>
      <c r="I482" s="10">
        <f>'Приложение 9'!I252</f>
        <v>27</v>
      </c>
      <c r="J482" s="7">
        <f>'Приложение 9'!J252</f>
        <v>8</v>
      </c>
      <c r="K482" s="7">
        <f>'Приложение 9'!K252</f>
        <v>1</v>
      </c>
      <c r="L482" s="95" t="str">
        <f>'Приложение 9'!L252</f>
        <v>34</v>
      </c>
      <c r="M482" s="96" t="str">
        <f>'Приложение 9'!M252</f>
        <v>0</v>
      </c>
      <c r="N482" s="96" t="str">
        <f>'Приложение 9'!N252</f>
        <v>01</v>
      </c>
      <c r="O482" s="96" t="str">
        <f>'Приложение 9'!O252</f>
        <v>70030</v>
      </c>
      <c r="P482" s="6">
        <f>'Приложение 9'!P252</f>
        <v>610</v>
      </c>
      <c r="Q482" s="216">
        <f>'Приложение 9'!Q252</f>
        <v>1224.1</v>
      </c>
      <c r="R482" s="216"/>
      <c r="S482" s="216"/>
    </row>
    <row r="483" spans="1:19" ht="24.75" customHeight="1">
      <c r="A483" s="99"/>
      <c r="B483" s="98"/>
      <c r="C483" s="103"/>
      <c r="D483" s="101"/>
      <c r="E483" s="113"/>
      <c r="F483" s="113"/>
      <c r="G483" s="105"/>
      <c r="H483" s="5" t="s">
        <v>813</v>
      </c>
      <c r="I483" s="10">
        <v>27</v>
      </c>
      <c r="J483" s="7">
        <v>8</v>
      </c>
      <c r="K483" s="7">
        <v>1</v>
      </c>
      <c r="L483" s="95" t="s">
        <v>666</v>
      </c>
      <c r="M483" s="96" t="s">
        <v>563</v>
      </c>
      <c r="N483" s="96" t="s">
        <v>564</v>
      </c>
      <c r="O483" s="96" t="s">
        <v>812</v>
      </c>
      <c r="P483" s="6"/>
      <c r="Q483" s="216">
        <f>Q484</f>
        <v>340</v>
      </c>
      <c r="R483" s="216">
        <f>R484</f>
        <v>340</v>
      </c>
      <c r="S483" s="216">
        <f>S484</f>
        <v>340</v>
      </c>
    </row>
    <row r="484" spans="1:19" ht="24" customHeight="1">
      <c r="A484" s="99"/>
      <c r="B484" s="98"/>
      <c r="C484" s="103"/>
      <c r="D484" s="101"/>
      <c r="E484" s="113"/>
      <c r="F484" s="113"/>
      <c r="G484" s="105"/>
      <c r="H484" s="257" t="s">
        <v>722</v>
      </c>
      <c r="I484" s="10">
        <v>27</v>
      </c>
      <c r="J484" s="7">
        <v>8</v>
      </c>
      <c r="K484" s="7">
        <v>1</v>
      </c>
      <c r="L484" s="95" t="s">
        <v>666</v>
      </c>
      <c r="M484" s="96" t="s">
        <v>563</v>
      </c>
      <c r="N484" s="96" t="s">
        <v>564</v>
      </c>
      <c r="O484" s="96" t="s">
        <v>812</v>
      </c>
      <c r="P484" s="6">
        <v>610</v>
      </c>
      <c r="Q484" s="216">
        <v>340</v>
      </c>
      <c r="R484" s="216">
        <v>340</v>
      </c>
      <c r="S484" s="216">
        <v>340</v>
      </c>
    </row>
    <row r="485" spans="1:19" ht="27" customHeight="1">
      <c r="A485" s="99"/>
      <c r="B485" s="98"/>
      <c r="C485" s="103"/>
      <c r="D485" s="101"/>
      <c r="E485" s="113"/>
      <c r="F485" s="113"/>
      <c r="G485" s="105"/>
      <c r="H485" s="5" t="s">
        <v>675</v>
      </c>
      <c r="I485" s="10">
        <v>27</v>
      </c>
      <c r="J485" s="7">
        <v>8</v>
      </c>
      <c r="K485" s="7">
        <v>1</v>
      </c>
      <c r="L485" s="95" t="s">
        <v>666</v>
      </c>
      <c r="M485" s="96" t="s">
        <v>563</v>
      </c>
      <c r="N485" s="96" t="s">
        <v>564</v>
      </c>
      <c r="O485" s="96" t="s">
        <v>6</v>
      </c>
      <c r="P485" s="6"/>
      <c r="Q485" s="216">
        <f>Q486</f>
        <v>1621.1</v>
      </c>
      <c r="R485" s="216">
        <f>R486</f>
        <v>2181.6</v>
      </c>
      <c r="S485" s="216">
        <f>S486</f>
        <v>2181.6</v>
      </c>
    </row>
    <row r="486" spans="1:19" ht="30" customHeight="1">
      <c r="A486" s="99"/>
      <c r="B486" s="98"/>
      <c r="C486" s="103"/>
      <c r="D486" s="101"/>
      <c r="E486" s="113"/>
      <c r="F486" s="113"/>
      <c r="G486" s="105"/>
      <c r="H486" s="257" t="s">
        <v>722</v>
      </c>
      <c r="I486" s="10">
        <v>27</v>
      </c>
      <c r="J486" s="7">
        <v>8</v>
      </c>
      <c r="K486" s="7">
        <v>1</v>
      </c>
      <c r="L486" s="95" t="s">
        <v>666</v>
      </c>
      <c r="M486" s="96" t="s">
        <v>563</v>
      </c>
      <c r="N486" s="96" t="s">
        <v>564</v>
      </c>
      <c r="O486" s="96" t="s">
        <v>6</v>
      </c>
      <c r="P486" s="6">
        <v>610</v>
      </c>
      <c r="Q486" s="216">
        <f>'Приложение 9'!Q256</f>
        <v>1621.1</v>
      </c>
      <c r="R486" s="216">
        <v>2181.6</v>
      </c>
      <c r="S486" s="216">
        <v>2181.6</v>
      </c>
    </row>
    <row r="487" spans="1:19" ht="32.25" customHeight="1">
      <c r="A487" s="99"/>
      <c r="B487" s="98"/>
      <c r="C487" s="103"/>
      <c r="D487" s="101"/>
      <c r="E487" s="113"/>
      <c r="F487" s="113"/>
      <c r="G487" s="105"/>
      <c r="H487" s="5" t="s">
        <v>676</v>
      </c>
      <c r="I487" s="10">
        <v>27</v>
      </c>
      <c r="J487" s="7">
        <v>8</v>
      </c>
      <c r="K487" s="7">
        <v>1</v>
      </c>
      <c r="L487" s="95" t="s">
        <v>666</v>
      </c>
      <c r="M487" s="96" t="s">
        <v>563</v>
      </c>
      <c r="N487" s="96" t="s">
        <v>592</v>
      </c>
      <c r="O487" s="96" t="s">
        <v>620</v>
      </c>
      <c r="P487" s="6"/>
      <c r="Q487" s="216">
        <f>Q488+Q490</f>
        <v>11780.6</v>
      </c>
      <c r="R487" s="216">
        <f aca="true" t="shared" si="35" ref="Q487:S488">R488</f>
        <v>14000.9</v>
      </c>
      <c r="S487" s="216">
        <f t="shared" si="35"/>
        <v>12451</v>
      </c>
    </row>
    <row r="488" spans="1:19" ht="33" customHeight="1">
      <c r="A488" s="99"/>
      <c r="B488" s="98"/>
      <c r="C488" s="103"/>
      <c r="D488" s="101"/>
      <c r="E488" s="113"/>
      <c r="F488" s="113"/>
      <c r="G488" s="105"/>
      <c r="H488" s="5" t="s">
        <v>262</v>
      </c>
      <c r="I488" s="10">
        <v>27</v>
      </c>
      <c r="J488" s="7">
        <v>8</v>
      </c>
      <c r="K488" s="7">
        <v>1</v>
      </c>
      <c r="L488" s="95" t="s">
        <v>666</v>
      </c>
      <c r="M488" s="96" t="s">
        <v>563</v>
      </c>
      <c r="N488" s="96" t="s">
        <v>592</v>
      </c>
      <c r="O488" s="96" t="s">
        <v>263</v>
      </c>
      <c r="P488" s="6"/>
      <c r="Q488" s="216">
        <f t="shared" si="35"/>
        <v>9107.6</v>
      </c>
      <c r="R488" s="216">
        <f t="shared" si="35"/>
        <v>14000.9</v>
      </c>
      <c r="S488" s="216">
        <f t="shared" si="35"/>
        <v>12451</v>
      </c>
    </row>
    <row r="489" spans="1:19" ht="27" customHeight="1">
      <c r="A489" s="99"/>
      <c r="B489" s="98"/>
      <c r="C489" s="103"/>
      <c r="D489" s="101"/>
      <c r="E489" s="113"/>
      <c r="F489" s="113"/>
      <c r="G489" s="105"/>
      <c r="H489" s="5" t="s">
        <v>722</v>
      </c>
      <c r="I489" s="10">
        <v>27</v>
      </c>
      <c r="J489" s="7">
        <v>8</v>
      </c>
      <c r="K489" s="7">
        <v>1</v>
      </c>
      <c r="L489" s="95" t="s">
        <v>666</v>
      </c>
      <c r="M489" s="96" t="s">
        <v>563</v>
      </c>
      <c r="N489" s="96" t="s">
        <v>592</v>
      </c>
      <c r="O489" s="96" t="s">
        <v>263</v>
      </c>
      <c r="P489" s="6">
        <v>610</v>
      </c>
      <c r="Q489" s="216">
        <f>'Приложение 9'!Q259</f>
        <v>9107.6</v>
      </c>
      <c r="R489" s="216">
        <v>14000.9</v>
      </c>
      <c r="S489" s="216">
        <v>12451</v>
      </c>
    </row>
    <row r="490" spans="1:19" ht="32.25" customHeight="1">
      <c r="A490" s="99"/>
      <c r="B490" s="98"/>
      <c r="C490" s="103"/>
      <c r="D490" s="101"/>
      <c r="E490" s="113"/>
      <c r="F490" s="113"/>
      <c r="G490" s="105"/>
      <c r="H490" s="5" t="str">
        <f>'Приложение 9'!H260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90" s="10">
        <f>'Приложение 9'!I260</f>
        <v>27</v>
      </c>
      <c r="J490" s="7">
        <f>'Приложение 9'!J260</f>
        <v>8</v>
      </c>
      <c r="K490" s="7">
        <f>'Приложение 9'!K260</f>
        <v>1</v>
      </c>
      <c r="L490" s="95" t="str">
        <f>'Приложение 9'!L260</f>
        <v>34</v>
      </c>
      <c r="M490" s="96" t="str">
        <f>'Приложение 9'!M260</f>
        <v>0</v>
      </c>
      <c r="N490" s="96" t="str">
        <f>'Приложение 9'!N260</f>
        <v>02</v>
      </c>
      <c r="O490" s="96" t="str">
        <f>'Приложение 9'!O260</f>
        <v>70030</v>
      </c>
      <c r="P490" s="6" t="s">
        <v>621</v>
      </c>
      <c r="Q490" s="216">
        <f>'Приложение 9'!Q260</f>
        <v>2673</v>
      </c>
      <c r="R490" s="216"/>
      <c r="S490" s="216"/>
    </row>
    <row r="491" spans="1:19" ht="27" customHeight="1">
      <c r="A491" s="99"/>
      <c r="B491" s="98"/>
      <c r="C491" s="103"/>
      <c r="D491" s="101"/>
      <c r="E491" s="113"/>
      <c r="F491" s="113"/>
      <c r="G491" s="105"/>
      <c r="H491" s="5" t="str">
        <f>'Приложение 9'!H261</f>
        <v>Субсидии бюджетным учреждениям</v>
      </c>
      <c r="I491" s="10">
        <f>'Приложение 9'!I261</f>
        <v>27</v>
      </c>
      <c r="J491" s="7">
        <f>'Приложение 9'!J261</f>
        <v>8</v>
      </c>
      <c r="K491" s="7">
        <f>'Приложение 9'!K261</f>
        <v>1</v>
      </c>
      <c r="L491" s="95" t="str">
        <f>'Приложение 9'!L261</f>
        <v>34</v>
      </c>
      <c r="M491" s="96" t="str">
        <f>'Приложение 9'!M261</f>
        <v>0</v>
      </c>
      <c r="N491" s="96" t="str">
        <f>'Приложение 9'!N261</f>
        <v>02</v>
      </c>
      <c r="O491" s="96" t="str">
        <f>'Приложение 9'!O261</f>
        <v>70030</v>
      </c>
      <c r="P491" s="6">
        <f>'Приложение 9'!P261</f>
        <v>610</v>
      </c>
      <c r="Q491" s="216">
        <f>'Приложение 9'!Q261</f>
        <v>2673</v>
      </c>
      <c r="R491" s="216"/>
      <c r="S491" s="216"/>
    </row>
    <row r="492" spans="1:19" ht="42" customHeight="1">
      <c r="A492" s="99"/>
      <c r="B492" s="98"/>
      <c r="C492" s="103"/>
      <c r="D492" s="101"/>
      <c r="E492" s="113"/>
      <c r="F492" s="113"/>
      <c r="G492" s="105"/>
      <c r="H492" s="5" t="s">
        <v>368</v>
      </c>
      <c r="I492" s="10">
        <v>27</v>
      </c>
      <c r="J492" s="7">
        <v>8</v>
      </c>
      <c r="K492" s="7">
        <v>1</v>
      </c>
      <c r="L492" s="95" t="s">
        <v>666</v>
      </c>
      <c r="M492" s="96" t="s">
        <v>563</v>
      </c>
      <c r="N492" s="96" t="s">
        <v>593</v>
      </c>
      <c r="O492" s="96" t="s">
        <v>620</v>
      </c>
      <c r="P492" s="6"/>
      <c r="Q492" s="216">
        <f>Q495+Q497+Q499+Q493</f>
        <v>20245</v>
      </c>
      <c r="R492" s="216">
        <f>R495+R497+R500</f>
        <v>0</v>
      </c>
      <c r="S492" s="216">
        <f>S495+S497+S500</f>
        <v>0</v>
      </c>
    </row>
    <row r="493" spans="1:19" ht="27.75" customHeight="1">
      <c r="A493" s="99"/>
      <c r="B493" s="98"/>
      <c r="C493" s="103"/>
      <c r="D493" s="101"/>
      <c r="E493" s="113"/>
      <c r="F493" s="113"/>
      <c r="G493" s="105"/>
      <c r="H493" s="5" t="str">
        <f>'Приложение 9'!H263</f>
        <v>Учреждения культуры</v>
      </c>
      <c r="I493" s="10">
        <f>'Приложение 9'!I263</f>
        <v>27</v>
      </c>
      <c r="J493" s="7">
        <f>'Приложение 9'!J263</f>
        <v>8</v>
      </c>
      <c r="K493" s="7">
        <f>'Приложение 9'!K263</f>
        <v>1</v>
      </c>
      <c r="L493" s="95" t="str">
        <f>'Приложение 9'!L263</f>
        <v>34</v>
      </c>
      <c r="M493" s="96" t="str">
        <f>'Приложение 9'!M263</f>
        <v>0</v>
      </c>
      <c r="N493" s="96" t="str">
        <f>'Приложение 9'!N263</f>
        <v>03</v>
      </c>
      <c r="O493" s="96" t="str">
        <f>'Приложение 9'!O263</f>
        <v>01590</v>
      </c>
      <c r="P493" s="6" t="s">
        <v>621</v>
      </c>
      <c r="Q493" s="216">
        <f>Q494</f>
        <v>4200</v>
      </c>
      <c r="R493" s="216"/>
      <c r="S493" s="216"/>
    </row>
    <row r="494" spans="1:19" ht="29.25" customHeight="1">
      <c r="A494" s="99"/>
      <c r="B494" s="98"/>
      <c r="C494" s="103"/>
      <c r="D494" s="101"/>
      <c r="E494" s="113"/>
      <c r="F494" s="113"/>
      <c r="G494" s="105"/>
      <c r="H494" s="5" t="str">
        <f>'Приложение 9'!H264</f>
        <v>Субсидии бюджетным учреждениям</v>
      </c>
      <c r="I494" s="10">
        <f>'Приложение 9'!I264</f>
        <v>27</v>
      </c>
      <c r="J494" s="7">
        <f>'Приложение 9'!J264</f>
        <v>8</v>
      </c>
      <c r="K494" s="7">
        <f>'Приложение 9'!K264</f>
        <v>1</v>
      </c>
      <c r="L494" s="95" t="str">
        <f>'Приложение 9'!L264</f>
        <v>34</v>
      </c>
      <c r="M494" s="96" t="str">
        <f>'Приложение 9'!M264</f>
        <v>0</v>
      </c>
      <c r="N494" s="96" t="str">
        <f>'Приложение 9'!N264</f>
        <v>03</v>
      </c>
      <c r="O494" s="96" t="str">
        <f>'Приложение 9'!O264</f>
        <v>01590</v>
      </c>
      <c r="P494" s="6">
        <f>'Приложение 9'!P264</f>
        <v>610</v>
      </c>
      <c r="Q494" s="216">
        <f>'Приложение 9'!Q264</f>
        <v>4200</v>
      </c>
      <c r="R494" s="216"/>
      <c r="S494" s="216"/>
    </row>
    <row r="495" spans="1:19" ht="24" customHeight="1">
      <c r="A495" s="99"/>
      <c r="B495" s="98"/>
      <c r="C495" s="103"/>
      <c r="D495" s="101"/>
      <c r="E495" s="113"/>
      <c r="F495" s="113"/>
      <c r="G495" s="105"/>
      <c r="H495" s="5" t="s">
        <v>677</v>
      </c>
      <c r="I495" s="10">
        <v>27</v>
      </c>
      <c r="J495" s="7">
        <v>8</v>
      </c>
      <c r="K495" s="7">
        <v>1</v>
      </c>
      <c r="L495" s="95" t="s">
        <v>666</v>
      </c>
      <c r="M495" s="96" t="s">
        <v>563</v>
      </c>
      <c r="N495" s="96" t="s">
        <v>593</v>
      </c>
      <c r="O495" s="96" t="s">
        <v>674</v>
      </c>
      <c r="P495" s="6"/>
      <c r="Q495" s="216">
        <f>Q496</f>
        <v>70</v>
      </c>
      <c r="R495" s="216">
        <f>R496</f>
        <v>0</v>
      </c>
      <c r="S495" s="216">
        <f>S496</f>
        <v>0</v>
      </c>
    </row>
    <row r="496" spans="1:19" ht="27.75" customHeight="1">
      <c r="A496" s="99"/>
      <c r="B496" s="98"/>
      <c r="C496" s="103"/>
      <c r="D496" s="107"/>
      <c r="E496" s="104"/>
      <c r="F496" s="104"/>
      <c r="G496" s="105"/>
      <c r="H496" s="5" t="str">
        <f>'Приложение 9'!H266</f>
        <v>Субсидии бюджетным учреждениям</v>
      </c>
      <c r="I496" s="13">
        <v>27</v>
      </c>
      <c r="J496" s="7">
        <v>8</v>
      </c>
      <c r="K496" s="7">
        <v>1</v>
      </c>
      <c r="L496" s="95" t="s">
        <v>666</v>
      </c>
      <c r="M496" s="96" t="s">
        <v>563</v>
      </c>
      <c r="N496" s="96" t="s">
        <v>593</v>
      </c>
      <c r="O496" s="96" t="s">
        <v>674</v>
      </c>
      <c r="P496" s="6">
        <v>610</v>
      </c>
      <c r="Q496" s="216">
        <f>'Приложение 9'!Q266</f>
        <v>70</v>
      </c>
      <c r="R496" s="216">
        <v>0</v>
      </c>
      <c r="S496" s="216">
        <v>0</v>
      </c>
    </row>
    <row r="497" spans="1:19" ht="26.25" customHeight="1">
      <c r="A497" s="99"/>
      <c r="B497" s="98"/>
      <c r="C497" s="103"/>
      <c r="D497" s="107"/>
      <c r="E497" s="104"/>
      <c r="F497" s="104"/>
      <c r="G497" s="105"/>
      <c r="H497" s="5" t="s">
        <v>294</v>
      </c>
      <c r="I497" s="13">
        <v>27</v>
      </c>
      <c r="J497" s="7">
        <v>8</v>
      </c>
      <c r="K497" s="7">
        <v>1</v>
      </c>
      <c r="L497" s="95" t="s">
        <v>666</v>
      </c>
      <c r="M497" s="96" t="s">
        <v>563</v>
      </c>
      <c r="N497" s="96" t="s">
        <v>593</v>
      </c>
      <c r="O497" s="96" t="s">
        <v>295</v>
      </c>
      <c r="P497" s="6"/>
      <c r="Q497" s="216">
        <f>Q498</f>
        <v>13375</v>
      </c>
      <c r="R497" s="216">
        <f>R498</f>
        <v>0</v>
      </c>
      <c r="S497" s="216">
        <f>S498</f>
        <v>0</v>
      </c>
    </row>
    <row r="498" spans="1:19" ht="27.75" customHeight="1">
      <c r="A498" s="99"/>
      <c r="B498" s="98"/>
      <c r="C498" s="103"/>
      <c r="D498" s="109"/>
      <c r="E498" s="104"/>
      <c r="F498" s="104"/>
      <c r="G498" s="105">
        <v>850</v>
      </c>
      <c r="H498" s="18" t="s">
        <v>722</v>
      </c>
      <c r="I498" s="13">
        <v>27</v>
      </c>
      <c r="J498" s="7">
        <v>8</v>
      </c>
      <c r="K498" s="7">
        <v>1</v>
      </c>
      <c r="L498" s="95" t="s">
        <v>666</v>
      </c>
      <c r="M498" s="96" t="s">
        <v>563</v>
      </c>
      <c r="N498" s="96" t="s">
        <v>593</v>
      </c>
      <c r="O498" s="96" t="s">
        <v>295</v>
      </c>
      <c r="P498" s="6">
        <v>610</v>
      </c>
      <c r="Q498" s="216">
        <f>'Приложение 9'!Q268</f>
        <v>13375</v>
      </c>
      <c r="R498" s="216">
        <v>0</v>
      </c>
      <c r="S498" s="216">
        <v>0</v>
      </c>
    </row>
    <row r="499" spans="1:19" ht="27.75" customHeight="1">
      <c r="A499" s="99"/>
      <c r="B499" s="98"/>
      <c r="C499" s="97"/>
      <c r="D499" s="109"/>
      <c r="E499" s="104"/>
      <c r="F499" s="104"/>
      <c r="G499" s="89"/>
      <c r="H499" s="18" t="str">
        <f>'Приложение 9'!H269</f>
        <v>Основное мероприятие "Реализация регионального проекта "Культурная среда"</v>
      </c>
      <c r="I499" s="13">
        <f>'Приложение 9'!I269</f>
        <v>27</v>
      </c>
      <c r="J499" s="7">
        <f>'Приложение 9'!J269</f>
        <v>8</v>
      </c>
      <c r="K499" s="7">
        <f>'Приложение 9'!K269</f>
        <v>1</v>
      </c>
      <c r="L499" s="95" t="str">
        <f>'Приложение 9'!L269</f>
        <v>34</v>
      </c>
      <c r="M499" s="96" t="str">
        <f>'Приложение 9'!M269</f>
        <v>0</v>
      </c>
      <c r="N499" s="96" t="str">
        <f>'Приложение 9'!N269</f>
        <v>A1</v>
      </c>
      <c r="O499" s="96" t="str">
        <f>'Приложение 9'!O269</f>
        <v>00000</v>
      </c>
      <c r="P499" s="10" t="s">
        <v>621</v>
      </c>
      <c r="Q499" s="214">
        <f>Q500</f>
        <v>2600</v>
      </c>
      <c r="R499" s="216"/>
      <c r="S499" s="216"/>
    </row>
    <row r="500" spans="1:19" ht="33.75" customHeight="1">
      <c r="A500" s="99"/>
      <c r="B500" s="98"/>
      <c r="C500" s="97"/>
      <c r="D500" s="363">
        <v>4360000</v>
      </c>
      <c r="E500" s="364"/>
      <c r="F500" s="364"/>
      <c r="G500" s="89">
        <v>340</v>
      </c>
      <c r="H500" s="313" t="s">
        <v>797</v>
      </c>
      <c r="I500" s="10">
        <v>27</v>
      </c>
      <c r="J500" s="7">
        <v>8</v>
      </c>
      <c r="K500" s="7">
        <v>1</v>
      </c>
      <c r="L500" s="95" t="s">
        <v>666</v>
      </c>
      <c r="M500" s="96" t="s">
        <v>563</v>
      </c>
      <c r="N500" s="96" t="s">
        <v>94</v>
      </c>
      <c r="O500" s="96" t="s">
        <v>796</v>
      </c>
      <c r="P500" s="10"/>
      <c r="Q500" s="214">
        <f>Q501</f>
        <v>2600</v>
      </c>
      <c r="R500" s="214">
        <f>R501</f>
        <v>0</v>
      </c>
      <c r="S500" s="214">
        <f>S501</f>
        <v>0</v>
      </c>
    </row>
    <row r="501" spans="1:19" ht="20.25" customHeight="1">
      <c r="A501" s="99"/>
      <c r="B501" s="98"/>
      <c r="C501" s="97"/>
      <c r="D501" s="101"/>
      <c r="E501" s="100"/>
      <c r="F501" s="100"/>
      <c r="G501" s="89"/>
      <c r="H501" s="5" t="s">
        <v>722</v>
      </c>
      <c r="I501" s="13">
        <v>27</v>
      </c>
      <c r="J501" s="7">
        <v>8</v>
      </c>
      <c r="K501" s="7">
        <v>1</v>
      </c>
      <c r="L501" s="95" t="s">
        <v>666</v>
      </c>
      <c r="M501" s="96" t="s">
        <v>563</v>
      </c>
      <c r="N501" s="96" t="s">
        <v>94</v>
      </c>
      <c r="O501" s="96" t="s">
        <v>796</v>
      </c>
      <c r="P501" s="10">
        <v>610</v>
      </c>
      <c r="Q501" s="214">
        <v>2600</v>
      </c>
      <c r="R501" s="214">
        <v>0</v>
      </c>
      <c r="S501" s="214">
        <v>0</v>
      </c>
    </row>
    <row r="502" spans="1:19" s="179" customFormat="1" ht="21" customHeight="1">
      <c r="A502" s="142"/>
      <c r="B502" s="143"/>
      <c r="C502" s="153"/>
      <c r="D502" s="150"/>
      <c r="E502" s="154"/>
      <c r="F502" s="154"/>
      <c r="G502" s="155"/>
      <c r="H502" s="149" t="s">
        <v>622</v>
      </c>
      <c r="I502" s="138">
        <v>27</v>
      </c>
      <c r="J502" s="148">
        <v>9</v>
      </c>
      <c r="K502" s="148" t="s">
        <v>621</v>
      </c>
      <c r="L502" s="140"/>
      <c r="M502" s="141"/>
      <c r="N502" s="141"/>
      <c r="O502" s="141"/>
      <c r="P502" s="146"/>
      <c r="Q502" s="217">
        <f>Q503</f>
        <v>81.3</v>
      </c>
      <c r="R502" s="217">
        <f aca="true" t="shared" si="36" ref="R502:S504">R503</f>
        <v>74.5</v>
      </c>
      <c r="S502" s="217">
        <f t="shared" si="36"/>
        <v>74.5</v>
      </c>
    </row>
    <row r="503" spans="1:19" s="179" customFormat="1" ht="21" customHeight="1">
      <c r="A503" s="142"/>
      <c r="B503" s="143"/>
      <c r="C503" s="153"/>
      <c r="D503" s="150"/>
      <c r="E503" s="154"/>
      <c r="F503" s="154"/>
      <c r="G503" s="155"/>
      <c r="H503" s="149" t="s">
        <v>567</v>
      </c>
      <c r="I503" s="146">
        <v>27</v>
      </c>
      <c r="J503" s="148">
        <v>9</v>
      </c>
      <c r="K503" s="148">
        <v>7</v>
      </c>
      <c r="L503" s="139" t="s">
        <v>534</v>
      </c>
      <c r="M503" s="141" t="s">
        <v>534</v>
      </c>
      <c r="N503" s="141"/>
      <c r="O503" s="141" t="s">
        <v>534</v>
      </c>
      <c r="P503" s="146"/>
      <c r="Q503" s="213">
        <f>Q504</f>
        <v>81.3</v>
      </c>
      <c r="R503" s="213">
        <f t="shared" si="36"/>
        <v>74.5</v>
      </c>
      <c r="S503" s="213">
        <f t="shared" si="36"/>
        <v>74.5</v>
      </c>
    </row>
    <row r="504" spans="1:19" ht="48" customHeight="1">
      <c r="A504" s="99"/>
      <c r="B504" s="98"/>
      <c r="C504" s="103"/>
      <c r="D504" s="101"/>
      <c r="E504" s="113"/>
      <c r="F504" s="113"/>
      <c r="G504" s="105"/>
      <c r="H504" s="34" t="s">
        <v>719</v>
      </c>
      <c r="I504" s="6">
        <v>27</v>
      </c>
      <c r="J504" s="7">
        <v>9</v>
      </c>
      <c r="K504" s="7">
        <v>7</v>
      </c>
      <c r="L504" s="16">
        <v>91</v>
      </c>
      <c r="M504" s="96" t="s">
        <v>563</v>
      </c>
      <c r="N504" s="96" t="s">
        <v>583</v>
      </c>
      <c r="O504" s="96" t="s">
        <v>650</v>
      </c>
      <c r="P504" s="6"/>
      <c r="Q504" s="214">
        <f>Q505</f>
        <v>81.3</v>
      </c>
      <c r="R504" s="214">
        <f t="shared" si="36"/>
        <v>74.5</v>
      </c>
      <c r="S504" s="214">
        <f t="shared" si="36"/>
        <v>74.5</v>
      </c>
    </row>
    <row r="505" spans="1:19" ht="27" customHeight="1">
      <c r="A505" s="99"/>
      <c r="B505" s="98"/>
      <c r="C505" s="103"/>
      <c r="D505" s="101"/>
      <c r="E505" s="113"/>
      <c r="F505" s="113"/>
      <c r="G505" s="105"/>
      <c r="H505" s="34" t="s">
        <v>720</v>
      </c>
      <c r="I505" s="6">
        <v>27</v>
      </c>
      <c r="J505" s="7">
        <v>9</v>
      </c>
      <c r="K505" s="7">
        <v>7</v>
      </c>
      <c r="L505" s="16">
        <v>91</v>
      </c>
      <c r="M505" s="96" t="s">
        <v>563</v>
      </c>
      <c r="N505" s="96" t="s">
        <v>583</v>
      </c>
      <c r="O505" s="96" t="s">
        <v>650</v>
      </c>
      <c r="P505" s="6">
        <v>240</v>
      </c>
      <c r="Q505" s="214">
        <v>81.3</v>
      </c>
      <c r="R505" s="214">
        <v>74.5</v>
      </c>
      <c r="S505" s="214">
        <v>74.5</v>
      </c>
    </row>
    <row r="506" spans="1:19" s="179" customFormat="1" ht="24" customHeight="1">
      <c r="A506" s="142"/>
      <c r="B506" s="143"/>
      <c r="C506" s="153"/>
      <c r="D506" s="150"/>
      <c r="E506" s="154"/>
      <c r="F506" s="154"/>
      <c r="G506" s="155">
        <v>321</v>
      </c>
      <c r="H506" s="149" t="s">
        <v>541</v>
      </c>
      <c r="I506" s="152">
        <v>27</v>
      </c>
      <c r="J506" s="148">
        <v>10</v>
      </c>
      <c r="K506" s="148"/>
      <c r="L506" s="140"/>
      <c r="M506" s="141"/>
      <c r="N506" s="141"/>
      <c r="O506" s="141"/>
      <c r="P506" s="146"/>
      <c r="Q506" s="217">
        <f>Q507+Q510+Q534+Q529</f>
        <v>14962.7</v>
      </c>
      <c r="R506" s="217" t="e">
        <f>R507+R510+R534+R529</f>
        <v>#REF!</v>
      </c>
      <c r="S506" s="217" t="e">
        <f>S507+S510+S534+S529</f>
        <v>#REF!</v>
      </c>
    </row>
    <row r="507" spans="1:19" s="179" customFormat="1" ht="18.75" customHeight="1">
      <c r="A507" s="142"/>
      <c r="B507" s="143"/>
      <c r="C507" s="153"/>
      <c r="D507" s="150"/>
      <c r="E507" s="154"/>
      <c r="F507" s="154"/>
      <c r="G507" s="155">
        <v>612</v>
      </c>
      <c r="H507" s="149" t="s">
        <v>380</v>
      </c>
      <c r="I507" s="152">
        <v>27</v>
      </c>
      <c r="J507" s="148">
        <v>10</v>
      </c>
      <c r="K507" s="148">
        <v>1</v>
      </c>
      <c r="L507" s="140"/>
      <c r="M507" s="141"/>
      <c r="N507" s="141"/>
      <c r="O507" s="141"/>
      <c r="P507" s="146"/>
      <c r="Q507" s="217">
        <f aca="true" t="shared" si="37" ref="Q507:S508">Q508</f>
        <v>1849.5</v>
      </c>
      <c r="R507" s="217">
        <f t="shared" si="37"/>
        <v>2100</v>
      </c>
      <c r="S507" s="217">
        <f t="shared" si="37"/>
        <v>2100</v>
      </c>
    </row>
    <row r="508" spans="1:19" ht="30.75" customHeight="1">
      <c r="A508" s="99"/>
      <c r="B508" s="98"/>
      <c r="C508" s="103"/>
      <c r="D508" s="101"/>
      <c r="E508" s="367">
        <v>4360400</v>
      </c>
      <c r="F508" s="367"/>
      <c r="G508" s="89">
        <v>340</v>
      </c>
      <c r="H508" s="11" t="s">
        <v>304</v>
      </c>
      <c r="I508" s="6">
        <v>27</v>
      </c>
      <c r="J508" s="7">
        <v>10</v>
      </c>
      <c r="K508" s="7">
        <v>1</v>
      </c>
      <c r="L508" s="95" t="s">
        <v>580</v>
      </c>
      <c r="M508" s="96" t="s">
        <v>563</v>
      </c>
      <c r="N508" s="96" t="s">
        <v>583</v>
      </c>
      <c r="O508" s="96" t="s">
        <v>305</v>
      </c>
      <c r="P508" s="10"/>
      <c r="Q508" s="214">
        <f t="shared" si="37"/>
        <v>1849.5</v>
      </c>
      <c r="R508" s="214">
        <f t="shared" si="37"/>
        <v>2100</v>
      </c>
      <c r="S508" s="214">
        <f t="shared" si="37"/>
        <v>2100</v>
      </c>
    </row>
    <row r="509" spans="1:19" ht="30.75" customHeight="1">
      <c r="A509" s="99"/>
      <c r="B509" s="98"/>
      <c r="C509" s="103"/>
      <c r="D509" s="107"/>
      <c r="E509" s="104"/>
      <c r="F509" s="104"/>
      <c r="G509" s="89"/>
      <c r="H509" s="11" t="s">
        <v>725</v>
      </c>
      <c r="I509" s="6">
        <v>27</v>
      </c>
      <c r="J509" s="7">
        <v>10</v>
      </c>
      <c r="K509" s="7">
        <v>1</v>
      </c>
      <c r="L509" s="119" t="s">
        <v>580</v>
      </c>
      <c r="M509" s="120" t="s">
        <v>563</v>
      </c>
      <c r="N509" s="120" t="s">
        <v>583</v>
      </c>
      <c r="O509" s="120" t="s">
        <v>305</v>
      </c>
      <c r="P509" s="10">
        <v>320</v>
      </c>
      <c r="Q509" s="214">
        <f>'Приложение 9'!Q279</f>
        <v>1849.5</v>
      </c>
      <c r="R509" s="214">
        <v>2100</v>
      </c>
      <c r="S509" s="214">
        <v>2100</v>
      </c>
    </row>
    <row r="510" spans="1:19" s="179" customFormat="1" ht="27" customHeight="1">
      <c r="A510" s="142"/>
      <c r="B510" s="143"/>
      <c r="C510" s="142"/>
      <c r="D510" s="380">
        <v>4520000</v>
      </c>
      <c r="E510" s="380"/>
      <c r="F510" s="380"/>
      <c r="G510" s="136">
        <v>612</v>
      </c>
      <c r="H510" s="314" t="s">
        <v>540</v>
      </c>
      <c r="I510" s="138">
        <v>27</v>
      </c>
      <c r="J510" s="148">
        <v>10</v>
      </c>
      <c r="K510" s="148">
        <v>3</v>
      </c>
      <c r="L510" s="140"/>
      <c r="M510" s="141"/>
      <c r="N510" s="141"/>
      <c r="O510" s="246"/>
      <c r="P510" s="152"/>
      <c r="Q510" s="218">
        <f>Q514+Q518+Q511+Q523</f>
        <v>8308.6</v>
      </c>
      <c r="R510" s="218" t="e">
        <f>R514+R518</f>
        <v>#REF!</v>
      </c>
      <c r="S510" s="218" t="e">
        <f>S514+S518</f>
        <v>#REF!</v>
      </c>
    </row>
    <row r="511" spans="1:19" ht="54.75" customHeight="1">
      <c r="A511" s="110"/>
      <c r="B511" s="111"/>
      <c r="C511" s="106"/>
      <c r="D511" s="107"/>
      <c r="E511" s="104"/>
      <c r="F511" s="104"/>
      <c r="G511" s="105"/>
      <c r="H511" s="5" t="s">
        <v>518</v>
      </c>
      <c r="I511" s="6">
        <v>28</v>
      </c>
      <c r="J511" s="7">
        <v>10</v>
      </c>
      <c r="K511" s="7">
        <v>3</v>
      </c>
      <c r="L511" s="95" t="s">
        <v>593</v>
      </c>
      <c r="M511" s="96" t="s">
        <v>563</v>
      </c>
      <c r="N511" s="96" t="s">
        <v>593</v>
      </c>
      <c r="O511" s="96" t="s">
        <v>620</v>
      </c>
      <c r="P511" s="6"/>
      <c r="Q511" s="214">
        <f>Q512</f>
        <v>72</v>
      </c>
      <c r="R511" s="214"/>
      <c r="S511" s="214"/>
    </row>
    <row r="512" spans="1:19" ht="34.5" customHeight="1">
      <c r="A512" s="110"/>
      <c r="B512" s="111"/>
      <c r="C512" s="106"/>
      <c r="D512" s="107"/>
      <c r="E512" s="104"/>
      <c r="F512" s="104"/>
      <c r="G512" s="105"/>
      <c r="H512" s="5" t="s">
        <v>250</v>
      </c>
      <c r="I512" s="6">
        <v>28</v>
      </c>
      <c r="J512" s="7">
        <v>10</v>
      </c>
      <c r="K512" s="7">
        <v>3</v>
      </c>
      <c r="L512" s="95" t="s">
        <v>593</v>
      </c>
      <c r="M512" s="96" t="s">
        <v>563</v>
      </c>
      <c r="N512" s="96" t="s">
        <v>593</v>
      </c>
      <c r="O512" s="96" t="s">
        <v>251</v>
      </c>
      <c r="P512" s="6"/>
      <c r="Q512" s="214">
        <f>Q513</f>
        <v>72</v>
      </c>
      <c r="R512" s="214"/>
      <c r="S512" s="214"/>
    </row>
    <row r="513" spans="1:19" ht="24.75" customHeight="1">
      <c r="A513" s="110"/>
      <c r="B513" s="111"/>
      <c r="C513" s="106"/>
      <c r="D513" s="107"/>
      <c r="E513" s="104"/>
      <c r="F513" s="104"/>
      <c r="G513" s="105"/>
      <c r="H513" s="5" t="s">
        <v>724</v>
      </c>
      <c r="I513" s="6">
        <v>28</v>
      </c>
      <c r="J513" s="7">
        <v>10</v>
      </c>
      <c r="K513" s="7">
        <v>3</v>
      </c>
      <c r="L513" s="95" t="s">
        <v>593</v>
      </c>
      <c r="M513" s="96" t="s">
        <v>563</v>
      </c>
      <c r="N513" s="96" t="s">
        <v>593</v>
      </c>
      <c r="O513" s="96" t="s">
        <v>251</v>
      </c>
      <c r="P513" s="6">
        <v>310</v>
      </c>
      <c r="Q513" s="214">
        <v>72</v>
      </c>
      <c r="R513" s="214"/>
      <c r="S513" s="214"/>
    </row>
    <row r="514" spans="1:19" ht="27" customHeight="1">
      <c r="A514" s="99"/>
      <c r="B514" s="98"/>
      <c r="C514" s="97"/>
      <c r="D514" s="107"/>
      <c r="E514" s="102"/>
      <c r="F514" s="102"/>
      <c r="G514" s="89"/>
      <c r="H514" s="191" t="s">
        <v>669</v>
      </c>
      <c r="I514" s="25">
        <v>27</v>
      </c>
      <c r="J514" s="7">
        <v>10</v>
      </c>
      <c r="K514" s="7">
        <v>3</v>
      </c>
      <c r="L514" s="122" t="s">
        <v>668</v>
      </c>
      <c r="M514" s="123" t="s">
        <v>563</v>
      </c>
      <c r="N514" s="123" t="s">
        <v>583</v>
      </c>
      <c r="O514" s="123" t="s">
        <v>620</v>
      </c>
      <c r="P514" s="6"/>
      <c r="Q514" s="214">
        <f>Q515</f>
        <v>1021.8</v>
      </c>
      <c r="R514" s="214">
        <f aca="true" t="shared" si="38" ref="R514:S516">R515</f>
        <v>170.5</v>
      </c>
      <c r="S514" s="214">
        <f t="shared" si="38"/>
        <v>169.9</v>
      </c>
    </row>
    <row r="515" spans="1:19" ht="29.25" customHeight="1">
      <c r="A515" s="99"/>
      <c r="B515" s="98"/>
      <c r="C515" s="97"/>
      <c r="D515" s="107"/>
      <c r="E515" s="102"/>
      <c r="F515" s="102"/>
      <c r="G515" s="89"/>
      <c r="H515" s="191" t="s">
        <v>678</v>
      </c>
      <c r="I515" s="25">
        <v>27</v>
      </c>
      <c r="J515" s="7">
        <v>10</v>
      </c>
      <c r="K515" s="7">
        <v>3</v>
      </c>
      <c r="L515" s="122" t="s">
        <v>668</v>
      </c>
      <c r="M515" s="123" t="s">
        <v>563</v>
      </c>
      <c r="N515" s="123" t="s">
        <v>588</v>
      </c>
      <c r="O515" s="123" t="s">
        <v>620</v>
      </c>
      <c r="P515" s="6"/>
      <c r="Q515" s="214">
        <f>Q516</f>
        <v>1021.8</v>
      </c>
      <c r="R515" s="214">
        <f t="shared" si="38"/>
        <v>170.5</v>
      </c>
      <c r="S515" s="214">
        <f t="shared" si="38"/>
        <v>169.9</v>
      </c>
    </row>
    <row r="516" spans="1:19" ht="21.75" customHeight="1">
      <c r="A516" s="99"/>
      <c r="B516" s="98"/>
      <c r="C516" s="97"/>
      <c r="D516" s="107"/>
      <c r="E516" s="102"/>
      <c r="F516" s="102"/>
      <c r="G516" s="89"/>
      <c r="H516" s="191" t="s">
        <v>679</v>
      </c>
      <c r="I516" s="25">
        <v>27</v>
      </c>
      <c r="J516" s="7">
        <v>10</v>
      </c>
      <c r="K516" s="7">
        <v>3</v>
      </c>
      <c r="L516" s="122" t="s">
        <v>668</v>
      </c>
      <c r="M516" s="123" t="s">
        <v>563</v>
      </c>
      <c r="N516" s="123" t="s">
        <v>588</v>
      </c>
      <c r="O516" s="123" t="s">
        <v>272</v>
      </c>
      <c r="P516" s="6"/>
      <c r="Q516" s="214">
        <f>Q517</f>
        <v>1021.8</v>
      </c>
      <c r="R516" s="214">
        <f t="shared" si="38"/>
        <v>170.5</v>
      </c>
      <c r="S516" s="214">
        <f t="shared" si="38"/>
        <v>169.9</v>
      </c>
    </row>
    <row r="517" spans="1:19" ht="29.25" customHeight="1">
      <c r="A517" s="99"/>
      <c r="B517" s="98"/>
      <c r="C517" s="97"/>
      <c r="D517" s="107"/>
      <c r="E517" s="102"/>
      <c r="F517" s="102"/>
      <c r="G517" s="89"/>
      <c r="H517" s="34" t="s">
        <v>725</v>
      </c>
      <c r="I517" s="25">
        <v>27</v>
      </c>
      <c r="J517" s="7">
        <v>10</v>
      </c>
      <c r="K517" s="7">
        <v>3</v>
      </c>
      <c r="L517" s="122" t="s">
        <v>668</v>
      </c>
      <c r="M517" s="123" t="s">
        <v>563</v>
      </c>
      <c r="N517" s="123" t="s">
        <v>588</v>
      </c>
      <c r="O517" s="123" t="s">
        <v>272</v>
      </c>
      <c r="P517" s="6">
        <v>320</v>
      </c>
      <c r="Q517" s="214">
        <f>'Приложение 9'!Q284</f>
        <v>1021.8</v>
      </c>
      <c r="R517" s="214">
        <v>170.5</v>
      </c>
      <c r="S517" s="214">
        <v>169.9</v>
      </c>
    </row>
    <row r="518" spans="1:19" ht="29.25" customHeight="1">
      <c r="A518" s="99"/>
      <c r="B518" s="98"/>
      <c r="C518" s="97"/>
      <c r="D518" s="107"/>
      <c r="E518" s="102"/>
      <c r="F518" s="102"/>
      <c r="G518" s="89"/>
      <c r="H518" s="34" t="s">
        <v>299</v>
      </c>
      <c r="I518" s="25">
        <v>27</v>
      </c>
      <c r="J518" s="7">
        <v>10</v>
      </c>
      <c r="K518" s="7">
        <v>3</v>
      </c>
      <c r="L518" s="122" t="s">
        <v>580</v>
      </c>
      <c r="M518" s="123" t="s">
        <v>563</v>
      </c>
      <c r="N518" s="123" t="s">
        <v>583</v>
      </c>
      <c r="O518" s="123" t="s">
        <v>620</v>
      </c>
      <c r="P518" s="6"/>
      <c r="Q518" s="216">
        <f>Q519+Q521+Q527</f>
        <v>2300</v>
      </c>
      <c r="R518" s="216" t="e">
        <f>R519+R521+R527+R525+#REF!</f>
        <v>#REF!</v>
      </c>
      <c r="S518" s="216" t="e">
        <f>S519+S521+S527+S525+#REF!</f>
        <v>#REF!</v>
      </c>
    </row>
    <row r="519" spans="1:19" ht="57.75" customHeight="1">
      <c r="A519" s="99"/>
      <c r="B519" s="98"/>
      <c r="C519" s="97"/>
      <c r="D519" s="363">
        <v>5220000</v>
      </c>
      <c r="E519" s="364"/>
      <c r="F519" s="364"/>
      <c r="G519" s="89">
        <v>612</v>
      </c>
      <c r="H519" s="11" t="s">
        <v>539</v>
      </c>
      <c r="I519" s="6">
        <v>27</v>
      </c>
      <c r="J519" s="7">
        <v>10</v>
      </c>
      <c r="K519" s="7">
        <v>3</v>
      </c>
      <c r="L519" s="95" t="s">
        <v>580</v>
      </c>
      <c r="M519" s="96" t="s">
        <v>563</v>
      </c>
      <c r="N519" s="96" t="s">
        <v>583</v>
      </c>
      <c r="O519" s="124" t="s">
        <v>651</v>
      </c>
      <c r="P519" s="8"/>
      <c r="Q519" s="216">
        <f>Q520</f>
        <v>1284</v>
      </c>
      <c r="R519" s="216">
        <f>R520</f>
        <v>1273.5</v>
      </c>
      <c r="S519" s="216">
        <f>S520</f>
        <v>1273.5</v>
      </c>
    </row>
    <row r="520" spans="1:19" ht="28.5" customHeight="1">
      <c r="A520" s="99"/>
      <c r="B520" s="98"/>
      <c r="C520" s="97"/>
      <c r="D520" s="101"/>
      <c r="E520" s="100"/>
      <c r="F520" s="100"/>
      <c r="G520" s="89"/>
      <c r="H520" s="11" t="s">
        <v>725</v>
      </c>
      <c r="I520" s="6">
        <v>27</v>
      </c>
      <c r="J520" s="7">
        <v>10</v>
      </c>
      <c r="K520" s="7">
        <v>3</v>
      </c>
      <c r="L520" s="95" t="s">
        <v>580</v>
      </c>
      <c r="M520" s="96" t="s">
        <v>563</v>
      </c>
      <c r="N520" s="96" t="s">
        <v>583</v>
      </c>
      <c r="O520" s="124" t="s">
        <v>651</v>
      </c>
      <c r="P520" s="13">
        <v>320</v>
      </c>
      <c r="Q520" s="214">
        <f>'Приложение 9'!Q287</f>
        <v>1284</v>
      </c>
      <c r="R520" s="214">
        <v>1273.5</v>
      </c>
      <c r="S520" s="214">
        <v>1273.5</v>
      </c>
    </row>
    <row r="521" spans="1:19" ht="42" customHeight="1">
      <c r="A521" s="99"/>
      <c r="B521" s="98"/>
      <c r="C521" s="103"/>
      <c r="D521" s="101"/>
      <c r="E521" s="113"/>
      <c r="F521" s="113"/>
      <c r="G521" s="89"/>
      <c r="H521" s="11" t="s">
        <v>297</v>
      </c>
      <c r="I521" s="10">
        <v>27</v>
      </c>
      <c r="J521" s="7">
        <v>10</v>
      </c>
      <c r="K521" s="7">
        <v>3</v>
      </c>
      <c r="L521" s="95" t="s">
        <v>580</v>
      </c>
      <c r="M521" s="96" t="s">
        <v>563</v>
      </c>
      <c r="N521" s="96" t="s">
        <v>583</v>
      </c>
      <c r="O521" s="96" t="s">
        <v>296</v>
      </c>
      <c r="P521" s="10"/>
      <c r="Q521" s="214">
        <f>Q522</f>
        <v>642</v>
      </c>
      <c r="R521" s="214">
        <f>R522</f>
        <v>636.8</v>
      </c>
      <c r="S521" s="214">
        <f>S522</f>
        <v>636.8</v>
      </c>
    </row>
    <row r="522" spans="1:19" ht="32.25" customHeight="1">
      <c r="A522" s="99"/>
      <c r="B522" s="98"/>
      <c r="C522" s="103"/>
      <c r="D522" s="101"/>
      <c r="E522" s="113"/>
      <c r="F522" s="113"/>
      <c r="G522" s="89"/>
      <c r="H522" s="11" t="s">
        <v>725</v>
      </c>
      <c r="I522" s="10">
        <v>27</v>
      </c>
      <c r="J522" s="7">
        <v>10</v>
      </c>
      <c r="K522" s="7">
        <v>3</v>
      </c>
      <c r="L522" s="95" t="s">
        <v>580</v>
      </c>
      <c r="M522" s="96" t="s">
        <v>563</v>
      </c>
      <c r="N522" s="96" t="s">
        <v>583</v>
      </c>
      <c r="O522" s="96" t="s">
        <v>296</v>
      </c>
      <c r="P522" s="10">
        <v>320</v>
      </c>
      <c r="Q522" s="214">
        <f>'Приложение 9'!Q289</f>
        <v>642</v>
      </c>
      <c r="R522" s="239">
        <v>636.8</v>
      </c>
      <c r="S522" s="239">
        <v>636.8</v>
      </c>
    </row>
    <row r="523" spans="1:19" ht="32.25" customHeight="1">
      <c r="A523" s="99"/>
      <c r="B523" s="98"/>
      <c r="C523" s="103"/>
      <c r="D523" s="101"/>
      <c r="E523" s="113"/>
      <c r="F523" s="113"/>
      <c r="G523" s="89"/>
      <c r="H523" s="11" t="str">
        <f>'Приложение 9'!H651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523" s="10">
        <f>'Приложение 9'!I651</f>
        <v>664</v>
      </c>
      <c r="J523" s="7">
        <f>'Приложение 9'!J651</f>
        <v>10</v>
      </c>
      <c r="K523" s="7">
        <f>'Приложение 9'!K651</f>
        <v>3</v>
      </c>
      <c r="L523" s="95" t="str">
        <f>'Приложение 9'!L651</f>
        <v>48</v>
      </c>
      <c r="M523" s="96" t="str">
        <f>'Приложение 9'!M651</f>
        <v>0</v>
      </c>
      <c r="N523" s="96" t="str">
        <f>'Приложение 9'!N651</f>
        <v>00</v>
      </c>
      <c r="O523" s="96" t="str">
        <f>'Приложение 9'!O651</f>
        <v>00000</v>
      </c>
      <c r="P523" s="10" t="s">
        <v>621</v>
      </c>
      <c r="Q523" s="214">
        <f>Q524</f>
        <v>4914.8</v>
      </c>
      <c r="R523" s="239"/>
      <c r="S523" s="239"/>
    </row>
    <row r="524" spans="1:19" ht="32.25" customHeight="1">
      <c r="A524" s="99"/>
      <c r="B524" s="98"/>
      <c r="C524" s="103"/>
      <c r="D524" s="101"/>
      <c r="E524" s="113"/>
      <c r="F524" s="113"/>
      <c r="G524" s="89"/>
      <c r="H524" s="11" t="str">
        <f>'Приложение 9'!H652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524" s="10">
        <f>'Приложение 9'!I652</f>
        <v>664</v>
      </c>
      <c r="J524" s="7">
        <f>'Приложение 9'!J652</f>
        <v>10</v>
      </c>
      <c r="K524" s="7">
        <f>'Приложение 9'!K652</f>
        <v>3</v>
      </c>
      <c r="L524" s="95" t="str">
        <f>'Приложение 9'!L652</f>
        <v>48</v>
      </c>
      <c r="M524" s="96" t="str">
        <f>'Приложение 9'!M652</f>
        <v>0</v>
      </c>
      <c r="N524" s="96" t="str">
        <f>'Приложение 9'!N652</f>
        <v>Р1</v>
      </c>
      <c r="O524" s="96" t="str">
        <f>'Приложение 9'!O652</f>
        <v>00000</v>
      </c>
      <c r="P524" s="10" t="s">
        <v>621</v>
      </c>
      <c r="Q524" s="214">
        <f>Q525</f>
        <v>4914.8</v>
      </c>
      <c r="R524" s="239"/>
      <c r="S524" s="239"/>
    </row>
    <row r="525" spans="1:19" ht="51" customHeight="1">
      <c r="A525" s="99"/>
      <c r="B525" s="98"/>
      <c r="C525" s="103"/>
      <c r="D525" s="101"/>
      <c r="E525" s="113"/>
      <c r="F525" s="113"/>
      <c r="G525" s="89"/>
      <c r="H525" s="11" t="str">
        <f>'Приложение 9'!H653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525" s="10">
        <f>'Приложение 9'!I653</f>
        <v>664</v>
      </c>
      <c r="J525" s="7">
        <f>'Приложение 9'!J653</f>
        <v>10</v>
      </c>
      <c r="K525" s="7">
        <f>'Приложение 9'!K653</f>
        <v>3</v>
      </c>
      <c r="L525" s="95" t="str">
        <f>'Приложение 9'!L653</f>
        <v>48</v>
      </c>
      <c r="M525" s="96" t="str">
        <f>'Приложение 9'!M653</f>
        <v>0</v>
      </c>
      <c r="N525" s="96" t="str">
        <f>'Приложение 9'!N653</f>
        <v>P1</v>
      </c>
      <c r="O525" s="96" t="str">
        <f>'Приложение 9'!O653</f>
        <v>72300</v>
      </c>
      <c r="P525" s="10" t="s">
        <v>621</v>
      </c>
      <c r="Q525" s="214">
        <f>Q526</f>
        <v>4914.8</v>
      </c>
      <c r="R525" s="214">
        <f>R526</f>
        <v>4914.8</v>
      </c>
      <c r="S525" s="214">
        <f>S526</f>
        <v>4914.8</v>
      </c>
    </row>
    <row r="526" spans="1:19" ht="27" customHeight="1">
      <c r="A526" s="99"/>
      <c r="B526" s="98"/>
      <c r="C526" s="103"/>
      <c r="D526" s="101"/>
      <c r="E526" s="113"/>
      <c r="F526" s="113"/>
      <c r="G526" s="89"/>
      <c r="H526" s="11" t="str">
        <f>'Приложение 9'!H654</f>
        <v>Социальные выплаты гражданам, кроме публичных нормативных социальных выплат</v>
      </c>
      <c r="I526" s="10">
        <f>'Приложение 9'!I654</f>
        <v>664</v>
      </c>
      <c r="J526" s="7">
        <f>'Приложение 9'!J654</f>
        <v>10</v>
      </c>
      <c r="K526" s="7">
        <f>'Приложение 9'!K654</f>
        <v>3</v>
      </c>
      <c r="L526" s="95" t="str">
        <f>'Приложение 9'!L654</f>
        <v>48</v>
      </c>
      <c r="M526" s="96" t="str">
        <f>'Приложение 9'!M654</f>
        <v>0</v>
      </c>
      <c r="N526" s="96" t="str">
        <f>'Приложение 9'!N654</f>
        <v>P1</v>
      </c>
      <c r="O526" s="96" t="str">
        <f>'Приложение 9'!O654</f>
        <v>72300</v>
      </c>
      <c r="P526" s="10">
        <f>'Приложение 9'!P654</f>
        <v>320</v>
      </c>
      <c r="Q526" s="214">
        <f>'Приложение 9'!Q654</f>
        <v>4914.8</v>
      </c>
      <c r="R526" s="239">
        <v>4914.8</v>
      </c>
      <c r="S526" s="239">
        <v>4914.8</v>
      </c>
    </row>
    <row r="527" spans="1:19" ht="27" customHeight="1">
      <c r="A527" s="99"/>
      <c r="B527" s="98"/>
      <c r="C527" s="103"/>
      <c r="D527" s="101"/>
      <c r="E527" s="113"/>
      <c r="F527" s="113"/>
      <c r="G527" s="89"/>
      <c r="H527" s="5" t="s">
        <v>307</v>
      </c>
      <c r="I527" s="6">
        <v>27</v>
      </c>
      <c r="J527" s="7">
        <v>10</v>
      </c>
      <c r="K527" s="7">
        <v>3</v>
      </c>
      <c r="L527" s="95" t="s">
        <v>580</v>
      </c>
      <c r="M527" s="96" t="s">
        <v>563</v>
      </c>
      <c r="N527" s="96" t="s">
        <v>583</v>
      </c>
      <c r="O527" s="96" t="s">
        <v>306</v>
      </c>
      <c r="P527" s="6"/>
      <c r="Q527" s="214">
        <f>Q528</f>
        <v>374</v>
      </c>
      <c r="R527" s="214">
        <f>R528</f>
        <v>380</v>
      </c>
      <c r="S527" s="214">
        <f>S528</f>
        <v>380</v>
      </c>
    </row>
    <row r="528" spans="1:19" ht="27" customHeight="1">
      <c r="A528" s="99"/>
      <c r="B528" s="98"/>
      <c r="C528" s="103"/>
      <c r="D528" s="101"/>
      <c r="E528" s="113"/>
      <c r="F528" s="113"/>
      <c r="G528" s="89"/>
      <c r="H528" s="5" t="s">
        <v>724</v>
      </c>
      <c r="I528" s="8">
        <v>27</v>
      </c>
      <c r="J528" s="7">
        <v>10</v>
      </c>
      <c r="K528" s="7">
        <v>3</v>
      </c>
      <c r="L528" s="95" t="s">
        <v>580</v>
      </c>
      <c r="M528" s="96" t="s">
        <v>563</v>
      </c>
      <c r="N528" s="96" t="s">
        <v>583</v>
      </c>
      <c r="O528" s="96" t="s">
        <v>306</v>
      </c>
      <c r="P528" s="6">
        <v>310</v>
      </c>
      <c r="Q528" s="214">
        <v>374</v>
      </c>
      <c r="R528" s="214">
        <v>380</v>
      </c>
      <c r="S528" s="214">
        <v>380</v>
      </c>
    </row>
    <row r="529" spans="1:19" s="179" customFormat="1" ht="18.75" customHeight="1">
      <c r="A529" s="142"/>
      <c r="B529" s="143"/>
      <c r="C529" s="153"/>
      <c r="D529" s="150"/>
      <c r="E529" s="379">
        <v>3150300</v>
      </c>
      <c r="F529" s="379"/>
      <c r="G529" s="136">
        <v>850</v>
      </c>
      <c r="H529" s="137" t="s">
        <v>377</v>
      </c>
      <c r="I529" s="138">
        <v>663</v>
      </c>
      <c r="J529" s="148">
        <v>10</v>
      </c>
      <c r="K529" s="148">
        <v>4</v>
      </c>
      <c r="L529" s="140" t="s">
        <v>534</v>
      </c>
      <c r="M529" s="141" t="s">
        <v>534</v>
      </c>
      <c r="N529" s="141"/>
      <c r="O529" s="141" t="s">
        <v>534</v>
      </c>
      <c r="P529" s="138" t="s">
        <v>534</v>
      </c>
      <c r="Q529" s="213">
        <f>Q530</f>
        <v>3455.1</v>
      </c>
      <c r="R529" s="213" t="e">
        <f>R530+#REF!</f>
        <v>#REF!</v>
      </c>
      <c r="S529" s="213" t="e">
        <f>S530+#REF!</f>
        <v>#REF!</v>
      </c>
    </row>
    <row r="530" spans="1:19" ht="22.5" customHeight="1">
      <c r="A530" s="99"/>
      <c r="B530" s="98"/>
      <c r="C530" s="103"/>
      <c r="D530" s="101"/>
      <c r="E530" s="367">
        <v>5221300</v>
      </c>
      <c r="F530" s="367"/>
      <c r="G530" s="89">
        <v>410</v>
      </c>
      <c r="H530" s="11" t="s">
        <v>271</v>
      </c>
      <c r="I530" s="10">
        <v>663</v>
      </c>
      <c r="J530" s="7">
        <v>10</v>
      </c>
      <c r="K530" s="7">
        <v>4</v>
      </c>
      <c r="L530" s="95" t="s">
        <v>595</v>
      </c>
      <c r="M530" s="96" t="s">
        <v>563</v>
      </c>
      <c r="N530" s="96" t="s">
        <v>583</v>
      </c>
      <c r="O530" s="96" t="s">
        <v>620</v>
      </c>
      <c r="P530" s="10" t="s">
        <v>534</v>
      </c>
      <c r="Q530" s="214">
        <f>Q531</f>
        <v>3455.1</v>
      </c>
      <c r="R530" s="214">
        <f aca="true" t="shared" si="39" ref="R530:S532">R531</f>
        <v>0</v>
      </c>
      <c r="S530" s="214">
        <f t="shared" si="39"/>
        <v>0</v>
      </c>
    </row>
    <row r="531" spans="1:19" ht="29.25" customHeight="1">
      <c r="A531" s="99"/>
      <c r="B531" s="98"/>
      <c r="C531" s="103"/>
      <c r="D531" s="101"/>
      <c r="E531" s="104"/>
      <c r="F531" s="104"/>
      <c r="G531" s="89"/>
      <c r="H531" s="253" t="s">
        <v>336</v>
      </c>
      <c r="I531" s="10">
        <v>663</v>
      </c>
      <c r="J531" s="7">
        <v>10</v>
      </c>
      <c r="K531" s="7">
        <v>4</v>
      </c>
      <c r="L531" s="95" t="s">
        <v>595</v>
      </c>
      <c r="M531" s="96" t="s">
        <v>563</v>
      </c>
      <c r="N531" s="96" t="s">
        <v>564</v>
      </c>
      <c r="O531" s="96" t="s">
        <v>620</v>
      </c>
      <c r="P531" s="10"/>
      <c r="Q531" s="214">
        <f>Q532</f>
        <v>3455.1</v>
      </c>
      <c r="R531" s="214">
        <f t="shared" si="39"/>
        <v>0</v>
      </c>
      <c r="S531" s="214">
        <f t="shared" si="39"/>
        <v>0</v>
      </c>
    </row>
    <row r="532" spans="1:19" ht="48" customHeight="1">
      <c r="A532" s="99"/>
      <c r="B532" s="98"/>
      <c r="C532" s="103"/>
      <c r="D532" s="101"/>
      <c r="E532" s="104"/>
      <c r="F532" s="104"/>
      <c r="G532" s="89"/>
      <c r="H532" s="254" t="s">
        <v>330</v>
      </c>
      <c r="I532" s="10">
        <v>663</v>
      </c>
      <c r="J532" s="7">
        <v>10</v>
      </c>
      <c r="K532" s="7">
        <v>4</v>
      </c>
      <c r="L532" s="95" t="s">
        <v>595</v>
      </c>
      <c r="M532" s="96" t="s">
        <v>563</v>
      </c>
      <c r="N532" s="96" t="s">
        <v>564</v>
      </c>
      <c r="O532" s="96" t="s">
        <v>329</v>
      </c>
      <c r="P532" s="10"/>
      <c r="Q532" s="214">
        <f>Q533</f>
        <v>3455.1</v>
      </c>
      <c r="R532" s="214">
        <f t="shared" si="39"/>
        <v>0</v>
      </c>
      <c r="S532" s="214">
        <f t="shared" si="39"/>
        <v>0</v>
      </c>
    </row>
    <row r="533" spans="1:19" ht="26.25" customHeight="1">
      <c r="A533" s="99"/>
      <c r="B533" s="98"/>
      <c r="C533" s="103"/>
      <c r="D533" s="101"/>
      <c r="E533" s="104"/>
      <c r="F533" s="104"/>
      <c r="G533" s="89"/>
      <c r="H533" s="258" t="s">
        <v>725</v>
      </c>
      <c r="I533" s="10">
        <v>663</v>
      </c>
      <c r="J533" s="7">
        <v>10</v>
      </c>
      <c r="K533" s="7">
        <v>4</v>
      </c>
      <c r="L533" s="95" t="s">
        <v>595</v>
      </c>
      <c r="M533" s="96" t="s">
        <v>563</v>
      </c>
      <c r="N533" s="96" t="s">
        <v>564</v>
      </c>
      <c r="O533" s="96" t="s">
        <v>329</v>
      </c>
      <c r="P533" s="10">
        <v>320</v>
      </c>
      <c r="Q533" s="214">
        <v>3455.1</v>
      </c>
      <c r="R533" s="214"/>
      <c r="S533" s="214"/>
    </row>
    <row r="534" spans="1:19" s="179" customFormat="1" ht="25.5" customHeight="1">
      <c r="A534" s="142"/>
      <c r="B534" s="143"/>
      <c r="C534" s="153"/>
      <c r="D534" s="150"/>
      <c r="E534" s="145"/>
      <c r="F534" s="145"/>
      <c r="G534" s="155">
        <v>622</v>
      </c>
      <c r="H534" s="149" t="s">
        <v>538</v>
      </c>
      <c r="I534" s="152">
        <v>27</v>
      </c>
      <c r="J534" s="148">
        <v>10</v>
      </c>
      <c r="K534" s="148">
        <v>6</v>
      </c>
      <c r="L534" s="185"/>
      <c r="M534" s="186"/>
      <c r="N534" s="186"/>
      <c r="O534" s="186"/>
      <c r="P534" s="146"/>
      <c r="Q534" s="217">
        <f>Q535</f>
        <v>1349.5</v>
      </c>
      <c r="R534" s="217">
        <f>R535</f>
        <v>1132.1</v>
      </c>
      <c r="S534" s="217">
        <f>S535</f>
        <v>1132.1</v>
      </c>
    </row>
    <row r="535" spans="1:19" s="179" customFormat="1" ht="25.5" customHeight="1">
      <c r="A535" s="142"/>
      <c r="B535" s="143"/>
      <c r="C535" s="153"/>
      <c r="D535" s="150"/>
      <c r="E535" s="145"/>
      <c r="F535" s="145"/>
      <c r="G535" s="136"/>
      <c r="H535" s="11" t="s">
        <v>299</v>
      </c>
      <c r="I535" s="6">
        <v>27</v>
      </c>
      <c r="J535" s="7">
        <v>10</v>
      </c>
      <c r="K535" s="7">
        <v>6</v>
      </c>
      <c r="L535" s="122" t="s">
        <v>580</v>
      </c>
      <c r="M535" s="123" t="s">
        <v>563</v>
      </c>
      <c r="N535" s="123" t="s">
        <v>583</v>
      </c>
      <c r="O535" s="123" t="s">
        <v>620</v>
      </c>
      <c r="P535" s="6"/>
      <c r="Q535" s="216">
        <f>Q536+Q538+Q541</f>
        <v>1349.5</v>
      </c>
      <c r="R535" s="216">
        <f>R536+R538+R541</f>
        <v>1132.1</v>
      </c>
      <c r="S535" s="216">
        <f>S536+S538+S541</f>
        <v>1132.1</v>
      </c>
    </row>
    <row r="536" spans="1:19" ht="30.75" customHeight="1">
      <c r="A536" s="99"/>
      <c r="B536" s="98"/>
      <c r="C536" s="103"/>
      <c r="D536" s="101"/>
      <c r="E536" s="367">
        <v>5225700</v>
      </c>
      <c r="F536" s="367"/>
      <c r="G536" s="89">
        <v>612</v>
      </c>
      <c r="H536" s="11" t="s">
        <v>52</v>
      </c>
      <c r="I536" s="10">
        <v>27</v>
      </c>
      <c r="J536" s="7">
        <v>10</v>
      </c>
      <c r="K536" s="7">
        <v>6</v>
      </c>
      <c r="L536" s="95" t="s">
        <v>580</v>
      </c>
      <c r="M536" s="96" t="s">
        <v>563</v>
      </c>
      <c r="N536" s="96" t="s">
        <v>583</v>
      </c>
      <c r="O536" s="96" t="s">
        <v>51</v>
      </c>
      <c r="P536" s="6"/>
      <c r="Q536" s="216">
        <f>Q537</f>
        <v>45</v>
      </c>
      <c r="R536" s="216">
        <f>R537</f>
        <v>45</v>
      </c>
      <c r="S536" s="216">
        <f>S537</f>
        <v>45</v>
      </c>
    </row>
    <row r="537" spans="1:19" ht="21.75" customHeight="1">
      <c r="A537" s="99"/>
      <c r="B537" s="98"/>
      <c r="C537" s="103"/>
      <c r="D537" s="101"/>
      <c r="E537" s="104"/>
      <c r="F537" s="104"/>
      <c r="G537" s="89"/>
      <c r="H537" s="5" t="s">
        <v>524</v>
      </c>
      <c r="I537" s="10">
        <v>27</v>
      </c>
      <c r="J537" s="7">
        <v>10</v>
      </c>
      <c r="K537" s="7">
        <v>6</v>
      </c>
      <c r="L537" s="95" t="s">
        <v>580</v>
      </c>
      <c r="M537" s="96" t="s">
        <v>563</v>
      </c>
      <c r="N537" s="96" t="s">
        <v>583</v>
      </c>
      <c r="O537" s="96" t="s">
        <v>51</v>
      </c>
      <c r="P537" s="10">
        <v>630</v>
      </c>
      <c r="Q537" s="214">
        <v>45</v>
      </c>
      <c r="R537" s="214">
        <v>45</v>
      </c>
      <c r="S537" s="214">
        <v>45</v>
      </c>
    </row>
    <row r="538" spans="1:19" ht="30.75" customHeight="1">
      <c r="A538" s="99"/>
      <c r="B538" s="98"/>
      <c r="C538" s="103"/>
      <c r="D538" s="101"/>
      <c r="E538" s="104"/>
      <c r="F538" s="104"/>
      <c r="G538" s="89"/>
      <c r="H538" s="11" t="s">
        <v>815</v>
      </c>
      <c r="I538" s="10">
        <v>27</v>
      </c>
      <c r="J538" s="7">
        <v>10</v>
      </c>
      <c r="K538" s="7">
        <v>6</v>
      </c>
      <c r="L538" s="95" t="s">
        <v>580</v>
      </c>
      <c r="M538" s="96" t="s">
        <v>563</v>
      </c>
      <c r="N538" s="96" t="s">
        <v>583</v>
      </c>
      <c r="O538" s="96" t="s">
        <v>814</v>
      </c>
      <c r="P538" s="6"/>
      <c r="Q538" s="216">
        <f>Q539+Q540</f>
        <v>1304.5</v>
      </c>
      <c r="R538" s="216">
        <f>R539</f>
        <v>1087.1</v>
      </c>
      <c r="S538" s="216">
        <f>S539</f>
        <v>1087.1</v>
      </c>
    </row>
    <row r="539" spans="1:19" ht="26.25" customHeight="1">
      <c r="A539" s="99"/>
      <c r="B539" s="98"/>
      <c r="C539" s="103"/>
      <c r="D539" s="101"/>
      <c r="E539" s="104"/>
      <c r="F539" s="104"/>
      <c r="G539" s="89"/>
      <c r="H539" s="11" t="str">
        <f>'Приложение 9'!H297</f>
        <v>Расходы на выплаты персоналу государственных (муниципальных) органов</v>
      </c>
      <c r="I539" s="10">
        <f>'Приложение 9'!I297</f>
        <v>27</v>
      </c>
      <c r="J539" s="7">
        <f>'Приложение 9'!J297</f>
        <v>10</v>
      </c>
      <c r="K539" s="7">
        <f>'Приложение 9'!K297</f>
        <v>6</v>
      </c>
      <c r="L539" s="95" t="str">
        <f>'Приложение 9'!L297</f>
        <v>91</v>
      </c>
      <c r="M539" s="96" t="str">
        <f>'Приложение 9'!M297</f>
        <v>0</v>
      </c>
      <c r="N539" s="96" t="str">
        <f>'Приложение 9'!N297</f>
        <v>00</v>
      </c>
      <c r="O539" s="96" t="str">
        <f>'Приложение 9'!O297</f>
        <v>72310</v>
      </c>
      <c r="P539" s="6">
        <f>'Приложение 9'!P297</f>
        <v>120</v>
      </c>
      <c r="Q539" s="216">
        <f>'Приложение 9'!Q297</f>
        <v>1276.7</v>
      </c>
      <c r="R539" s="239">
        <v>1087.1</v>
      </c>
      <c r="S539" s="239">
        <v>1087.1</v>
      </c>
    </row>
    <row r="540" spans="1:19" ht="26.25" customHeight="1">
      <c r="A540" s="99"/>
      <c r="B540" s="98"/>
      <c r="C540" s="103"/>
      <c r="D540" s="107"/>
      <c r="E540" s="104"/>
      <c r="F540" s="104"/>
      <c r="G540" s="89"/>
      <c r="H540" s="11" t="str">
        <f>'Приложение 9'!H298</f>
        <v>Иные закупки товаров, работ и услуг для обеспечения государственных (муниципальных) нужд</v>
      </c>
      <c r="I540" s="10">
        <f>'Приложение 9'!I298</f>
        <v>27</v>
      </c>
      <c r="J540" s="7">
        <f>'Приложение 9'!J298</f>
        <v>10</v>
      </c>
      <c r="K540" s="7">
        <f>'Приложение 9'!K298</f>
        <v>6</v>
      </c>
      <c r="L540" s="95" t="str">
        <f>'Приложение 9'!L298</f>
        <v>91</v>
      </c>
      <c r="M540" s="96" t="str">
        <f>'Приложение 9'!M298</f>
        <v>0</v>
      </c>
      <c r="N540" s="96" t="str">
        <f>'Приложение 9'!N298</f>
        <v>00</v>
      </c>
      <c r="O540" s="96" t="str">
        <f>'Приложение 9'!O298</f>
        <v>72310</v>
      </c>
      <c r="P540" s="6">
        <f>'Приложение 9'!P298</f>
        <v>240</v>
      </c>
      <c r="Q540" s="216">
        <f>'Приложение 9'!Q298</f>
        <v>27.8</v>
      </c>
      <c r="R540" s="239"/>
      <c r="S540" s="239"/>
    </row>
    <row r="541" spans="1:19" ht="34.5" customHeight="1" hidden="1">
      <c r="A541" s="99"/>
      <c r="B541" s="98"/>
      <c r="C541" s="103"/>
      <c r="D541" s="107"/>
      <c r="E541" s="104"/>
      <c r="F541" s="104"/>
      <c r="G541" s="89"/>
      <c r="H541" s="11" t="s">
        <v>681</v>
      </c>
      <c r="I541" s="6">
        <v>27</v>
      </c>
      <c r="J541" s="7">
        <v>10</v>
      </c>
      <c r="K541" s="7">
        <v>6</v>
      </c>
      <c r="L541" s="95" t="s">
        <v>580</v>
      </c>
      <c r="M541" s="96" t="s">
        <v>563</v>
      </c>
      <c r="N541" s="96" t="s">
        <v>583</v>
      </c>
      <c r="O541" s="96" t="s">
        <v>680</v>
      </c>
      <c r="P541" s="6"/>
      <c r="Q541" s="216">
        <f>Q542</f>
        <v>0</v>
      </c>
      <c r="R541" s="216">
        <f>R542</f>
        <v>0</v>
      </c>
      <c r="S541" s="216">
        <f>S542</f>
        <v>0</v>
      </c>
    </row>
    <row r="542" spans="1:19" ht="26.25" customHeight="1" hidden="1">
      <c r="A542" s="99"/>
      <c r="B542" s="98"/>
      <c r="C542" s="103"/>
      <c r="D542" s="107"/>
      <c r="E542" s="104"/>
      <c r="F542" s="104"/>
      <c r="G542" s="89"/>
      <c r="H542" s="200" t="s">
        <v>720</v>
      </c>
      <c r="I542" s="6">
        <v>27</v>
      </c>
      <c r="J542" s="7">
        <v>10</v>
      </c>
      <c r="K542" s="7">
        <v>6</v>
      </c>
      <c r="L542" s="95" t="s">
        <v>580</v>
      </c>
      <c r="M542" s="96" t="s">
        <v>563</v>
      </c>
      <c r="N542" s="96" t="s">
        <v>583</v>
      </c>
      <c r="O542" s="96" t="s">
        <v>680</v>
      </c>
      <c r="P542" s="6">
        <v>240</v>
      </c>
      <c r="Q542" s="216">
        <f>'Приложение 9'!Q300</f>
        <v>0</v>
      </c>
      <c r="R542" s="239">
        <v>0</v>
      </c>
      <c r="S542" s="239">
        <v>0</v>
      </c>
    </row>
    <row r="543" spans="1:19" s="179" customFormat="1" ht="18.75" customHeight="1">
      <c r="A543" s="142"/>
      <c r="B543" s="143"/>
      <c r="C543" s="153"/>
      <c r="D543" s="144"/>
      <c r="E543" s="145"/>
      <c r="F543" s="145"/>
      <c r="G543" s="155">
        <v>612</v>
      </c>
      <c r="H543" s="149" t="s">
        <v>537</v>
      </c>
      <c r="I543" s="152">
        <v>27</v>
      </c>
      <c r="J543" s="148">
        <v>11</v>
      </c>
      <c r="K543" s="148"/>
      <c r="L543" s="140"/>
      <c r="M543" s="141"/>
      <c r="N543" s="141"/>
      <c r="O543" s="141"/>
      <c r="P543" s="146"/>
      <c r="Q543" s="217">
        <f aca="true" t="shared" si="40" ref="Q543:S544">Q544</f>
        <v>37557.5</v>
      </c>
      <c r="R543" s="217" t="e">
        <f t="shared" si="40"/>
        <v>#REF!</v>
      </c>
      <c r="S543" s="217" t="e">
        <f t="shared" si="40"/>
        <v>#REF!</v>
      </c>
    </row>
    <row r="544" spans="1:19" s="179" customFormat="1" ht="19.5" customHeight="1">
      <c r="A544" s="142"/>
      <c r="B544" s="143"/>
      <c r="C544" s="142"/>
      <c r="D544" s="380">
        <v>5250000</v>
      </c>
      <c r="E544" s="381"/>
      <c r="F544" s="381"/>
      <c r="G544" s="136">
        <v>530</v>
      </c>
      <c r="H544" s="137" t="s">
        <v>378</v>
      </c>
      <c r="I544" s="138">
        <v>27</v>
      </c>
      <c r="J544" s="148">
        <v>11</v>
      </c>
      <c r="K544" s="148">
        <v>1</v>
      </c>
      <c r="L544" s="140"/>
      <c r="M544" s="141"/>
      <c r="N544" s="141"/>
      <c r="O544" s="141"/>
      <c r="P544" s="138"/>
      <c r="Q544" s="213">
        <f t="shared" si="40"/>
        <v>37557.5</v>
      </c>
      <c r="R544" s="213" t="e">
        <f t="shared" si="40"/>
        <v>#REF!</v>
      </c>
      <c r="S544" s="213" t="e">
        <f t="shared" si="40"/>
        <v>#REF!</v>
      </c>
    </row>
    <row r="545" spans="1:19" ht="34.5" customHeight="1">
      <c r="A545" s="99"/>
      <c r="B545" s="98"/>
      <c r="C545" s="103"/>
      <c r="D545" s="101"/>
      <c r="E545" s="113"/>
      <c r="F545" s="113"/>
      <c r="G545" s="105"/>
      <c r="H545" s="5" t="s">
        <v>682</v>
      </c>
      <c r="I545" s="6">
        <v>27</v>
      </c>
      <c r="J545" s="7">
        <v>11</v>
      </c>
      <c r="K545" s="7">
        <v>1</v>
      </c>
      <c r="L545" s="95" t="s">
        <v>683</v>
      </c>
      <c r="M545" s="96" t="s">
        <v>563</v>
      </c>
      <c r="N545" s="96" t="s">
        <v>583</v>
      </c>
      <c r="O545" s="96" t="s">
        <v>620</v>
      </c>
      <c r="P545" s="6"/>
      <c r="Q545" s="214">
        <f>Q549+Q546+Q554</f>
        <v>37557.5</v>
      </c>
      <c r="R545" s="214" t="e">
        <f>R549+#REF!</f>
        <v>#REF!</v>
      </c>
      <c r="S545" s="214" t="e">
        <f>S549+#REF!</f>
        <v>#REF!</v>
      </c>
    </row>
    <row r="546" spans="1:19" ht="34.5" customHeight="1">
      <c r="A546" s="99"/>
      <c r="B546" s="98"/>
      <c r="C546" s="103"/>
      <c r="D546" s="101"/>
      <c r="E546" s="113"/>
      <c r="F546" s="113"/>
      <c r="G546" s="89"/>
      <c r="H546" s="11" t="str">
        <f>'Приложение 9'!H304</f>
        <v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v>
      </c>
      <c r="I546" s="10">
        <f>'Приложение 9'!I304</f>
        <v>27</v>
      </c>
      <c r="J546" s="7">
        <f>'Приложение 9'!J304</f>
        <v>11</v>
      </c>
      <c r="K546" s="7">
        <f>'Приложение 9'!K304</f>
        <v>1</v>
      </c>
      <c r="L546" s="122" t="str">
        <f>'Приложение 9'!L304</f>
        <v>29</v>
      </c>
      <c r="M546" s="123" t="str">
        <f>'Приложение 9'!M304</f>
        <v>0</v>
      </c>
      <c r="N546" s="123" t="str">
        <f>'Приложение 9'!N304</f>
        <v>01</v>
      </c>
      <c r="O546" s="123" t="str">
        <f>'Приложение 9'!O304</f>
        <v>00000</v>
      </c>
      <c r="P546" s="10" t="s">
        <v>621</v>
      </c>
      <c r="Q546" s="214">
        <f>'Приложение 9'!Q304</f>
        <v>150</v>
      </c>
      <c r="R546" s="214"/>
      <c r="S546" s="214"/>
    </row>
    <row r="547" spans="1:19" ht="27.75" customHeight="1">
      <c r="A547" s="99"/>
      <c r="B547" s="98"/>
      <c r="C547" s="103"/>
      <c r="D547" s="101"/>
      <c r="E547" s="113"/>
      <c r="F547" s="113"/>
      <c r="G547" s="89"/>
      <c r="H547" s="11" t="str">
        <f>'Приложение 9'!H305</f>
        <v>Учреждения физической культуры и спорта</v>
      </c>
      <c r="I547" s="10">
        <f>'Приложение 9'!I305</f>
        <v>27</v>
      </c>
      <c r="J547" s="7">
        <f>'Приложение 9'!J305</f>
        <v>11</v>
      </c>
      <c r="K547" s="7">
        <f>'Приложение 9'!K305</f>
        <v>1</v>
      </c>
      <c r="L547" s="122" t="str">
        <f>'Приложение 9'!L305</f>
        <v>29</v>
      </c>
      <c r="M547" s="123" t="str">
        <f>'Приложение 9'!M305</f>
        <v>0</v>
      </c>
      <c r="N547" s="123" t="str">
        <f>'Приложение 9'!N305</f>
        <v>01</v>
      </c>
      <c r="O547" s="123" t="str">
        <f>'Приложение 9'!O305</f>
        <v>16590</v>
      </c>
      <c r="P547" s="10" t="s">
        <v>621</v>
      </c>
      <c r="Q547" s="214">
        <f>'Приложение 9'!Q305</f>
        <v>150</v>
      </c>
      <c r="R547" s="214"/>
      <c r="S547" s="214"/>
    </row>
    <row r="548" spans="1:19" ht="27.75" customHeight="1">
      <c r="A548" s="99"/>
      <c r="B548" s="98"/>
      <c r="C548" s="103"/>
      <c r="D548" s="101"/>
      <c r="E548" s="113"/>
      <c r="F548" s="113"/>
      <c r="G548" s="89"/>
      <c r="H548" s="11" t="str">
        <f>'Приложение 9'!H306</f>
        <v>Субсидии бюджетным учреждениям</v>
      </c>
      <c r="I548" s="10">
        <f>'Приложение 9'!I306</f>
        <v>27</v>
      </c>
      <c r="J548" s="7">
        <f>'Приложение 9'!J306</f>
        <v>11</v>
      </c>
      <c r="K548" s="7">
        <f>'Приложение 9'!K306</f>
        <v>1</v>
      </c>
      <c r="L548" s="122" t="str">
        <f>'Приложение 9'!L306</f>
        <v>29</v>
      </c>
      <c r="M548" s="123" t="str">
        <f>'Приложение 9'!M306</f>
        <v>0</v>
      </c>
      <c r="N548" s="123" t="str">
        <f>'Приложение 9'!N306</f>
        <v>01</v>
      </c>
      <c r="O548" s="123" t="str">
        <f>'Приложение 9'!O306</f>
        <v>16590</v>
      </c>
      <c r="P548" s="10">
        <f>'Приложение 9'!P306</f>
        <v>610</v>
      </c>
      <c r="Q548" s="214">
        <f>'Приложение 9'!Q306</f>
        <v>150</v>
      </c>
      <c r="R548" s="214"/>
      <c r="S548" s="214"/>
    </row>
    <row r="549" spans="1:19" ht="24.75" customHeight="1">
      <c r="A549" s="99"/>
      <c r="B549" s="98"/>
      <c r="C549" s="103"/>
      <c r="D549" s="101"/>
      <c r="E549" s="113"/>
      <c r="F549" s="113"/>
      <c r="G549" s="89"/>
      <c r="H549" s="11" t="s">
        <v>315</v>
      </c>
      <c r="I549" s="10">
        <v>27</v>
      </c>
      <c r="J549" s="7">
        <v>11</v>
      </c>
      <c r="K549" s="7">
        <v>1</v>
      </c>
      <c r="L549" s="122" t="s">
        <v>683</v>
      </c>
      <c r="M549" s="123" t="s">
        <v>563</v>
      </c>
      <c r="N549" s="123" t="s">
        <v>592</v>
      </c>
      <c r="O549" s="123" t="s">
        <v>620</v>
      </c>
      <c r="P549" s="10"/>
      <c r="Q549" s="214">
        <f>Q550+Q552</f>
        <v>8131.6</v>
      </c>
      <c r="R549" s="214">
        <f aca="true" t="shared" si="41" ref="Q549:S550">R550</f>
        <v>7200</v>
      </c>
      <c r="S549" s="214">
        <f t="shared" si="41"/>
        <v>7300</v>
      </c>
    </row>
    <row r="550" spans="1:19" ht="22.5" customHeight="1">
      <c r="A550" s="99"/>
      <c r="B550" s="98"/>
      <c r="C550" s="103"/>
      <c r="D550" s="101"/>
      <c r="E550" s="113"/>
      <c r="F550" s="113"/>
      <c r="G550" s="89"/>
      <c r="H550" s="11" t="s">
        <v>314</v>
      </c>
      <c r="I550" s="10">
        <v>27</v>
      </c>
      <c r="J550" s="7">
        <v>11</v>
      </c>
      <c r="K550" s="7">
        <v>1</v>
      </c>
      <c r="L550" s="122" t="s">
        <v>683</v>
      </c>
      <c r="M550" s="123" t="s">
        <v>563</v>
      </c>
      <c r="N550" s="123" t="s">
        <v>592</v>
      </c>
      <c r="O550" s="123" t="s">
        <v>313</v>
      </c>
      <c r="P550" s="10"/>
      <c r="Q550" s="214">
        <f t="shared" si="41"/>
        <v>6607.1</v>
      </c>
      <c r="R550" s="214">
        <f t="shared" si="41"/>
        <v>7200</v>
      </c>
      <c r="S550" s="214">
        <f t="shared" si="41"/>
        <v>7300</v>
      </c>
    </row>
    <row r="551" spans="1:19" ht="22.5" customHeight="1">
      <c r="A551" s="99"/>
      <c r="B551" s="98"/>
      <c r="C551" s="103"/>
      <c r="D551" s="101"/>
      <c r="E551" s="113"/>
      <c r="F551" s="113"/>
      <c r="G551" s="89"/>
      <c r="H551" s="11" t="s">
        <v>722</v>
      </c>
      <c r="I551" s="10">
        <v>27</v>
      </c>
      <c r="J551" s="7">
        <v>11</v>
      </c>
      <c r="K551" s="7">
        <v>1</v>
      </c>
      <c r="L551" s="122" t="s">
        <v>683</v>
      </c>
      <c r="M551" s="123" t="s">
        <v>563</v>
      </c>
      <c r="N551" s="123" t="s">
        <v>592</v>
      </c>
      <c r="O551" s="123" t="s">
        <v>313</v>
      </c>
      <c r="P551" s="10">
        <v>610</v>
      </c>
      <c r="Q551" s="214">
        <f>'Приложение 9'!Q309</f>
        <v>6607.1</v>
      </c>
      <c r="R551" s="214">
        <v>7200</v>
      </c>
      <c r="S551" s="214">
        <v>7300</v>
      </c>
    </row>
    <row r="552" spans="1:19" ht="34.5" customHeight="1">
      <c r="A552" s="99"/>
      <c r="B552" s="98"/>
      <c r="C552" s="106"/>
      <c r="D552" s="107"/>
      <c r="E552" s="104"/>
      <c r="F552" s="104"/>
      <c r="G552" s="89"/>
      <c r="H552" s="11" t="str">
        <f>'Приложение 9'!H310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552" s="10">
        <f>'Приложение 9'!I310</f>
        <v>27</v>
      </c>
      <c r="J552" s="7">
        <f>'Приложение 9'!J310</f>
        <v>11</v>
      </c>
      <c r="K552" s="7">
        <f>'Приложение 9'!K310</f>
        <v>1</v>
      </c>
      <c r="L552" s="122" t="str">
        <f>'Приложение 9'!L310</f>
        <v>29</v>
      </c>
      <c r="M552" s="123" t="str">
        <f>'Приложение 9'!M310</f>
        <v>0</v>
      </c>
      <c r="N552" s="123" t="str">
        <f>'Приложение 9'!N310</f>
        <v>02</v>
      </c>
      <c r="O552" s="123" t="str">
        <f>'Приложение 9'!O310</f>
        <v>70030</v>
      </c>
      <c r="P552" s="10" t="s">
        <v>621</v>
      </c>
      <c r="Q552" s="214">
        <f>'Приложение 9'!Q310</f>
        <v>1524.5</v>
      </c>
      <c r="R552" s="216"/>
      <c r="S552" s="216"/>
    </row>
    <row r="553" spans="1:19" ht="22.5" customHeight="1">
      <c r="A553" s="99"/>
      <c r="B553" s="98"/>
      <c r="C553" s="106"/>
      <c r="D553" s="107"/>
      <c r="E553" s="104"/>
      <c r="F553" s="104"/>
      <c r="G553" s="89"/>
      <c r="H553" s="11" t="str">
        <f>'Приложение 9'!H311</f>
        <v>Субсидии бюджетным учреждениям</v>
      </c>
      <c r="I553" s="10">
        <f>'Приложение 9'!I311</f>
        <v>27</v>
      </c>
      <c r="J553" s="7">
        <f>'Приложение 9'!J311</f>
        <v>11</v>
      </c>
      <c r="K553" s="7">
        <f>'Приложение 9'!K311</f>
        <v>1</v>
      </c>
      <c r="L553" s="122" t="str">
        <f>'Приложение 9'!L311</f>
        <v>29</v>
      </c>
      <c r="M553" s="123" t="str">
        <f>'Приложение 9'!M311</f>
        <v>0</v>
      </c>
      <c r="N553" s="123" t="str">
        <f>'Приложение 9'!N311</f>
        <v>02</v>
      </c>
      <c r="O553" s="123" t="str">
        <f>'Приложение 9'!O311</f>
        <v>70030</v>
      </c>
      <c r="P553" s="10">
        <f>'Приложение 9'!P311</f>
        <v>610</v>
      </c>
      <c r="Q553" s="214">
        <f>'Приложение 9'!Q311</f>
        <v>1524.5</v>
      </c>
      <c r="R553" s="216"/>
      <c r="S553" s="216"/>
    </row>
    <row r="554" spans="1:19" ht="22.5" customHeight="1">
      <c r="A554" s="99"/>
      <c r="B554" s="98"/>
      <c r="C554" s="106"/>
      <c r="D554" s="107"/>
      <c r="E554" s="104"/>
      <c r="F554" s="104"/>
      <c r="G554" s="89"/>
      <c r="H554" s="11" t="str">
        <f>'Приложение 9'!H312</f>
        <v>Основное мероприятие «Развитие инфраструктуры физической культуры и спорта, в том числе для лиц с ограниченными возможностями здоровья и инвалидов»</v>
      </c>
      <c r="I554" s="10">
        <f>'Приложение 9'!I312</f>
        <v>27</v>
      </c>
      <c r="J554" s="7">
        <f>'Приложение 9'!J312</f>
        <v>11</v>
      </c>
      <c r="K554" s="7">
        <f>'Приложение 9'!K312</f>
        <v>1</v>
      </c>
      <c r="L554" s="122" t="str">
        <f>'Приложение 9'!L312</f>
        <v>29</v>
      </c>
      <c r="M554" s="123" t="str">
        <f>'Приложение 9'!M312</f>
        <v>0</v>
      </c>
      <c r="N554" s="123" t="str">
        <f>'Приложение 9'!N312</f>
        <v>03</v>
      </c>
      <c r="O554" s="123" t="str">
        <f>'Приложение 9'!O312</f>
        <v>00000</v>
      </c>
      <c r="P554" s="10" t="s">
        <v>621</v>
      </c>
      <c r="Q554" s="214">
        <f>Q555+Q557+Q559</f>
        <v>29275.9</v>
      </c>
      <c r="R554" s="216"/>
      <c r="S554" s="216"/>
    </row>
    <row r="555" spans="1:19" ht="22.5" customHeight="1">
      <c r="A555" s="99"/>
      <c r="B555" s="98"/>
      <c r="C555" s="106"/>
      <c r="D555" s="107"/>
      <c r="E555" s="104"/>
      <c r="F555" s="104"/>
      <c r="G555" s="89"/>
      <c r="H555" s="11" t="str">
        <f>'Приложение 9'!H313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555" s="10">
        <f>'Приложение 9'!I313</f>
        <v>27</v>
      </c>
      <c r="J555" s="7">
        <f>'Приложение 9'!J313</f>
        <v>11</v>
      </c>
      <c r="K555" s="7">
        <f>'Приложение 9'!K313</f>
        <v>1</v>
      </c>
      <c r="L555" s="122" t="str">
        <f>'Приложение 9'!L313</f>
        <v>29</v>
      </c>
      <c r="M555" s="123" t="str">
        <f>'Приложение 9'!M313</f>
        <v>0</v>
      </c>
      <c r="N555" s="123" t="str">
        <f>'Приложение 9'!N313</f>
        <v>03</v>
      </c>
      <c r="O555" s="123" t="str">
        <f>'Приложение 9'!O313</f>
        <v>23280</v>
      </c>
      <c r="P555" s="10" t="s">
        <v>621</v>
      </c>
      <c r="Q555" s="214">
        <f>Q556</f>
        <v>8130</v>
      </c>
      <c r="R555" s="216"/>
      <c r="S555" s="216"/>
    </row>
    <row r="556" spans="1:19" ht="22.5" customHeight="1">
      <c r="A556" s="99"/>
      <c r="B556" s="98"/>
      <c r="C556" s="106"/>
      <c r="D556" s="107"/>
      <c r="E556" s="104"/>
      <c r="F556" s="104"/>
      <c r="G556" s="89"/>
      <c r="H556" s="11" t="str">
        <f>'Приложение 9'!H314</f>
        <v>Субсидии бюджетным учреждениям</v>
      </c>
      <c r="I556" s="10">
        <f>'Приложение 9'!I314</f>
        <v>27</v>
      </c>
      <c r="J556" s="7">
        <f>'Приложение 9'!J314</f>
        <v>11</v>
      </c>
      <c r="K556" s="7">
        <f>'Приложение 9'!K314</f>
        <v>1</v>
      </c>
      <c r="L556" s="122" t="str">
        <f>'Приложение 9'!L314</f>
        <v>29</v>
      </c>
      <c r="M556" s="123" t="str">
        <f>'Приложение 9'!M314</f>
        <v>0</v>
      </c>
      <c r="N556" s="123" t="str">
        <f>'Приложение 9'!N314</f>
        <v>03</v>
      </c>
      <c r="O556" s="123" t="str">
        <f>'Приложение 9'!O314</f>
        <v>23280</v>
      </c>
      <c r="P556" s="10">
        <f>'Приложение 9'!P314</f>
        <v>610</v>
      </c>
      <c r="Q556" s="214">
        <f>'Приложение 9'!Q314</f>
        <v>8130</v>
      </c>
      <c r="R556" s="216"/>
      <c r="S556" s="216"/>
    </row>
    <row r="557" spans="1:19" ht="22.5" customHeight="1">
      <c r="A557" s="99"/>
      <c r="B557" s="98"/>
      <c r="C557" s="106"/>
      <c r="D557" s="107"/>
      <c r="E557" s="104"/>
      <c r="F557" s="104"/>
      <c r="G557" s="89"/>
      <c r="H557" s="11" t="str">
        <f>'Приложение 9'!H315</f>
        <v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v>
      </c>
      <c r="I557" s="10">
        <f>'Приложение 9'!I315</f>
        <v>27</v>
      </c>
      <c r="J557" s="7">
        <f>'Приложение 9'!J315</f>
        <v>11</v>
      </c>
      <c r="K557" s="7">
        <f>'Приложение 9'!K315</f>
        <v>1</v>
      </c>
      <c r="L557" s="122" t="str">
        <f>'Приложение 9'!L315</f>
        <v>29</v>
      </c>
      <c r="M557" s="123" t="str">
        <f>'Приложение 9'!M315</f>
        <v>0</v>
      </c>
      <c r="N557" s="123" t="str">
        <f>'Приложение 9'!N315</f>
        <v>03</v>
      </c>
      <c r="O557" s="123" t="str">
        <f>'Приложение 9'!O315</f>
        <v>S1120</v>
      </c>
      <c r="P557" s="6" t="s">
        <v>621</v>
      </c>
      <c r="Q557" s="216">
        <f>Q558</f>
        <v>259</v>
      </c>
      <c r="R557" s="216"/>
      <c r="S557" s="216"/>
    </row>
    <row r="558" spans="1:19" ht="22.5" customHeight="1">
      <c r="A558" s="99"/>
      <c r="B558" s="98"/>
      <c r="C558" s="106"/>
      <c r="D558" s="107"/>
      <c r="E558" s="104"/>
      <c r="F558" s="104"/>
      <c r="G558" s="89"/>
      <c r="H558" s="11" t="str">
        <f>'Приложение 9'!H316</f>
        <v>Субсидии бюджетным учреждениям</v>
      </c>
      <c r="I558" s="10">
        <f>'Приложение 9'!I316</f>
        <v>27</v>
      </c>
      <c r="J558" s="7">
        <f>'Приложение 9'!J316</f>
        <v>11</v>
      </c>
      <c r="K558" s="7">
        <f>'Приложение 9'!K316</f>
        <v>1</v>
      </c>
      <c r="L558" s="122" t="str">
        <f>'Приложение 9'!L316</f>
        <v>29</v>
      </c>
      <c r="M558" s="123" t="str">
        <f>'Приложение 9'!M316</f>
        <v>0</v>
      </c>
      <c r="N558" s="123" t="str">
        <f>'Приложение 9'!N316</f>
        <v>03</v>
      </c>
      <c r="O558" s="123" t="str">
        <f>'Приложение 9'!O316</f>
        <v>S1120</v>
      </c>
      <c r="P558" s="6">
        <f>'Приложение 9'!P316</f>
        <v>610</v>
      </c>
      <c r="Q558" s="216">
        <f>'Приложение 9'!Q316</f>
        <v>259</v>
      </c>
      <c r="R558" s="216"/>
      <c r="S558" s="216"/>
    </row>
    <row r="559" spans="1:19" ht="22.5" customHeight="1">
      <c r="A559" s="99"/>
      <c r="B559" s="98"/>
      <c r="C559" s="106"/>
      <c r="D559" s="107"/>
      <c r="E559" s="104"/>
      <c r="F559" s="104"/>
      <c r="G559" s="89"/>
      <c r="H559" s="11" t="str">
        <f>'Приложение 9'!H317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559" s="10">
        <f>'Приложение 9'!I317</f>
        <v>27</v>
      </c>
      <c r="J559" s="7">
        <f>'Приложение 9'!J317</f>
        <v>11</v>
      </c>
      <c r="K559" s="7">
        <f>'Приложение 9'!K317</f>
        <v>1</v>
      </c>
      <c r="L559" s="122" t="str">
        <f>'Приложение 9'!L317</f>
        <v>29</v>
      </c>
      <c r="M559" s="123" t="str">
        <f>'Приложение 9'!M317</f>
        <v>0</v>
      </c>
      <c r="N559" s="123" t="str">
        <f>'Приложение 9'!N317</f>
        <v>03</v>
      </c>
      <c r="O559" s="123" t="str">
        <f>'Приложение 9'!O317</f>
        <v>S3280</v>
      </c>
      <c r="P559" s="6" t="s">
        <v>621</v>
      </c>
      <c r="Q559" s="216">
        <f>Q560</f>
        <v>20886.9</v>
      </c>
      <c r="R559" s="216"/>
      <c r="S559" s="216"/>
    </row>
    <row r="560" spans="1:19" ht="22.5" customHeight="1">
      <c r="A560" s="99"/>
      <c r="B560" s="98"/>
      <c r="C560" s="106"/>
      <c r="D560" s="107"/>
      <c r="E560" s="104"/>
      <c r="F560" s="104"/>
      <c r="G560" s="89"/>
      <c r="H560" s="11" t="str">
        <f>'Приложение 9'!H318</f>
        <v>Субсидии бюджетным учреждениям</v>
      </c>
      <c r="I560" s="10">
        <f>'Приложение 9'!I318</f>
        <v>27</v>
      </c>
      <c r="J560" s="7">
        <f>'Приложение 9'!J318</f>
        <v>11</v>
      </c>
      <c r="K560" s="7">
        <f>'Приложение 9'!K318</f>
        <v>1</v>
      </c>
      <c r="L560" s="122" t="str">
        <f>'Приложение 9'!L318</f>
        <v>29</v>
      </c>
      <c r="M560" s="123" t="str">
        <f>'Приложение 9'!M318</f>
        <v>0</v>
      </c>
      <c r="N560" s="123" t="str">
        <f>'Приложение 9'!N318</f>
        <v>03</v>
      </c>
      <c r="O560" s="123" t="str">
        <f>'Приложение 9'!O318</f>
        <v>S3280</v>
      </c>
      <c r="P560" s="6">
        <f>'Приложение 9'!P318</f>
        <v>610</v>
      </c>
      <c r="Q560" s="216">
        <f>'Приложение 9'!Q318</f>
        <v>20886.9</v>
      </c>
      <c r="R560" s="216"/>
      <c r="S560" s="216"/>
    </row>
    <row r="561" spans="1:19" s="179" customFormat="1" ht="24" customHeight="1">
      <c r="A561" s="142"/>
      <c r="B561" s="143"/>
      <c r="C561" s="157"/>
      <c r="D561" s="170"/>
      <c r="E561" s="145"/>
      <c r="F561" s="145"/>
      <c r="G561" s="155"/>
      <c r="H561" s="137" t="s">
        <v>553</v>
      </c>
      <c r="I561" s="138">
        <v>661</v>
      </c>
      <c r="J561" s="148">
        <v>13</v>
      </c>
      <c r="K561" s="148" t="s">
        <v>621</v>
      </c>
      <c r="L561" s="140" t="s">
        <v>534</v>
      </c>
      <c r="M561" s="141" t="s">
        <v>534</v>
      </c>
      <c r="N561" s="141"/>
      <c r="O561" s="141" t="s">
        <v>534</v>
      </c>
      <c r="P561" s="146" t="s">
        <v>534</v>
      </c>
      <c r="Q561" s="217">
        <f aca="true" t="shared" si="42" ref="Q561:Q566">Q562</f>
        <v>96.9</v>
      </c>
      <c r="R561" s="217"/>
      <c r="S561" s="217"/>
    </row>
    <row r="562" spans="1:19" s="179" customFormat="1" ht="24" customHeight="1">
      <c r="A562" s="142"/>
      <c r="B562" s="143"/>
      <c r="C562" s="157"/>
      <c r="D562" s="170"/>
      <c r="E562" s="145"/>
      <c r="F562" s="145"/>
      <c r="G562" s="155"/>
      <c r="H562" s="137" t="s">
        <v>554</v>
      </c>
      <c r="I562" s="138">
        <v>661</v>
      </c>
      <c r="J562" s="148">
        <v>13</v>
      </c>
      <c r="K562" s="148">
        <v>1</v>
      </c>
      <c r="L562" s="140" t="s">
        <v>534</v>
      </c>
      <c r="M562" s="141" t="s">
        <v>534</v>
      </c>
      <c r="N562" s="141"/>
      <c r="O562" s="141" t="s">
        <v>534</v>
      </c>
      <c r="P562" s="146" t="s">
        <v>534</v>
      </c>
      <c r="Q562" s="217">
        <f t="shared" si="42"/>
        <v>96.9</v>
      </c>
      <c r="R562" s="217"/>
      <c r="S562" s="217"/>
    </row>
    <row r="563" spans="1:19" ht="36.75" customHeight="1">
      <c r="A563" s="97"/>
      <c r="B563" s="98"/>
      <c r="C563" s="103"/>
      <c r="D563" s="101"/>
      <c r="E563" s="104"/>
      <c r="F563" s="104"/>
      <c r="G563" s="89"/>
      <c r="H563" s="11" t="s">
        <v>35</v>
      </c>
      <c r="I563" s="10">
        <v>661</v>
      </c>
      <c r="J563" s="7">
        <v>13</v>
      </c>
      <c r="K563" s="7">
        <v>1</v>
      </c>
      <c r="L563" s="95" t="s">
        <v>596</v>
      </c>
      <c r="M563" s="96" t="s">
        <v>563</v>
      </c>
      <c r="N563" s="96" t="s">
        <v>583</v>
      </c>
      <c r="O563" s="96" t="s">
        <v>620</v>
      </c>
      <c r="P563" s="6"/>
      <c r="Q563" s="216">
        <f t="shared" si="42"/>
        <v>96.9</v>
      </c>
      <c r="R563" s="216"/>
      <c r="S563" s="216"/>
    </row>
    <row r="564" spans="1:19" ht="24" customHeight="1">
      <c r="A564" s="97"/>
      <c r="B564" s="98"/>
      <c r="C564" s="106"/>
      <c r="D564" s="107"/>
      <c r="E564" s="104"/>
      <c r="F564" s="104"/>
      <c r="G564" s="105"/>
      <c r="H564" s="11" t="s">
        <v>40</v>
      </c>
      <c r="I564" s="10">
        <v>661</v>
      </c>
      <c r="J564" s="7">
        <v>13</v>
      </c>
      <c r="K564" s="7">
        <v>1</v>
      </c>
      <c r="L564" s="95" t="s">
        <v>596</v>
      </c>
      <c r="M564" s="96" t="s">
        <v>38</v>
      </c>
      <c r="N564" s="96" t="s">
        <v>583</v>
      </c>
      <c r="O564" s="96" t="s">
        <v>620</v>
      </c>
      <c r="P564" s="6"/>
      <c r="Q564" s="216">
        <f t="shared" si="42"/>
        <v>96.9</v>
      </c>
      <c r="R564" s="216"/>
      <c r="S564" s="216"/>
    </row>
    <row r="565" spans="1:19" ht="24" customHeight="1">
      <c r="A565" s="97"/>
      <c r="B565" s="98"/>
      <c r="C565" s="106"/>
      <c r="D565" s="107"/>
      <c r="E565" s="104"/>
      <c r="F565" s="104"/>
      <c r="G565" s="105"/>
      <c r="H565" s="11" t="s">
        <v>39</v>
      </c>
      <c r="I565" s="10">
        <v>661</v>
      </c>
      <c r="J565" s="7">
        <v>13</v>
      </c>
      <c r="K565" s="7">
        <v>1</v>
      </c>
      <c r="L565" s="95" t="s">
        <v>596</v>
      </c>
      <c r="M565" s="96" t="s">
        <v>38</v>
      </c>
      <c r="N565" s="96" t="s">
        <v>564</v>
      </c>
      <c r="O565" s="96" t="s">
        <v>620</v>
      </c>
      <c r="P565" s="6"/>
      <c r="Q565" s="216">
        <f t="shared" si="42"/>
        <v>96.9</v>
      </c>
      <c r="R565" s="216"/>
      <c r="S565" s="216"/>
    </row>
    <row r="566" spans="1:19" ht="27" customHeight="1">
      <c r="A566" s="99"/>
      <c r="B566" s="98"/>
      <c r="C566" s="106"/>
      <c r="D566" s="107"/>
      <c r="E566" s="104"/>
      <c r="F566" s="104"/>
      <c r="G566" s="105"/>
      <c r="H566" s="11" t="s">
        <v>317</v>
      </c>
      <c r="I566" s="10">
        <v>661</v>
      </c>
      <c r="J566" s="7">
        <v>13</v>
      </c>
      <c r="K566" s="7">
        <v>1</v>
      </c>
      <c r="L566" s="95" t="s">
        <v>596</v>
      </c>
      <c r="M566" s="96" t="s">
        <v>38</v>
      </c>
      <c r="N566" s="96" t="s">
        <v>564</v>
      </c>
      <c r="O566" s="96" t="s">
        <v>316</v>
      </c>
      <c r="P566" s="6" t="s">
        <v>534</v>
      </c>
      <c r="Q566" s="216">
        <f t="shared" si="42"/>
        <v>96.9</v>
      </c>
      <c r="R566" s="216"/>
      <c r="S566" s="216"/>
    </row>
    <row r="567" spans="1:19" ht="28.5" customHeight="1">
      <c r="A567" s="99"/>
      <c r="B567" s="98"/>
      <c r="C567" s="106"/>
      <c r="D567" s="107"/>
      <c r="E567" s="104"/>
      <c r="F567" s="104"/>
      <c r="G567" s="105"/>
      <c r="H567" s="5" t="s">
        <v>614</v>
      </c>
      <c r="I567" s="8">
        <v>661</v>
      </c>
      <c r="J567" s="7">
        <v>13</v>
      </c>
      <c r="K567" s="7">
        <v>1</v>
      </c>
      <c r="L567" s="95" t="s">
        <v>596</v>
      </c>
      <c r="M567" s="96" t="s">
        <v>38</v>
      </c>
      <c r="N567" s="96" t="s">
        <v>564</v>
      </c>
      <c r="O567" s="96" t="s">
        <v>316</v>
      </c>
      <c r="P567" s="6">
        <v>730</v>
      </c>
      <c r="Q567" s="214">
        <v>96.9</v>
      </c>
      <c r="R567" s="216"/>
      <c r="S567" s="216"/>
    </row>
    <row r="568" spans="1:19" s="179" customFormat="1" ht="30.75" customHeight="1">
      <c r="A568" s="142"/>
      <c r="B568" s="143"/>
      <c r="C568" s="157"/>
      <c r="D568" s="170"/>
      <c r="E568" s="145"/>
      <c r="F568" s="145"/>
      <c r="G568" s="155"/>
      <c r="H568" s="137" t="s">
        <v>340</v>
      </c>
      <c r="I568" s="146">
        <v>661</v>
      </c>
      <c r="J568" s="148">
        <v>14</v>
      </c>
      <c r="K568" s="148" t="s">
        <v>534</v>
      </c>
      <c r="L568" s="139" t="s">
        <v>534</v>
      </c>
      <c r="M568" s="141" t="s">
        <v>534</v>
      </c>
      <c r="N568" s="141"/>
      <c r="O568" s="141" t="s">
        <v>534</v>
      </c>
      <c r="P568" s="146" t="s">
        <v>534</v>
      </c>
      <c r="Q568" s="217">
        <f>Q569+Q577</f>
        <v>15216.9</v>
      </c>
      <c r="R568" s="217">
        <f>R569+R577</f>
        <v>17823.8</v>
      </c>
      <c r="S568" s="217">
        <f>S569+S577</f>
        <v>17916.8</v>
      </c>
    </row>
    <row r="569" spans="1:19" s="179" customFormat="1" ht="30.75" customHeight="1">
      <c r="A569" s="142"/>
      <c r="B569" s="143"/>
      <c r="C569" s="157"/>
      <c r="D569" s="170"/>
      <c r="E569" s="145"/>
      <c r="F569" s="145"/>
      <c r="G569" s="155"/>
      <c r="H569" s="137" t="s">
        <v>587</v>
      </c>
      <c r="I569" s="146">
        <v>661</v>
      </c>
      <c r="J569" s="148">
        <v>14</v>
      </c>
      <c r="K569" s="148">
        <v>1</v>
      </c>
      <c r="L569" s="139" t="s">
        <v>534</v>
      </c>
      <c r="M569" s="141" t="s">
        <v>534</v>
      </c>
      <c r="N569" s="141"/>
      <c r="O569" s="141" t="s">
        <v>534</v>
      </c>
      <c r="P569" s="146" t="s">
        <v>534</v>
      </c>
      <c r="Q569" s="217">
        <f>Q570</f>
        <v>5032.799999999999</v>
      </c>
      <c r="R569" s="217">
        <f aca="true" t="shared" si="43" ref="R569:S571">R570</f>
        <v>5252.3</v>
      </c>
      <c r="S569" s="217">
        <f t="shared" si="43"/>
        <v>5735.7</v>
      </c>
    </row>
    <row r="570" spans="1:19" ht="36.75" customHeight="1">
      <c r="A570" s="97"/>
      <c r="B570" s="98"/>
      <c r="C570" s="103"/>
      <c r="D570" s="101"/>
      <c r="E570" s="104"/>
      <c r="F570" s="104"/>
      <c r="G570" s="89"/>
      <c r="H570" s="11" t="s">
        <v>35</v>
      </c>
      <c r="I570" s="10">
        <v>661</v>
      </c>
      <c r="J570" s="7">
        <v>14</v>
      </c>
      <c r="K570" s="7">
        <v>1</v>
      </c>
      <c r="L570" s="95" t="s">
        <v>596</v>
      </c>
      <c r="M570" s="96" t="s">
        <v>563</v>
      </c>
      <c r="N570" s="96" t="s">
        <v>583</v>
      </c>
      <c r="O570" s="96" t="s">
        <v>620</v>
      </c>
      <c r="P570" s="6"/>
      <c r="Q570" s="216">
        <f>Q571</f>
        <v>5032.799999999999</v>
      </c>
      <c r="R570" s="216">
        <f t="shared" si="43"/>
        <v>5252.3</v>
      </c>
      <c r="S570" s="216">
        <f t="shared" si="43"/>
        <v>5735.7</v>
      </c>
    </row>
    <row r="571" spans="1:19" ht="36.75" customHeight="1">
      <c r="A571" s="97"/>
      <c r="B571" s="98"/>
      <c r="C571" s="106"/>
      <c r="D571" s="107"/>
      <c r="E571" s="104"/>
      <c r="F571" s="104"/>
      <c r="G571" s="89"/>
      <c r="H571" s="11" t="s">
        <v>43</v>
      </c>
      <c r="I571" s="10">
        <v>661</v>
      </c>
      <c r="J571" s="7">
        <v>14</v>
      </c>
      <c r="K571" s="7">
        <v>1</v>
      </c>
      <c r="L571" s="95" t="s">
        <v>596</v>
      </c>
      <c r="M571" s="96" t="s">
        <v>559</v>
      </c>
      <c r="N571" s="96" t="s">
        <v>583</v>
      </c>
      <c r="O571" s="96" t="s">
        <v>620</v>
      </c>
      <c r="P571" s="6"/>
      <c r="Q571" s="216">
        <f>Q572</f>
        <v>5032.799999999999</v>
      </c>
      <c r="R571" s="216">
        <f t="shared" si="43"/>
        <v>5252.3</v>
      </c>
      <c r="S571" s="216">
        <f t="shared" si="43"/>
        <v>5735.7</v>
      </c>
    </row>
    <row r="572" spans="1:19" ht="22.5" customHeight="1">
      <c r="A572" s="99"/>
      <c r="B572" s="98"/>
      <c r="C572" s="106"/>
      <c r="D572" s="107"/>
      <c r="E572" s="104"/>
      <c r="F572" s="104"/>
      <c r="G572" s="105"/>
      <c r="H572" s="11" t="s">
        <v>41</v>
      </c>
      <c r="I572" s="6">
        <v>661</v>
      </c>
      <c r="J572" s="7">
        <v>14</v>
      </c>
      <c r="K572" s="7">
        <v>1</v>
      </c>
      <c r="L572" s="16">
        <v>11</v>
      </c>
      <c r="M572" s="96" t="s">
        <v>559</v>
      </c>
      <c r="N572" s="96" t="s">
        <v>564</v>
      </c>
      <c r="O572" s="96" t="s">
        <v>620</v>
      </c>
      <c r="P572" s="6" t="s">
        <v>534</v>
      </c>
      <c r="Q572" s="216">
        <f>Q573+Q575</f>
        <v>5032.799999999999</v>
      </c>
      <c r="R572" s="216">
        <f>R573+R575</f>
        <v>5252.3</v>
      </c>
      <c r="S572" s="216">
        <f>S573+S575</f>
        <v>5735.7</v>
      </c>
    </row>
    <row r="573" spans="1:19" ht="67.5" customHeight="1">
      <c r="A573" s="99"/>
      <c r="B573" s="98"/>
      <c r="C573" s="106"/>
      <c r="D573" s="107"/>
      <c r="E573" s="104"/>
      <c r="F573" s="104"/>
      <c r="G573" s="105"/>
      <c r="H573" s="11" t="s">
        <v>53</v>
      </c>
      <c r="I573" s="6">
        <v>661</v>
      </c>
      <c r="J573" s="7">
        <v>14</v>
      </c>
      <c r="K573" s="7">
        <v>1</v>
      </c>
      <c r="L573" s="16">
        <v>11</v>
      </c>
      <c r="M573" s="96" t="s">
        <v>559</v>
      </c>
      <c r="N573" s="96" t="s">
        <v>564</v>
      </c>
      <c r="O573" s="96" t="s">
        <v>653</v>
      </c>
      <c r="P573" s="6"/>
      <c r="Q573" s="214">
        <f>Q574</f>
        <v>2865.2</v>
      </c>
      <c r="R573" s="214">
        <f>R574</f>
        <v>2747.9</v>
      </c>
      <c r="S573" s="214">
        <f>S574</f>
        <v>2974.6</v>
      </c>
    </row>
    <row r="574" spans="1:19" ht="24.75" customHeight="1">
      <c r="A574" s="99"/>
      <c r="B574" s="98"/>
      <c r="C574" s="106"/>
      <c r="D574" s="107"/>
      <c r="E574" s="104"/>
      <c r="F574" s="104"/>
      <c r="G574" s="105"/>
      <c r="H574" s="11" t="s">
        <v>726</v>
      </c>
      <c r="I574" s="6">
        <v>661</v>
      </c>
      <c r="J574" s="7">
        <v>14</v>
      </c>
      <c r="K574" s="7">
        <v>1</v>
      </c>
      <c r="L574" s="16">
        <v>11</v>
      </c>
      <c r="M574" s="96" t="s">
        <v>559</v>
      </c>
      <c r="N574" s="96" t="s">
        <v>564</v>
      </c>
      <c r="O574" s="96" t="s">
        <v>653</v>
      </c>
      <c r="P574" s="6">
        <v>510</v>
      </c>
      <c r="Q574" s="214">
        <v>2865.2</v>
      </c>
      <c r="R574" s="214">
        <v>2747.9</v>
      </c>
      <c r="S574" s="214">
        <v>2974.6</v>
      </c>
    </row>
    <row r="575" spans="1:19" ht="21" customHeight="1">
      <c r="A575" s="99"/>
      <c r="B575" s="98"/>
      <c r="C575" s="106"/>
      <c r="D575" s="107"/>
      <c r="E575" s="104"/>
      <c r="F575" s="104"/>
      <c r="G575" s="105"/>
      <c r="H575" s="11" t="s">
        <v>55</v>
      </c>
      <c r="I575" s="6">
        <v>661</v>
      </c>
      <c r="J575" s="7">
        <v>14</v>
      </c>
      <c r="K575" s="7">
        <v>1</v>
      </c>
      <c r="L575" s="16">
        <v>11</v>
      </c>
      <c r="M575" s="96" t="s">
        <v>559</v>
      </c>
      <c r="N575" s="96" t="s">
        <v>564</v>
      </c>
      <c r="O575" s="96" t="s">
        <v>86</v>
      </c>
      <c r="P575" s="6" t="s">
        <v>534</v>
      </c>
      <c r="Q575" s="216">
        <f>Q576</f>
        <v>2167.6</v>
      </c>
      <c r="R575" s="216">
        <f>R576</f>
        <v>2504.4</v>
      </c>
      <c r="S575" s="216">
        <f>S576</f>
        <v>2761.1</v>
      </c>
    </row>
    <row r="576" spans="1:19" ht="23.25" customHeight="1">
      <c r="A576" s="99"/>
      <c r="B576" s="98"/>
      <c r="C576" s="106"/>
      <c r="D576" s="107"/>
      <c r="E576" s="104"/>
      <c r="F576" s="104"/>
      <c r="G576" s="105"/>
      <c r="H576" s="11" t="s">
        <v>726</v>
      </c>
      <c r="I576" s="6">
        <v>661</v>
      </c>
      <c r="J576" s="7">
        <v>14</v>
      </c>
      <c r="K576" s="7">
        <v>1</v>
      </c>
      <c r="L576" s="16">
        <v>11</v>
      </c>
      <c r="M576" s="96" t="s">
        <v>559</v>
      </c>
      <c r="N576" s="96" t="s">
        <v>564</v>
      </c>
      <c r="O576" s="96" t="s">
        <v>86</v>
      </c>
      <c r="P576" s="6">
        <v>510</v>
      </c>
      <c r="Q576" s="216">
        <v>2167.6</v>
      </c>
      <c r="R576" s="216">
        <v>2504.4</v>
      </c>
      <c r="S576" s="216">
        <v>2761.1</v>
      </c>
    </row>
    <row r="577" spans="1:19" s="179" customFormat="1" ht="22.5" customHeight="1">
      <c r="A577" s="142"/>
      <c r="B577" s="143"/>
      <c r="C577" s="157"/>
      <c r="D577" s="170"/>
      <c r="E577" s="145"/>
      <c r="F577" s="145"/>
      <c r="G577" s="155"/>
      <c r="H577" s="137" t="s">
        <v>645</v>
      </c>
      <c r="I577" s="146">
        <v>661</v>
      </c>
      <c r="J577" s="148">
        <v>14</v>
      </c>
      <c r="K577" s="148">
        <v>2</v>
      </c>
      <c r="L577" s="139" t="s">
        <v>534</v>
      </c>
      <c r="M577" s="141" t="s">
        <v>534</v>
      </c>
      <c r="N577" s="141"/>
      <c r="O577" s="141" t="s">
        <v>534</v>
      </c>
      <c r="P577" s="146" t="s">
        <v>534</v>
      </c>
      <c r="Q577" s="217">
        <f>Q578</f>
        <v>10184.1</v>
      </c>
      <c r="R577" s="217">
        <f aca="true" t="shared" si="44" ref="R577:S580">R578</f>
        <v>12571.5</v>
      </c>
      <c r="S577" s="217">
        <f t="shared" si="44"/>
        <v>12181.1</v>
      </c>
    </row>
    <row r="578" spans="1:19" ht="36.75" customHeight="1">
      <c r="A578" s="97"/>
      <c r="B578" s="98"/>
      <c r="C578" s="103"/>
      <c r="D578" s="101"/>
      <c r="E578" s="104"/>
      <c r="F578" s="104"/>
      <c r="G578" s="89"/>
      <c r="H578" s="11" t="s">
        <v>35</v>
      </c>
      <c r="I578" s="10">
        <v>661</v>
      </c>
      <c r="J578" s="7">
        <v>14</v>
      </c>
      <c r="K578" s="7">
        <v>2</v>
      </c>
      <c r="L578" s="95" t="s">
        <v>596</v>
      </c>
      <c r="M578" s="96" t="s">
        <v>563</v>
      </c>
      <c r="N578" s="96" t="s">
        <v>583</v>
      </c>
      <c r="O578" s="96" t="s">
        <v>620</v>
      </c>
      <c r="P578" s="6"/>
      <c r="Q578" s="216">
        <f>Q579</f>
        <v>10184.1</v>
      </c>
      <c r="R578" s="216">
        <f t="shared" si="44"/>
        <v>12571.5</v>
      </c>
      <c r="S578" s="216">
        <f t="shared" si="44"/>
        <v>12181.1</v>
      </c>
    </row>
    <row r="579" spans="1:19" ht="36.75" customHeight="1">
      <c r="A579" s="97"/>
      <c r="B579" s="98"/>
      <c r="C579" s="106"/>
      <c r="D579" s="107"/>
      <c r="E579" s="104"/>
      <c r="F579" s="104"/>
      <c r="G579" s="89"/>
      <c r="H579" s="11" t="s">
        <v>43</v>
      </c>
      <c r="I579" s="10">
        <v>661</v>
      </c>
      <c r="J579" s="7">
        <v>14</v>
      </c>
      <c r="K579" s="7">
        <v>2</v>
      </c>
      <c r="L579" s="95" t="s">
        <v>596</v>
      </c>
      <c r="M579" s="96" t="s">
        <v>559</v>
      </c>
      <c r="N579" s="96" t="s">
        <v>583</v>
      </c>
      <c r="O579" s="96" t="s">
        <v>620</v>
      </c>
      <c r="P579" s="6"/>
      <c r="Q579" s="216">
        <f>Q580</f>
        <v>10184.1</v>
      </c>
      <c r="R579" s="216">
        <f t="shared" si="44"/>
        <v>12571.5</v>
      </c>
      <c r="S579" s="216">
        <f t="shared" si="44"/>
        <v>12181.1</v>
      </c>
    </row>
    <row r="580" spans="1:19" ht="18.75" customHeight="1">
      <c r="A580" s="97"/>
      <c r="B580" s="98"/>
      <c r="C580" s="106"/>
      <c r="D580" s="107"/>
      <c r="E580" s="104"/>
      <c r="F580" s="104"/>
      <c r="G580" s="105"/>
      <c r="H580" s="11" t="s">
        <v>44</v>
      </c>
      <c r="I580" s="6">
        <v>661</v>
      </c>
      <c r="J580" s="7">
        <v>14</v>
      </c>
      <c r="K580" s="7">
        <v>2</v>
      </c>
      <c r="L580" s="16">
        <v>11</v>
      </c>
      <c r="M580" s="96" t="s">
        <v>559</v>
      </c>
      <c r="N580" s="96" t="s">
        <v>592</v>
      </c>
      <c r="O580" s="96" t="s">
        <v>620</v>
      </c>
      <c r="P580" s="6"/>
      <c r="Q580" s="216">
        <f>Q581+Q583</f>
        <v>10184.1</v>
      </c>
      <c r="R580" s="216">
        <f t="shared" si="44"/>
        <v>12571.5</v>
      </c>
      <c r="S580" s="216">
        <f t="shared" si="44"/>
        <v>12181.1</v>
      </c>
    </row>
    <row r="581" spans="1:19" ht="23.25" customHeight="1">
      <c r="A581" s="99"/>
      <c r="B581" s="98"/>
      <c r="C581" s="106"/>
      <c r="D581" s="107"/>
      <c r="E581" s="104"/>
      <c r="F581" s="104"/>
      <c r="G581" s="105"/>
      <c r="H581" s="11" t="s">
        <v>42</v>
      </c>
      <c r="I581" s="6">
        <v>661</v>
      </c>
      <c r="J581" s="7">
        <v>14</v>
      </c>
      <c r="K581" s="7">
        <v>2</v>
      </c>
      <c r="L581" s="16">
        <v>11</v>
      </c>
      <c r="M581" s="96" t="s">
        <v>559</v>
      </c>
      <c r="N581" s="96" t="s">
        <v>592</v>
      </c>
      <c r="O581" s="96" t="s">
        <v>87</v>
      </c>
      <c r="P581" s="6" t="s">
        <v>534</v>
      </c>
      <c r="Q581" s="216">
        <f>Q582</f>
        <v>7064</v>
      </c>
      <c r="R581" s="216">
        <f>R582</f>
        <v>12571.5</v>
      </c>
      <c r="S581" s="216">
        <f>S582</f>
        <v>12181.1</v>
      </c>
    </row>
    <row r="582" spans="1:19" ht="18" customHeight="1">
      <c r="A582" s="99"/>
      <c r="B582" s="98"/>
      <c r="C582" s="106"/>
      <c r="D582" s="107"/>
      <c r="E582" s="104"/>
      <c r="F582" s="104"/>
      <c r="G582" s="105"/>
      <c r="H582" s="11" t="s">
        <v>726</v>
      </c>
      <c r="I582" s="6">
        <v>661</v>
      </c>
      <c r="J582" s="7">
        <v>14</v>
      </c>
      <c r="K582" s="7">
        <v>2</v>
      </c>
      <c r="L582" s="16">
        <v>11</v>
      </c>
      <c r="M582" s="96" t="s">
        <v>559</v>
      </c>
      <c r="N582" s="96" t="s">
        <v>592</v>
      </c>
      <c r="O582" s="96" t="s">
        <v>87</v>
      </c>
      <c r="P582" s="6">
        <v>510</v>
      </c>
      <c r="Q582" s="216">
        <v>7064</v>
      </c>
      <c r="R582" s="216">
        <v>12571.5</v>
      </c>
      <c r="S582" s="216">
        <v>12181.1</v>
      </c>
    </row>
    <row r="583" spans="1:19" ht="33" customHeight="1">
      <c r="A583" s="99"/>
      <c r="B583" s="98"/>
      <c r="C583" s="114"/>
      <c r="D583" s="107"/>
      <c r="E583" s="104"/>
      <c r="F583" s="104"/>
      <c r="G583" s="89"/>
      <c r="H583" s="11" t="str">
        <f>'Приложение 9'!H437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583" s="10">
        <f>'Приложение 9'!I437</f>
        <v>661</v>
      </c>
      <c r="J583" s="7">
        <f>'Приложение 9'!J437</f>
        <v>14</v>
      </c>
      <c r="K583" s="7">
        <f>'Приложение 9'!K437</f>
        <v>2</v>
      </c>
      <c r="L583" s="16">
        <f>'Приложение 9'!L437</f>
        <v>11</v>
      </c>
      <c r="M583" s="96" t="str">
        <f>'Приложение 9'!M437</f>
        <v>2</v>
      </c>
      <c r="N583" s="96" t="str">
        <f>'Приложение 9'!N437</f>
        <v>02</v>
      </c>
      <c r="O583" s="96" t="str">
        <f>'Приложение 9'!O437</f>
        <v>70030</v>
      </c>
      <c r="P583" s="6" t="s">
        <v>621</v>
      </c>
      <c r="Q583" s="216">
        <f>Q584</f>
        <v>3120.1</v>
      </c>
      <c r="R583" s="322"/>
      <c r="S583" s="322"/>
    </row>
    <row r="584" spans="1:19" ht="18" customHeight="1">
      <c r="A584" s="99"/>
      <c r="B584" s="98"/>
      <c r="C584" s="114"/>
      <c r="D584" s="107"/>
      <c r="E584" s="104"/>
      <c r="F584" s="104"/>
      <c r="G584" s="89"/>
      <c r="H584" s="11" t="str">
        <f>'Приложение 9'!H438</f>
        <v>Дотации</v>
      </c>
      <c r="I584" s="10">
        <f>'Приложение 9'!I438</f>
        <v>661</v>
      </c>
      <c r="J584" s="7">
        <f>'Приложение 9'!J438</f>
        <v>14</v>
      </c>
      <c r="K584" s="7">
        <f>'Приложение 9'!K438</f>
        <v>2</v>
      </c>
      <c r="L584" s="16">
        <f>'Приложение 9'!L438</f>
        <v>11</v>
      </c>
      <c r="M584" s="96" t="str">
        <f>'Приложение 9'!M438</f>
        <v>2</v>
      </c>
      <c r="N584" s="96" t="str">
        <f>'Приложение 9'!N438</f>
        <v>02</v>
      </c>
      <c r="O584" s="96" t="str">
        <f>'Приложение 9'!O438</f>
        <v>70030</v>
      </c>
      <c r="P584" s="6">
        <f>'Приложение 9'!P438</f>
        <v>510</v>
      </c>
      <c r="Q584" s="216">
        <f>'Приложение 9'!Q438</f>
        <v>3120.1</v>
      </c>
      <c r="R584" s="322"/>
      <c r="S584" s="322"/>
    </row>
    <row r="585" spans="1:19" ht="21.75" customHeight="1">
      <c r="A585" s="99"/>
      <c r="B585" s="98"/>
      <c r="C585" s="97"/>
      <c r="D585" s="363">
        <v>20000</v>
      </c>
      <c r="E585" s="364"/>
      <c r="F585" s="364"/>
      <c r="G585" s="89">
        <v>360</v>
      </c>
      <c r="H585" s="125" t="s">
        <v>532</v>
      </c>
      <c r="I585" s="90"/>
      <c r="J585" s="127"/>
      <c r="K585" s="127"/>
      <c r="L585" s="92"/>
      <c r="M585" s="93"/>
      <c r="N585" s="93"/>
      <c r="O585" s="93"/>
      <c r="P585" s="9"/>
      <c r="Q585" s="212">
        <f>Q15+Q177+Q198+Q269+Q304+Q316+Q475+Q502+Q506+Q543+Q561+Q568</f>
        <v>631669.5000000001</v>
      </c>
      <c r="R585" s="315" t="e">
        <f>R15+R177+R198+R269+R304+R316+R475+R502+R506+R543+R561+R568</f>
        <v>#REF!</v>
      </c>
      <c r="S585" s="315" t="e">
        <f>S15+S177+S198+S269+S304+S316+S475+S502+S506+S543+S561+S568</f>
        <v>#REF!</v>
      </c>
    </row>
    <row r="586" spans="1:19" ht="25.5" customHeight="1">
      <c r="A586" s="201"/>
      <c r="B586" s="111"/>
      <c r="C586" s="111"/>
      <c r="D586" s="107"/>
      <c r="E586" s="107"/>
      <c r="F586" s="107"/>
      <c r="G586" s="202"/>
      <c r="H586" s="203"/>
      <c r="I586" s="204"/>
      <c r="J586" s="205"/>
      <c r="K586" s="205"/>
      <c r="L586" s="206"/>
      <c r="M586" s="206"/>
      <c r="N586" s="206"/>
      <c r="O586" s="206"/>
      <c r="P586" s="204"/>
      <c r="Q586" s="323" t="s">
        <v>528</v>
      </c>
      <c r="R586" s="207"/>
      <c r="S586" s="207"/>
    </row>
    <row r="587" ht="15.75">
      <c r="S587" s="316" t="s">
        <v>528</v>
      </c>
    </row>
  </sheetData>
  <sheetProtection/>
  <mergeCells count="36">
    <mergeCell ref="D86:F86"/>
    <mergeCell ref="D544:F544"/>
    <mergeCell ref="E529:F529"/>
    <mergeCell ref="D151:F151"/>
    <mergeCell ref="D500:F500"/>
    <mergeCell ref="D409:F409"/>
    <mergeCell ref="E476:F476"/>
    <mergeCell ref="D316:F316"/>
    <mergeCell ref="D155:F155"/>
    <mergeCell ref="E536:F536"/>
    <mergeCell ref="E508:F508"/>
    <mergeCell ref="E477:F477"/>
    <mergeCell ref="E257:F257"/>
    <mergeCell ref="D519:F519"/>
    <mergeCell ref="E317:F317"/>
    <mergeCell ref="D510:F510"/>
    <mergeCell ref="D475:F475"/>
    <mergeCell ref="P1:Q1"/>
    <mergeCell ref="P2:Q2"/>
    <mergeCell ref="P3:Q3"/>
    <mergeCell ref="L13:O13"/>
    <mergeCell ref="C85:F85"/>
    <mergeCell ref="Q13:S13"/>
    <mergeCell ref="C31:F31"/>
    <mergeCell ref="A84:F84"/>
    <mergeCell ref="E54:F54"/>
    <mergeCell ref="D585:F585"/>
    <mergeCell ref="J5:S5"/>
    <mergeCell ref="J6:S6"/>
    <mergeCell ref="J7:S7"/>
    <mergeCell ref="J8:S8"/>
    <mergeCell ref="E530:F530"/>
    <mergeCell ref="J9:S9"/>
    <mergeCell ref="H11:S11"/>
    <mergeCell ref="A15:F15"/>
    <mergeCell ref="D33:F33"/>
  </mergeCells>
  <printOptions/>
  <pageMargins left="0.5511811023622047" right="0.2755905511811024" top="0.31496062992125984" bottom="0.5118110236220472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0"/>
  <sheetViews>
    <sheetView showGridLines="0" zoomScale="75" zoomScaleNormal="75" zoomScaleSheetLayoutView="100" zoomScalePageLayoutView="0" workbookViewId="0" topLeftCell="H278">
      <selection activeCell="H297" sqref="A297:IV299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hidden="1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6.7109375" style="175" customWidth="1"/>
    <col min="17" max="17" width="20.00390625" style="65" hidden="1" customWidth="1"/>
    <col min="18" max="18" width="21.57421875" style="309" customWidth="1"/>
    <col min="19" max="19" width="20.28125" style="309" customWidth="1"/>
    <col min="20" max="16384" width="9.140625" style="31" customWidth="1"/>
  </cols>
  <sheetData>
    <row r="1" spans="9:19" ht="15.75">
      <c r="I1" s="176" t="s">
        <v>827</v>
      </c>
      <c r="P1" s="372" t="s">
        <v>829</v>
      </c>
      <c r="Q1" s="372"/>
      <c r="R1" s="372"/>
      <c r="S1" s="372"/>
    </row>
    <row r="2" spans="9:19" ht="15.75">
      <c r="I2" s="176" t="s">
        <v>529</v>
      </c>
      <c r="P2" s="372" t="s">
        <v>498</v>
      </c>
      <c r="Q2" s="372"/>
      <c r="R2" s="372"/>
      <c r="S2" s="372"/>
    </row>
    <row r="3" spans="9:19" ht="15.75">
      <c r="I3" s="68" t="s">
        <v>530</v>
      </c>
      <c r="P3" s="372" t="s">
        <v>109</v>
      </c>
      <c r="Q3" s="372"/>
      <c r="R3" s="372"/>
      <c r="S3" s="372"/>
    </row>
    <row r="4" spans="8:19" ht="15.75">
      <c r="H4" s="67"/>
      <c r="I4" s="68" t="s">
        <v>621</v>
      </c>
      <c r="J4" s="365" t="s">
        <v>106</v>
      </c>
      <c r="K4" s="365"/>
      <c r="L4" s="365"/>
      <c r="M4" s="365"/>
      <c r="N4" s="365"/>
      <c r="O4" s="365"/>
      <c r="P4" s="365"/>
      <c r="Q4" s="365"/>
      <c r="R4" s="365"/>
      <c r="S4" s="365"/>
    </row>
    <row r="5" spans="1:19" ht="19.5" customHeight="1">
      <c r="A5" s="66"/>
      <c r="B5" s="66"/>
      <c r="C5" s="66"/>
      <c r="D5" s="66"/>
      <c r="E5" s="66"/>
      <c r="F5" s="66"/>
      <c r="G5" s="66"/>
      <c r="H5" s="67"/>
      <c r="I5" s="68" t="s">
        <v>621</v>
      </c>
      <c r="J5" s="365" t="s">
        <v>11</v>
      </c>
      <c r="K5" s="365"/>
      <c r="L5" s="365"/>
      <c r="M5" s="365"/>
      <c r="N5" s="365"/>
      <c r="O5" s="365"/>
      <c r="P5" s="365"/>
      <c r="Q5" s="365"/>
      <c r="R5" s="365"/>
      <c r="S5" s="365"/>
    </row>
    <row r="6" spans="1:19" ht="15.75" customHeight="1">
      <c r="A6" s="66"/>
      <c r="B6" s="66"/>
      <c r="C6" s="66"/>
      <c r="D6" s="66"/>
      <c r="E6" s="66"/>
      <c r="F6" s="66"/>
      <c r="G6" s="66"/>
      <c r="H6" s="67"/>
      <c r="I6" s="68" t="s">
        <v>621</v>
      </c>
      <c r="J6" s="365" t="s">
        <v>697</v>
      </c>
      <c r="K6" s="365"/>
      <c r="L6" s="365"/>
      <c r="M6" s="365"/>
      <c r="N6" s="365"/>
      <c r="O6" s="365"/>
      <c r="P6" s="365"/>
      <c r="Q6" s="365"/>
      <c r="R6" s="365"/>
      <c r="S6" s="365"/>
    </row>
    <row r="7" spans="1:19" ht="14.25" customHeight="1">
      <c r="A7" s="66"/>
      <c r="B7" s="66"/>
      <c r="C7" s="66"/>
      <c r="D7" s="66"/>
      <c r="E7" s="66"/>
      <c r="F7" s="66"/>
      <c r="G7" s="66"/>
      <c r="H7" s="67"/>
      <c r="I7" s="69" t="s">
        <v>621</v>
      </c>
      <c r="J7" s="366" t="s">
        <v>696</v>
      </c>
      <c r="K7" s="366"/>
      <c r="L7" s="366"/>
      <c r="M7" s="366"/>
      <c r="N7" s="366"/>
      <c r="O7" s="366"/>
      <c r="P7" s="366"/>
      <c r="Q7" s="366"/>
      <c r="R7" s="366"/>
      <c r="S7" s="366"/>
    </row>
    <row r="8" spans="1:19" ht="27.75" customHeight="1">
      <c r="A8" s="74"/>
      <c r="B8" s="74"/>
      <c r="C8" s="74"/>
      <c r="D8" s="74"/>
      <c r="E8" s="74"/>
      <c r="F8" s="74"/>
      <c r="G8" s="74"/>
      <c r="H8" s="67" t="s">
        <v>621</v>
      </c>
      <c r="I8" s="72" t="s">
        <v>621</v>
      </c>
      <c r="J8" s="368" t="s">
        <v>113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ht="18.75" customHeight="1" thickBot="1">
      <c r="A9" s="76"/>
      <c r="B9" s="76"/>
      <c r="C9" s="76"/>
      <c r="D9" s="76"/>
      <c r="E9" s="76"/>
      <c r="F9" s="76"/>
      <c r="G9" s="76"/>
      <c r="H9" s="67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30" customHeight="1">
      <c r="A10" s="77"/>
      <c r="B10" s="77" t="s">
        <v>516</v>
      </c>
      <c r="C10" s="78" t="s">
        <v>515</v>
      </c>
      <c r="D10" s="78" t="s">
        <v>514</v>
      </c>
      <c r="E10" s="78" t="s">
        <v>513</v>
      </c>
      <c r="F10" s="78" t="s">
        <v>512</v>
      </c>
      <c r="G10" s="78" t="s">
        <v>511</v>
      </c>
      <c r="H10" s="369" t="s">
        <v>707</v>
      </c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</row>
    <row r="11" spans="1:19" ht="30" customHeight="1">
      <c r="A11" s="199"/>
      <c r="B11" s="199"/>
      <c r="C11" s="199"/>
      <c r="D11" s="199"/>
      <c r="E11" s="199"/>
      <c r="F11" s="199"/>
      <c r="G11" s="199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310" t="s">
        <v>12</v>
      </c>
    </row>
    <row r="12" spans="1:19" ht="42.75" customHeight="1">
      <c r="A12" s="199"/>
      <c r="B12" s="199"/>
      <c r="C12" s="199"/>
      <c r="D12" s="199"/>
      <c r="E12" s="199"/>
      <c r="F12" s="199"/>
      <c r="G12" s="199"/>
      <c r="H12" s="79" t="s">
        <v>510</v>
      </c>
      <c r="I12" s="80" t="s">
        <v>509</v>
      </c>
      <c r="J12" s="80" t="s">
        <v>508</v>
      </c>
      <c r="K12" s="79" t="s">
        <v>507</v>
      </c>
      <c r="L12" s="373" t="s">
        <v>506</v>
      </c>
      <c r="M12" s="374"/>
      <c r="N12" s="374"/>
      <c r="O12" s="375"/>
      <c r="P12" s="79" t="s">
        <v>505</v>
      </c>
      <c r="Q12" s="382" t="s">
        <v>504</v>
      </c>
      <c r="R12" s="383"/>
      <c r="S12" s="384"/>
    </row>
    <row r="13" spans="1:19" ht="18.75" customHeight="1">
      <c r="A13" s="81"/>
      <c r="B13" s="82"/>
      <c r="C13" s="82"/>
      <c r="D13" s="82"/>
      <c r="E13" s="82"/>
      <c r="F13" s="82"/>
      <c r="G13" s="83"/>
      <c r="H13" s="79"/>
      <c r="I13" s="193"/>
      <c r="J13" s="80"/>
      <c r="K13" s="79"/>
      <c r="L13" s="196"/>
      <c r="M13" s="197"/>
      <c r="N13" s="197"/>
      <c r="O13" s="198"/>
      <c r="P13" s="79"/>
      <c r="Q13" s="261" t="s">
        <v>10</v>
      </c>
      <c r="R13" s="261" t="s">
        <v>284</v>
      </c>
      <c r="S13" s="261" t="s">
        <v>1</v>
      </c>
    </row>
    <row r="14" spans="1:19" ht="18.75" customHeight="1">
      <c r="A14" s="81"/>
      <c r="B14" s="82"/>
      <c r="C14" s="82"/>
      <c r="D14" s="82"/>
      <c r="E14" s="82"/>
      <c r="F14" s="82"/>
      <c r="G14" s="302"/>
      <c r="H14" s="303">
        <v>1</v>
      </c>
      <c r="I14" s="304"/>
      <c r="J14" s="305">
        <v>2</v>
      </c>
      <c r="K14" s="303">
        <v>3</v>
      </c>
      <c r="L14" s="196"/>
      <c r="M14" s="197"/>
      <c r="N14" s="197" t="s">
        <v>560</v>
      </c>
      <c r="O14" s="197"/>
      <c r="P14" s="303">
        <v>5</v>
      </c>
      <c r="Q14" s="261"/>
      <c r="R14" s="262">
        <v>6</v>
      </c>
      <c r="S14" s="262">
        <v>7</v>
      </c>
    </row>
    <row r="15" spans="1:19" s="179" customFormat="1" ht="18.75" customHeight="1">
      <c r="A15" s="370">
        <v>100</v>
      </c>
      <c r="B15" s="370"/>
      <c r="C15" s="371"/>
      <c r="D15" s="371"/>
      <c r="E15" s="371"/>
      <c r="F15" s="371"/>
      <c r="G15" s="136">
        <v>120</v>
      </c>
      <c r="H15" s="137" t="s">
        <v>536</v>
      </c>
      <c r="I15" s="138">
        <v>27</v>
      </c>
      <c r="J15" s="139">
        <v>1</v>
      </c>
      <c r="K15" s="139" t="s">
        <v>621</v>
      </c>
      <c r="L15" s="140" t="s">
        <v>534</v>
      </c>
      <c r="M15" s="141" t="s">
        <v>534</v>
      </c>
      <c r="N15" s="141"/>
      <c r="O15" s="141" t="s">
        <v>534</v>
      </c>
      <c r="P15" s="138" t="s">
        <v>534</v>
      </c>
      <c r="Q15" s="213" t="e">
        <f>Q16+Q21+Q26+Q44+Q47+Q62+Q66</f>
        <v>#REF!</v>
      </c>
      <c r="R15" s="213">
        <f>R16+R21+R26+R44+R47+R62+R66</f>
        <v>70238</v>
      </c>
      <c r="S15" s="213">
        <f>S16+S21+S26+S44+S47+S62+S66</f>
        <v>85546.3</v>
      </c>
    </row>
    <row r="16" spans="1:19" s="179" customFormat="1" ht="36" customHeight="1">
      <c r="A16" s="142"/>
      <c r="B16" s="143"/>
      <c r="C16" s="153"/>
      <c r="D16" s="150"/>
      <c r="E16" s="154"/>
      <c r="F16" s="154"/>
      <c r="G16" s="136"/>
      <c r="H16" s="137" t="s">
        <v>569</v>
      </c>
      <c r="I16" s="138">
        <v>28</v>
      </c>
      <c r="J16" s="148">
        <v>1</v>
      </c>
      <c r="K16" s="148">
        <v>2</v>
      </c>
      <c r="L16" s="185"/>
      <c r="M16" s="186"/>
      <c r="N16" s="186"/>
      <c r="O16" s="186"/>
      <c r="P16" s="138"/>
      <c r="Q16" s="213">
        <f aca="true" t="shared" si="0" ref="Q16:S17">Q17</f>
        <v>1946.9</v>
      </c>
      <c r="R16" s="213">
        <f t="shared" si="0"/>
        <v>1946.9</v>
      </c>
      <c r="S16" s="213">
        <f t="shared" si="0"/>
        <v>1946.9</v>
      </c>
    </row>
    <row r="17" spans="1:19" s="179" customFormat="1" ht="21.75" customHeight="1">
      <c r="A17" s="142"/>
      <c r="B17" s="143"/>
      <c r="C17" s="153"/>
      <c r="D17" s="150"/>
      <c r="E17" s="154"/>
      <c r="F17" s="154"/>
      <c r="G17" s="136"/>
      <c r="H17" s="11" t="s">
        <v>581</v>
      </c>
      <c r="I17" s="10">
        <v>28</v>
      </c>
      <c r="J17" s="7">
        <v>1</v>
      </c>
      <c r="K17" s="7">
        <v>2</v>
      </c>
      <c r="L17" s="16" t="s">
        <v>582</v>
      </c>
      <c r="M17" s="96" t="s">
        <v>563</v>
      </c>
      <c r="N17" s="96" t="s">
        <v>583</v>
      </c>
      <c r="O17" s="96" t="s">
        <v>620</v>
      </c>
      <c r="P17" s="10" t="s">
        <v>534</v>
      </c>
      <c r="Q17" s="214">
        <f t="shared" si="0"/>
        <v>1946.9</v>
      </c>
      <c r="R17" s="214">
        <f t="shared" si="0"/>
        <v>1946.9</v>
      </c>
      <c r="S17" s="214">
        <f t="shared" si="0"/>
        <v>1946.9</v>
      </c>
    </row>
    <row r="18" spans="1:19" ht="23.25" customHeight="1">
      <c r="A18" s="97"/>
      <c r="B18" s="98"/>
      <c r="C18" s="103"/>
      <c r="D18" s="101"/>
      <c r="E18" s="113"/>
      <c r="F18" s="113"/>
      <c r="G18" s="89"/>
      <c r="H18" s="11" t="s">
        <v>766</v>
      </c>
      <c r="I18" s="10">
        <v>28</v>
      </c>
      <c r="J18" s="7">
        <v>1</v>
      </c>
      <c r="K18" s="7">
        <v>2</v>
      </c>
      <c r="L18" s="122" t="s">
        <v>582</v>
      </c>
      <c r="M18" s="123" t="s">
        <v>563</v>
      </c>
      <c r="N18" s="123" t="s">
        <v>583</v>
      </c>
      <c r="O18" s="123" t="s">
        <v>648</v>
      </c>
      <c r="P18" s="10"/>
      <c r="Q18" s="214">
        <f>SUM(Q19:Q20)</f>
        <v>1946.9</v>
      </c>
      <c r="R18" s="214">
        <f>SUM(R19:R20)</f>
        <v>1946.9</v>
      </c>
      <c r="S18" s="214">
        <f>SUM(S19:S20)</f>
        <v>1946.9</v>
      </c>
    </row>
    <row r="19" spans="1:19" ht="24.75" customHeight="1">
      <c r="A19" s="97"/>
      <c r="B19" s="98"/>
      <c r="C19" s="103"/>
      <c r="D19" s="101"/>
      <c r="E19" s="113"/>
      <c r="F19" s="113"/>
      <c r="G19" s="89"/>
      <c r="H19" s="11" t="s">
        <v>533</v>
      </c>
      <c r="I19" s="10">
        <v>28</v>
      </c>
      <c r="J19" s="7">
        <v>1</v>
      </c>
      <c r="K19" s="7">
        <v>2</v>
      </c>
      <c r="L19" s="122" t="s">
        <v>582</v>
      </c>
      <c r="M19" s="123" t="s">
        <v>563</v>
      </c>
      <c r="N19" s="123" t="s">
        <v>583</v>
      </c>
      <c r="O19" s="123" t="s">
        <v>648</v>
      </c>
      <c r="P19" s="10">
        <v>120</v>
      </c>
      <c r="Q19" s="214">
        <v>1633.8</v>
      </c>
      <c r="R19" s="214">
        <f>'Приложение 10'!Q297</f>
        <v>1946.9</v>
      </c>
      <c r="S19" s="214">
        <f>'Приложение 10'!R297</f>
        <v>1946.9</v>
      </c>
    </row>
    <row r="20" spans="1:19" ht="29.25" customHeight="1">
      <c r="A20" s="97"/>
      <c r="B20" s="98"/>
      <c r="C20" s="103"/>
      <c r="D20" s="101"/>
      <c r="E20" s="113"/>
      <c r="F20" s="113"/>
      <c r="G20" s="89"/>
      <c r="H20" s="11" t="s">
        <v>720</v>
      </c>
      <c r="I20" s="10">
        <v>28</v>
      </c>
      <c r="J20" s="7">
        <v>1</v>
      </c>
      <c r="K20" s="7">
        <v>2</v>
      </c>
      <c r="L20" s="122" t="s">
        <v>582</v>
      </c>
      <c r="M20" s="123" t="s">
        <v>563</v>
      </c>
      <c r="N20" s="123" t="s">
        <v>583</v>
      </c>
      <c r="O20" s="123" t="s">
        <v>648</v>
      </c>
      <c r="P20" s="10">
        <v>240</v>
      </c>
      <c r="Q20" s="214">
        <v>313.1</v>
      </c>
      <c r="R20" s="214">
        <f>'Приложение 10'!Q298</f>
        <v>0</v>
      </c>
      <c r="S20" s="214">
        <f>'Приложение 10'!R298</f>
        <v>0</v>
      </c>
    </row>
    <row r="21" spans="1:19" s="179" customFormat="1" ht="36" customHeight="1">
      <c r="A21" s="142"/>
      <c r="B21" s="143"/>
      <c r="C21" s="153"/>
      <c r="D21" s="150"/>
      <c r="E21" s="154"/>
      <c r="F21" s="154"/>
      <c r="G21" s="136"/>
      <c r="H21" s="137" t="s">
        <v>503</v>
      </c>
      <c r="I21" s="138">
        <v>28</v>
      </c>
      <c r="J21" s="148">
        <v>1</v>
      </c>
      <c r="K21" s="148">
        <v>3</v>
      </c>
      <c r="L21" s="185"/>
      <c r="M21" s="186"/>
      <c r="N21" s="186"/>
      <c r="O21" s="186"/>
      <c r="P21" s="138"/>
      <c r="Q21" s="213">
        <f aca="true" t="shared" si="1" ref="Q21:S22">Q22</f>
        <v>2007.4</v>
      </c>
      <c r="R21" s="213">
        <f t="shared" si="1"/>
        <v>2007.4</v>
      </c>
      <c r="S21" s="213">
        <f t="shared" si="1"/>
        <v>2007.4</v>
      </c>
    </row>
    <row r="22" spans="1:19" s="179" customFormat="1" ht="21.75" customHeight="1">
      <c r="A22" s="142"/>
      <c r="B22" s="143"/>
      <c r="C22" s="153"/>
      <c r="D22" s="150"/>
      <c r="E22" s="154"/>
      <c r="F22" s="154"/>
      <c r="G22" s="136"/>
      <c r="H22" s="11" t="s">
        <v>581</v>
      </c>
      <c r="I22" s="10">
        <v>28</v>
      </c>
      <c r="J22" s="7">
        <v>1</v>
      </c>
      <c r="K22" s="7">
        <v>3</v>
      </c>
      <c r="L22" s="16" t="s">
        <v>582</v>
      </c>
      <c r="M22" s="96" t="s">
        <v>563</v>
      </c>
      <c r="N22" s="96" t="s">
        <v>583</v>
      </c>
      <c r="O22" s="96" t="s">
        <v>620</v>
      </c>
      <c r="P22" s="138"/>
      <c r="Q22" s="213">
        <f t="shared" si="1"/>
        <v>2007.4</v>
      </c>
      <c r="R22" s="213">
        <f t="shared" si="1"/>
        <v>2007.4</v>
      </c>
      <c r="S22" s="213">
        <f t="shared" si="1"/>
        <v>2007.4</v>
      </c>
    </row>
    <row r="23" spans="1:19" ht="20.25" customHeight="1">
      <c r="A23" s="97"/>
      <c r="B23" s="98"/>
      <c r="C23" s="103"/>
      <c r="D23" s="101"/>
      <c r="E23" s="113"/>
      <c r="F23" s="113"/>
      <c r="G23" s="89"/>
      <c r="H23" s="11" t="s">
        <v>766</v>
      </c>
      <c r="I23" s="10">
        <v>28</v>
      </c>
      <c r="J23" s="7">
        <v>1</v>
      </c>
      <c r="K23" s="7">
        <v>3</v>
      </c>
      <c r="L23" s="122" t="s">
        <v>582</v>
      </c>
      <c r="M23" s="123" t="s">
        <v>563</v>
      </c>
      <c r="N23" s="123" t="s">
        <v>583</v>
      </c>
      <c r="O23" s="123" t="s">
        <v>648</v>
      </c>
      <c r="P23" s="10"/>
      <c r="Q23" s="214">
        <f>SUM(Q24:Q25)</f>
        <v>2007.4</v>
      </c>
      <c r="R23" s="214">
        <f>SUM(R24:R25)</f>
        <v>2007.4</v>
      </c>
      <c r="S23" s="214">
        <f>SUM(S24:S25)</f>
        <v>2007.4</v>
      </c>
    </row>
    <row r="24" spans="1:19" ht="24.75" customHeight="1">
      <c r="A24" s="97"/>
      <c r="B24" s="98"/>
      <c r="C24" s="103"/>
      <c r="D24" s="101"/>
      <c r="E24" s="113"/>
      <c r="F24" s="113"/>
      <c r="G24" s="89"/>
      <c r="H24" s="11" t="s">
        <v>533</v>
      </c>
      <c r="I24" s="10">
        <v>28</v>
      </c>
      <c r="J24" s="7">
        <v>1</v>
      </c>
      <c r="K24" s="7">
        <v>3</v>
      </c>
      <c r="L24" s="122" t="s">
        <v>582</v>
      </c>
      <c r="M24" s="123" t="s">
        <v>563</v>
      </c>
      <c r="N24" s="123" t="s">
        <v>583</v>
      </c>
      <c r="O24" s="123" t="s">
        <v>648</v>
      </c>
      <c r="P24" s="10">
        <v>120</v>
      </c>
      <c r="Q24" s="214">
        <v>1125.7</v>
      </c>
      <c r="R24" s="214">
        <f>'Приложение 10'!Q302</f>
        <v>1204.4</v>
      </c>
      <c r="S24" s="214">
        <f>'Приложение 10'!R302</f>
        <v>1204.4</v>
      </c>
    </row>
    <row r="25" spans="1:19" ht="23.25" customHeight="1">
      <c r="A25" s="97"/>
      <c r="B25" s="98"/>
      <c r="C25" s="103"/>
      <c r="D25" s="101"/>
      <c r="E25" s="113"/>
      <c r="F25" s="113"/>
      <c r="G25" s="89"/>
      <c r="H25" s="11" t="s">
        <v>720</v>
      </c>
      <c r="I25" s="10">
        <v>28</v>
      </c>
      <c r="J25" s="7">
        <v>1</v>
      </c>
      <c r="K25" s="7">
        <v>3</v>
      </c>
      <c r="L25" s="122" t="s">
        <v>582</v>
      </c>
      <c r="M25" s="123" t="s">
        <v>563</v>
      </c>
      <c r="N25" s="123" t="s">
        <v>583</v>
      </c>
      <c r="O25" s="123" t="s">
        <v>648</v>
      </c>
      <c r="P25" s="10">
        <v>240</v>
      </c>
      <c r="Q25" s="214">
        <v>881.7</v>
      </c>
      <c r="R25" s="214">
        <f>'Приложение 10'!Q303</f>
        <v>803</v>
      </c>
      <c r="S25" s="214">
        <f>'Приложение 10'!R303</f>
        <v>803</v>
      </c>
    </row>
    <row r="26" spans="1:19" s="179" customFormat="1" ht="45" customHeight="1">
      <c r="A26" s="142"/>
      <c r="B26" s="143"/>
      <c r="C26" s="370">
        <v>104</v>
      </c>
      <c r="D26" s="371"/>
      <c r="E26" s="371"/>
      <c r="F26" s="371"/>
      <c r="G26" s="136">
        <v>120</v>
      </c>
      <c r="H26" s="137" t="s">
        <v>502</v>
      </c>
      <c r="I26" s="138">
        <v>27</v>
      </c>
      <c r="J26" s="148">
        <v>1</v>
      </c>
      <c r="K26" s="148">
        <v>4</v>
      </c>
      <c r="L26" s="140" t="s">
        <v>534</v>
      </c>
      <c r="M26" s="141" t="s">
        <v>534</v>
      </c>
      <c r="N26" s="141" t="s">
        <v>621</v>
      </c>
      <c r="O26" s="141" t="s">
        <v>534</v>
      </c>
      <c r="P26" s="138" t="s">
        <v>534</v>
      </c>
      <c r="Q26" s="213">
        <f>Q27</f>
        <v>21215.8</v>
      </c>
      <c r="R26" s="213">
        <f>R27</f>
        <v>20997.4</v>
      </c>
      <c r="S26" s="213">
        <f>S27</f>
        <v>22839.9</v>
      </c>
    </row>
    <row r="27" spans="1:19" ht="27" customHeight="1">
      <c r="A27" s="99"/>
      <c r="B27" s="98"/>
      <c r="C27" s="97"/>
      <c r="D27" s="94"/>
      <c r="E27" s="94"/>
      <c r="F27" s="94"/>
      <c r="G27" s="89"/>
      <c r="H27" s="11" t="s">
        <v>341</v>
      </c>
      <c r="I27" s="10">
        <v>27</v>
      </c>
      <c r="J27" s="7">
        <v>1</v>
      </c>
      <c r="K27" s="7">
        <v>4</v>
      </c>
      <c r="L27" s="16" t="s">
        <v>580</v>
      </c>
      <c r="M27" s="96" t="s">
        <v>563</v>
      </c>
      <c r="N27" s="96" t="s">
        <v>583</v>
      </c>
      <c r="O27" s="96" t="s">
        <v>620</v>
      </c>
      <c r="P27" s="10"/>
      <c r="Q27" s="214">
        <f>Q28+Q32+Q35+Q37+Q40+Q42</f>
        <v>21215.8</v>
      </c>
      <c r="R27" s="214">
        <f>R28+R32+R35+R37+R40+R42</f>
        <v>20997.4</v>
      </c>
      <c r="S27" s="214">
        <f>S28+S32+S35+S37+S40+S42</f>
        <v>22839.9</v>
      </c>
    </row>
    <row r="28" spans="1:19" ht="29.25" customHeight="1">
      <c r="A28" s="99"/>
      <c r="B28" s="98"/>
      <c r="C28" s="97"/>
      <c r="D28" s="363">
        <v>20000</v>
      </c>
      <c r="E28" s="364"/>
      <c r="F28" s="364"/>
      <c r="G28" s="89">
        <v>120</v>
      </c>
      <c r="H28" s="11" t="s">
        <v>342</v>
      </c>
      <c r="I28" s="10">
        <v>27</v>
      </c>
      <c r="J28" s="7">
        <v>1</v>
      </c>
      <c r="K28" s="7">
        <v>4</v>
      </c>
      <c r="L28" s="16" t="s">
        <v>580</v>
      </c>
      <c r="M28" s="96" t="s">
        <v>563</v>
      </c>
      <c r="N28" s="96" t="s">
        <v>583</v>
      </c>
      <c r="O28" s="96" t="s">
        <v>648</v>
      </c>
      <c r="P28" s="10" t="s">
        <v>534</v>
      </c>
      <c r="Q28" s="214">
        <f>SUM(Q29:Q31)</f>
        <v>19996.9</v>
      </c>
      <c r="R28" s="214">
        <f>SUM(R29:R31)</f>
        <v>20997.4</v>
      </c>
      <c r="S28" s="214">
        <f>SUM(S29:S31)</f>
        <v>22839.9</v>
      </c>
    </row>
    <row r="29" spans="1:19" ht="29.25" customHeight="1">
      <c r="A29" s="99"/>
      <c r="B29" s="98"/>
      <c r="C29" s="97"/>
      <c r="D29" s="101"/>
      <c r="E29" s="102"/>
      <c r="F29" s="102"/>
      <c r="G29" s="89"/>
      <c r="H29" s="11" t="s">
        <v>533</v>
      </c>
      <c r="I29" s="6">
        <v>27</v>
      </c>
      <c r="J29" s="7">
        <v>1</v>
      </c>
      <c r="K29" s="7">
        <v>4</v>
      </c>
      <c r="L29" s="16">
        <v>91</v>
      </c>
      <c r="M29" s="96" t="s">
        <v>563</v>
      </c>
      <c r="N29" s="96" t="s">
        <v>583</v>
      </c>
      <c r="O29" s="96" t="s">
        <v>648</v>
      </c>
      <c r="P29" s="10">
        <v>120</v>
      </c>
      <c r="Q29" s="214">
        <v>14355.1</v>
      </c>
      <c r="R29" s="214">
        <v>14355.1</v>
      </c>
      <c r="S29" s="214">
        <v>14355.1</v>
      </c>
    </row>
    <row r="30" spans="1:19" ht="26.25" customHeight="1">
      <c r="A30" s="99"/>
      <c r="B30" s="98"/>
      <c r="C30" s="103"/>
      <c r="D30" s="101"/>
      <c r="E30" s="104"/>
      <c r="F30" s="104"/>
      <c r="G30" s="105"/>
      <c r="H30" s="5" t="s">
        <v>720</v>
      </c>
      <c r="I30" s="8">
        <v>27</v>
      </c>
      <c r="J30" s="7">
        <v>1</v>
      </c>
      <c r="K30" s="7">
        <v>4</v>
      </c>
      <c r="L30" s="16">
        <v>91</v>
      </c>
      <c r="M30" s="96" t="s">
        <v>563</v>
      </c>
      <c r="N30" s="96" t="s">
        <v>583</v>
      </c>
      <c r="O30" s="96" t="s">
        <v>648</v>
      </c>
      <c r="P30" s="6">
        <v>240</v>
      </c>
      <c r="Q30" s="214">
        <v>4891.8</v>
      </c>
      <c r="R30" s="214">
        <f>7892.3-2000</f>
        <v>5892.3</v>
      </c>
      <c r="S30" s="214">
        <v>7734.8</v>
      </c>
    </row>
    <row r="31" spans="1:19" ht="20.25" customHeight="1">
      <c r="A31" s="99"/>
      <c r="B31" s="98"/>
      <c r="C31" s="106"/>
      <c r="D31" s="107"/>
      <c r="E31" s="104"/>
      <c r="F31" s="104"/>
      <c r="G31" s="89"/>
      <c r="H31" s="108" t="s">
        <v>721</v>
      </c>
      <c r="I31" s="8">
        <v>27</v>
      </c>
      <c r="J31" s="7">
        <v>1</v>
      </c>
      <c r="K31" s="7">
        <v>4</v>
      </c>
      <c r="L31" s="16">
        <v>91</v>
      </c>
      <c r="M31" s="96" t="s">
        <v>563</v>
      </c>
      <c r="N31" s="96" t="s">
        <v>583</v>
      </c>
      <c r="O31" s="96" t="s">
        <v>648</v>
      </c>
      <c r="P31" s="6">
        <v>850</v>
      </c>
      <c r="Q31" s="214">
        <v>750</v>
      </c>
      <c r="R31" s="214">
        <v>750</v>
      </c>
      <c r="S31" s="214">
        <v>750</v>
      </c>
    </row>
    <row r="32" spans="1:19" ht="36" customHeight="1" hidden="1">
      <c r="A32" s="99"/>
      <c r="B32" s="98"/>
      <c r="C32" s="106"/>
      <c r="D32" s="107"/>
      <c r="E32" s="104"/>
      <c r="F32" s="104"/>
      <c r="G32" s="89"/>
      <c r="H32" s="11" t="s">
        <v>58</v>
      </c>
      <c r="I32" s="10">
        <v>27</v>
      </c>
      <c r="J32" s="7">
        <v>1</v>
      </c>
      <c r="K32" s="7">
        <v>4</v>
      </c>
      <c r="L32" s="16">
        <v>91</v>
      </c>
      <c r="M32" s="96" t="s">
        <v>563</v>
      </c>
      <c r="N32" s="96" t="s">
        <v>583</v>
      </c>
      <c r="O32" s="96" t="s">
        <v>57</v>
      </c>
      <c r="P32" s="10"/>
      <c r="Q32" s="214">
        <f>SUM(Q33:Q34)</f>
        <v>657.1</v>
      </c>
      <c r="R32" s="214">
        <f>SUM(R33:R34)</f>
        <v>0</v>
      </c>
      <c r="S32" s="214">
        <f>SUM(S33:S34)</f>
        <v>0</v>
      </c>
    </row>
    <row r="33" spans="1:19" ht="18" customHeight="1" hidden="1">
      <c r="A33" s="99"/>
      <c r="B33" s="98"/>
      <c r="C33" s="106"/>
      <c r="D33" s="107"/>
      <c r="E33" s="104"/>
      <c r="F33" s="104"/>
      <c r="G33" s="89"/>
      <c r="H33" s="11" t="s">
        <v>533</v>
      </c>
      <c r="I33" s="10">
        <v>27</v>
      </c>
      <c r="J33" s="7">
        <v>1</v>
      </c>
      <c r="K33" s="7">
        <v>4</v>
      </c>
      <c r="L33" s="16">
        <v>91</v>
      </c>
      <c r="M33" s="96" t="s">
        <v>563</v>
      </c>
      <c r="N33" s="96" t="s">
        <v>583</v>
      </c>
      <c r="O33" s="96" t="s">
        <v>57</v>
      </c>
      <c r="P33" s="10">
        <v>120</v>
      </c>
      <c r="Q33" s="214">
        <v>652.1</v>
      </c>
      <c r="R33" s="214">
        <v>0</v>
      </c>
      <c r="S33" s="214">
        <v>0</v>
      </c>
    </row>
    <row r="34" spans="1:19" ht="17.25" customHeight="1" hidden="1">
      <c r="A34" s="99"/>
      <c r="B34" s="98"/>
      <c r="C34" s="106"/>
      <c r="D34" s="107"/>
      <c r="E34" s="104"/>
      <c r="F34" s="104"/>
      <c r="G34" s="89"/>
      <c r="H34" s="11" t="s">
        <v>720</v>
      </c>
      <c r="I34" s="10">
        <v>27</v>
      </c>
      <c r="J34" s="7">
        <v>1</v>
      </c>
      <c r="K34" s="7">
        <v>4</v>
      </c>
      <c r="L34" s="16">
        <v>91</v>
      </c>
      <c r="M34" s="96" t="s">
        <v>563</v>
      </c>
      <c r="N34" s="96" t="s">
        <v>583</v>
      </c>
      <c r="O34" s="96" t="s">
        <v>57</v>
      </c>
      <c r="P34" s="10">
        <v>240</v>
      </c>
      <c r="Q34" s="214">
        <v>5</v>
      </c>
      <c r="R34" s="214">
        <v>0</v>
      </c>
      <c r="S34" s="214">
        <v>0</v>
      </c>
    </row>
    <row r="35" spans="1:19" ht="56.25" customHeight="1" hidden="1">
      <c r="A35" s="99"/>
      <c r="B35" s="98"/>
      <c r="C35" s="106"/>
      <c r="D35" s="107"/>
      <c r="E35" s="104"/>
      <c r="F35" s="104"/>
      <c r="G35" s="89"/>
      <c r="H35" s="11" t="s">
        <v>698</v>
      </c>
      <c r="I35" s="10">
        <v>27</v>
      </c>
      <c r="J35" s="7">
        <v>1</v>
      </c>
      <c r="K35" s="7">
        <v>4</v>
      </c>
      <c r="L35" s="16">
        <v>91</v>
      </c>
      <c r="M35" s="96" t="s">
        <v>563</v>
      </c>
      <c r="N35" s="96" t="s">
        <v>583</v>
      </c>
      <c r="O35" s="96" t="s">
        <v>59</v>
      </c>
      <c r="P35" s="10"/>
      <c r="Q35" s="214">
        <f>Q36</f>
        <v>84</v>
      </c>
      <c r="R35" s="214">
        <v>0</v>
      </c>
      <c r="S35" s="214">
        <v>0</v>
      </c>
    </row>
    <row r="36" spans="1:19" ht="27.75" customHeight="1" hidden="1">
      <c r="A36" s="99"/>
      <c r="B36" s="98"/>
      <c r="C36" s="106"/>
      <c r="D36" s="107"/>
      <c r="E36" s="104"/>
      <c r="F36" s="104"/>
      <c r="G36" s="89"/>
      <c r="H36" s="11" t="s">
        <v>533</v>
      </c>
      <c r="I36" s="10">
        <v>27</v>
      </c>
      <c r="J36" s="7">
        <v>1</v>
      </c>
      <c r="K36" s="7">
        <v>4</v>
      </c>
      <c r="L36" s="16">
        <v>91</v>
      </c>
      <c r="M36" s="96" t="s">
        <v>563</v>
      </c>
      <c r="N36" s="96" t="s">
        <v>583</v>
      </c>
      <c r="O36" s="96" t="s">
        <v>59</v>
      </c>
      <c r="P36" s="10">
        <v>120</v>
      </c>
      <c r="Q36" s="214">
        <v>84</v>
      </c>
      <c r="R36" s="214">
        <v>0</v>
      </c>
      <c r="S36" s="214">
        <v>0</v>
      </c>
    </row>
    <row r="37" spans="1:19" ht="66" customHeight="1" hidden="1">
      <c r="A37" s="99"/>
      <c r="B37" s="98"/>
      <c r="C37" s="106"/>
      <c r="D37" s="107"/>
      <c r="E37" s="104"/>
      <c r="F37" s="104"/>
      <c r="G37" s="89"/>
      <c r="H37" s="11" t="s">
        <v>699</v>
      </c>
      <c r="I37" s="10">
        <v>27</v>
      </c>
      <c r="J37" s="7">
        <v>1</v>
      </c>
      <c r="K37" s="7">
        <v>4</v>
      </c>
      <c r="L37" s="16">
        <v>91</v>
      </c>
      <c r="M37" s="96" t="s">
        <v>563</v>
      </c>
      <c r="N37" s="96" t="s">
        <v>583</v>
      </c>
      <c r="O37" s="96" t="s">
        <v>753</v>
      </c>
      <c r="P37" s="10"/>
      <c r="Q37" s="214">
        <f>SUM(Q38:Q39)</f>
        <v>353.1</v>
      </c>
      <c r="R37" s="214">
        <f>SUM(R38:R39)</f>
        <v>0</v>
      </c>
      <c r="S37" s="214">
        <f>SUM(S38:S39)</f>
        <v>0</v>
      </c>
    </row>
    <row r="38" spans="1:19" ht="26.25" customHeight="1" hidden="1">
      <c r="A38" s="99"/>
      <c r="B38" s="98"/>
      <c r="C38" s="106"/>
      <c r="D38" s="107"/>
      <c r="E38" s="104"/>
      <c r="F38" s="104"/>
      <c r="G38" s="89"/>
      <c r="H38" s="11" t="s">
        <v>533</v>
      </c>
      <c r="I38" s="10">
        <v>27</v>
      </c>
      <c r="J38" s="7">
        <v>1</v>
      </c>
      <c r="K38" s="7">
        <v>4</v>
      </c>
      <c r="L38" s="16">
        <v>91</v>
      </c>
      <c r="M38" s="96" t="s">
        <v>563</v>
      </c>
      <c r="N38" s="96" t="s">
        <v>583</v>
      </c>
      <c r="O38" s="96" t="s">
        <v>753</v>
      </c>
      <c r="P38" s="10">
        <v>120</v>
      </c>
      <c r="Q38" s="214">
        <v>348.1</v>
      </c>
      <c r="R38" s="214">
        <v>0</v>
      </c>
      <c r="S38" s="214">
        <v>0</v>
      </c>
    </row>
    <row r="39" spans="1:19" ht="30" customHeight="1" hidden="1">
      <c r="A39" s="99"/>
      <c r="B39" s="98"/>
      <c r="C39" s="106"/>
      <c r="D39" s="107"/>
      <c r="E39" s="104"/>
      <c r="F39" s="104"/>
      <c r="G39" s="89"/>
      <c r="H39" s="11" t="s">
        <v>720</v>
      </c>
      <c r="I39" s="10">
        <v>27</v>
      </c>
      <c r="J39" s="7">
        <v>1</v>
      </c>
      <c r="K39" s="7">
        <v>4</v>
      </c>
      <c r="L39" s="16">
        <v>91</v>
      </c>
      <c r="M39" s="96" t="s">
        <v>563</v>
      </c>
      <c r="N39" s="96" t="s">
        <v>583</v>
      </c>
      <c r="O39" s="96" t="s">
        <v>753</v>
      </c>
      <c r="P39" s="10">
        <v>240</v>
      </c>
      <c r="Q39" s="214">
        <v>5</v>
      </c>
      <c r="R39" s="215">
        <v>0</v>
      </c>
      <c r="S39" s="215">
        <v>0</v>
      </c>
    </row>
    <row r="40" spans="1:19" ht="27" customHeight="1" hidden="1">
      <c r="A40" s="99"/>
      <c r="B40" s="98"/>
      <c r="C40" s="106"/>
      <c r="D40" s="107"/>
      <c r="E40" s="104"/>
      <c r="F40" s="104"/>
      <c r="G40" s="89"/>
      <c r="H40" s="11" t="s">
        <v>756</v>
      </c>
      <c r="I40" s="10">
        <v>27</v>
      </c>
      <c r="J40" s="7">
        <v>1</v>
      </c>
      <c r="K40" s="7">
        <v>4</v>
      </c>
      <c r="L40" s="16">
        <v>91</v>
      </c>
      <c r="M40" s="96" t="s">
        <v>563</v>
      </c>
      <c r="N40" s="96" t="s">
        <v>583</v>
      </c>
      <c r="O40" s="96" t="s">
        <v>754</v>
      </c>
      <c r="P40" s="10"/>
      <c r="Q40" s="214">
        <f>Q41</f>
        <v>124.2</v>
      </c>
      <c r="R40" s="214">
        <f>R41</f>
        <v>0</v>
      </c>
      <c r="S40" s="214">
        <f>S41</f>
        <v>0</v>
      </c>
    </row>
    <row r="41" spans="1:19" ht="24" customHeight="1" hidden="1">
      <c r="A41" s="99"/>
      <c r="B41" s="98"/>
      <c r="C41" s="106"/>
      <c r="D41" s="107"/>
      <c r="E41" s="104"/>
      <c r="F41" s="104"/>
      <c r="G41" s="89"/>
      <c r="H41" s="11" t="s">
        <v>533</v>
      </c>
      <c r="I41" s="10">
        <v>27</v>
      </c>
      <c r="J41" s="7">
        <v>1</v>
      </c>
      <c r="K41" s="7">
        <v>4</v>
      </c>
      <c r="L41" s="16">
        <v>91</v>
      </c>
      <c r="M41" s="96" t="s">
        <v>563</v>
      </c>
      <c r="N41" s="96" t="s">
        <v>583</v>
      </c>
      <c r="O41" s="96" t="s">
        <v>754</v>
      </c>
      <c r="P41" s="10">
        <v>120</v>
      </c>
      <c r="Q41" s="214">
        <v>124.2</v>
      </c>
      <c r="R41" s="214"/>
      <c r="S41" s="214"/>
    </row>
    <row r="42" spans="1:19" ht="67.5" customHeight="1" hidden="1">
      <c r="A42" s="99"/>
      <c r="B42" s="98"/>
      <c r="C42" s="106"/>
      <c r="D42" s="107"/>
      <c r="E42" s="104"/>
      <c r="F42" s="104"/>
      <c r="G42" s="89"/>
      <c r="H42" s="11" t="s">
        <v>700</v>
      </c>
      <c r="I42" s="10">
        <v>27</v>
      </c>
      <c r="J42" s="7">
        <v>1</v>
      </c>
      <c r="K42" s="7">
        <v>4</v>
      </c>
      <c r="L42" s="16">
        <v>91</v>
      </c>
      <c r="M42" s="96" t="s">
        <v>563</v>
      </c>
      <c r="N42" s="96" t="s">
        <v>583</v>
      </c>
      <c r="O42" s="96" t="s">
        <v>5</v>
      </c>
      <c r="P42" s="10"/>
      <c r="Q42" s="214">
        <f>Q43</f>
        <v>0.5</v>
      </c>
      <c r="R42" s="214">
        <v>0</v>
      </c>
      <c r="S42" s="214">
        <v>0</v>
      </c>
    </row>
    <row r="43" spans="1:19" ht="24" customHeight="1" hidden="1">
      <c r="A43" s="99"/>
      <c r="B43" s="98"/>
      <c r="C43" s="106"/>
      <c r="D43" s="107"/>
      <c r="E43" s="104"/>
      <c r="F43" s="104"/>
      <c r="G43" s="89"/>
      <c r="H43" s="11" t="s">
        <v>720</v>
      </c>
      <c r="I43" s="10">
        <v>27</v>
      </c>
      <c r="J43" s="7">
        <v>1</v>
      </c>
      <c r="K43" s="7">
        <v>4</v>
      </c>
      <c r="L43" s="16">
        <v>91</v>
      </c>
      <c r="M43" s="96" t="s">
        <v>563</v>
      </c>
      <c r="N43" s="96" t="s">
        <v>583</v>
      </c>
      <c r="O43" s="96" t="s">
        <v>5</v>
      </c>
      <c r="P43" s="10">
        <v>240</v>
      </c>
      <c r="Q43" s="214">
        <v>0.5</v>
      </c>
      <c r="R43" s="214">
        <v>0</v>
      </c>
      <c r="S43" s="214">
        <v>0</v>
      </c>
    </row>
    <row r="44" spans="1:19" s="179" customFormat="1" ht="27.75" customHeight="1">
      <c r="A44" s="142"/>
      <c r="B44" s="143"/>
      <c r="C44" s="157"/>
      <c r="D44" s="170"/>
      <c r="E44" s="145"/>
      <c r="F44" s="145"/>
      <c r="G44" s="136"/>
      <c r="H44" s="137" t="s">
        <v>616</v>
      </c>
      <c r="I44" s="138">
        <v>27</v>
      </c>
      <c r="J44" s="148">
        <v>1</v>
      </c>
      <c r="K44" s="148">
        <v>5</v>
      </c>
      <c r="L44" s="139"/>
      <c r="M44" s="141"/>
      <c r="N44" s="141"/>
      <c r="O44" s="141"/>
      <c r="P44" s="138"/>
      <c r="Q44" s="213">
        <f aca="true" t="shared" si="2" ref="Q44:S45">Q45</f>
        <v>9.4</v>
      </c>
      <c r="R44" s="213">
        <f t="shared" si="2"/>
        <v>10.1</v>
      </c>
      <c r="S44" s="213">
        <f t="shared" si="2"/>
        <v>28.7</v>
      </c>
    </row>
    <row r="45" spans="1:19" ht="36.75" customHeight="1">
      <c r="A45" s="99"/>
      <c r="B45" s="98"/>
      <c r="C45" s="106"/>
      <c r="D45" s="107"/>
      <c r="E45" s="104"/>
      <c r="F45" s="104"/>
      <c r="G45" s="89"/>
      <c r="H45" s="11" t="s">
        <v>764</v>
      </c>
      <c r="I45" s="10">
        <v>27</v>
      </c>
      <c r="J45" s="7">
        <v>1</v>
      </c>
      <c r="K45" s="7">
        <v>5</v>
      </c>
      <c r="L45" s="16">
        <v>91</v>
      </c>
      <c r="M45" s="96" t="s">
        <v>563</v>
      </c>
      <c r="N45" s="96" t="s">
        <v>583</v>
      </c>
      <c r="O45" s="96" t="s">
        <v>763</v>
      </c>
      <c r="P45" s="10"/>
      <c r="Q45" s="214">
        <f t="shared" si="2"/>
        <v>9.4</v>
      </c>
      <c r="R45" s="214">
        <f t="shared" si="2"/>
        <v>10.1</v>
      </c>
      <c r="S45" s="214">
        <f t="shared" si="2"/>
        <v>28.7</v>
      </c>
    </row>
    <row r="46" spans="1:19" ht="27.75" customHeight="1">
      <c r="A46" s="99"/>
      <c r="B46" s="98"/>
      <c r="C46" s="106"/>
      <c r="D46" s="107"/>
      <c r="E46" s="104"/>
      <c r="F46" s="104"/>
      <c r="G46" s="89"/>
      <c r="H46" s="11" t="s">
        <v>720</v>
      </c>
      <c r="I46" s="10">
        <v>27</v>
      </c>
      <c r="J46" s="7">
        <v>1</v>
      </c>
      <c r="K46" s="7">
        <v>5</v>
      </c>
      <c r="L46" s="16">
        <v>91</v>
      </c>
      <c r="M46" s="96" t="s">
        <v>563</v>
      </c>
      <c r="N46" s="96" t="s">
        <v>583</v>
      </c>
      <c r="O46" s="96" t="s">
        <v>763</v>
      </c>
      <c r="P46" s="10">
        <v>240</v>
      </c>
      <c r="Q46" s="214">
        <v>9.4</v>
      </c>
      <c r="R46" s="214">
        <v>10.1</v>
      </c>
      <c r="S46" s="214">
        <v>28.7</v>
      </c>
    </row>
    <row r="47" spans="1:19" s="179" customFormat="1" ht="36.75" customHeight="1">
      <c r="A47" s="142"/>
      <c r="B47" s="143"/>
      <c r="C47" s="153"/>
      <c r="D47" s="150"/>
      <c r="E47" s="379">
        <v>5201000</v>
      </c>
      <c r="F47" s="379"/>
      <c r="G47" s="136">
        <v>530</v>
      </c>
      <c r="H47" s="137" t="s">
        <v>371</v>
      </c>
      <c r="I47" s="138">
        <v>661</v>
      </c>
      <c r="J47" s="148">
        <v>1</v>
      </c>
      <c r="K47" s="148">
        <v>6</v>
      </c>
      <c r="L47" s="140" t="s">
        <v>534</v>
      </c>
      <c r="M47" s="141" t="s">
        <v>534</v>
      </c>
      <c r="N47" s="141"/>
      <c r="O47" s="141" t="s">
        <v>534</v>
      </c>
      <c r="P47" s="146" t="s">
        <v>534</v>
      </c>
      <c r="Q47" s="217" t="e">
        <f>Q48+Q59+#REF!</f>
        <v>#REF!</v>
      </c>
      <c r="R47" s="217">
        <f>R48+R59</f>
        <v>8314.5</v>
      </c>
      <c r="S47" s="217">
        <f>S48+S59</f>
        <v>8314.5</v>
      </c>
    </row>
    <row r="48" spans="1:19" ht="36.75" customHeight="1">
      <c r="A48" s="97"/>
      <c r="B48" s="98"/>
      <c r="C48" s="103"/>
      <c r="D48" s="101"/>
      <c r="E48" s="104"/>
      <c r="F48" s="104"/>
      <c r="G48" s="89"/>
      <c r="H48" s="11" t="s">
        <v>708</v>
      </c>
      <c r="I48" s="10">
        <v>661</v>
      </c>
      <c r="J48" s="7">
        <v>1</v>
      </c>
      <c r="K48" s="7">
        <v>6</v>
      </c>
      <c r="L48" s="95" t="s">
        <v>709</v>
      </c>
      <c r="M48" s="96" t="s">
        <v>563</v>
      </c>
      <c r="N48" s="96" t="s">
        <v>583</v>
      </c>
      <c r="O48" s="96" t="s">
        <v>620</v>
      </c>
      <c r="P48" s="6"/>
      <c r="Q48" s="216" t="e">
        <f>Q49+Q53</f>
        <v>#REF!</v>
      </c>
      <c r="R48" s="216">
        <f>R49+R53</f>
        <v>6771.8</v>
      </c>
      <c r="S48" s="216">
        <f>S49+S53</f>
        <v>6771.8</v>
      </c>
    </row>
    <row r="49" spans="1:19" ht="36.75" customHeight="1">
      <c r="A49" s="97"/>
      <c r="B49" s="98"/>
      <c r="C49" s="114"/>
      <c r="D49" s="107"/>
      <c r="E49" s="104"/>
      <c r="F49" s="104"/>
      <c r="G49" s="89"/>
      <c r="H49" s="11" t="s">
        <v>384</v>
      </c>
      <c r="I49" s="10">
        <v>661</v>
      </c>
      <c r="J49" s="7">
        <v>1</v>
      </c>
      <c r="K49" s="7">
        <v>6</v>
      </c>
      <c r="L49" s="95" t="s">
        <v>709</v>
      </c>
      <c r="M49" s="96" t="s">
        <v>565</v>
      </c>
      <c r="N49" s="96" t="s">
        <v>583</v>
      </c>
      <c r="O49" s="96" t="s">
        <v>620</v>
      </c>
      <c r="P49" s="6"/>
      <c r="Q49" s="216">
        <f aca="true" t="shared" si="3" ref="Q49:S51">Q50</f>
        <v>50</v>
      </c>
      <c r="R49" s="216">
        <f t="shared" si="3"/>
        <v>50</v>
      </c>
      <c r="S49" s="216">
        <f t="shared" si="3"/>
        <v>50</v>
      </c>
    </row>
    <row r="50" spans="1:19" ht="36.75" customHeight="1">
      <c r="A50" s="97"/>
      <c r="B50" s="98"/>
      <c r="C50" s="114"/>
      <c r="D50" s="107"/>
      <c r="E50" s="104"/>
      <c r="F50" s="104"/>
      <c r="G50" s="89"/>
      <c r="H50" s="11" t="s">
        <v>37</v>
      </c>
      <c r="I50" s="10">
        <v>661</v>
      </c>
      <c r="J50" s="7">
        <v>1</v>
      </c>
      <c r="K50" s="7">
        <v>6</v>
      </c>
      <c r="L50" s="95" t="s">
        <v>709</v>
      </c>
      <c r="M50" s="96" t="s">
        <v>565</v>
      </c>
      <c r="N50" s="96" t="s">
        <v>564</v>
      </c>
      <c r="O50" s="96" t="s">
        <v>620</v>
      </c>
      <c r="P50" s="6"/>
      <c r="Q50" s="216">
        <f t="shared" si="3"/>
        <v>50</v>
      </c>
      <c r="R50" s="216">
        <f t="shared" si="3"/>
        <v>50</v>
      </c>
      <c r="S50" s="216">
        <f t="shared" si="3"/>
        <v>50</v>
      </c>
    </row>
    <row r="51" spans="1:19" ht="21.75" customHeight="1">
      <c r="A51" s="97"/>
      <c r="B51" s="98"/>
      <c r="C51" s="114"/>
      <c r="D51" s="107"/>
      <c r="E51" s="104"/>
      <c r="F51" s="104"/>
      <c r="G51" s="89"/>
      <c r="H51" s="11" t="s">
        <v>342</v>
      </c>
      <c r="I51" s="10">
        <v>661</v>
      </c>
      <c r="J51" s="7">
        <v>1</v>
      </c>
      <c r="K51" s="7">
        <v>6</v>
      </c>
      <c r="L51" s="95" t="s">
        <v>709</v>
      </c>
      <c r="M51" s="96" t="s">
        <v>565</v>
      </c>
      <c r="N51" s="96" t="s">
        <v>564</v>
      </c>
      <c r="O51" s="96" t="s">
        <v>648</v>
      </c>
      <c r="P51" s="6"/>
      <c r="Q51" s="216">
        <f t="shared" si="3"/>
        <v>50</v>
      </c>
      <c r="R51" s="216">
        <f t="shared" si="3"/>
        <v>50</v>
      </c>
      <c r="S51" s="216">
        <f t="shared" si="3"/>
        <v>50</v>
      </c>
    </row>
    <row r="52" spans="1:19" ht="28.5" customHeight="1">
      <c r="A52" s="97"/>
      <c r="B52" s="98"/>
      <c r="C52" s="114"/>
      <c r="D52" s="107"/>
      <c r="E52" s="104"/>
      <c r="F52" s="104"/>
      <c r="G52" s="89"/>
      <c r="H52" s="11" t="s">
        <v>720</v>
      </c>
      <c r="I52" s="10">
        <v>661</v>
      </c>
      <c r="J52" s="7">
        <v>1</v>
      </c>
      <c r="K52" s="7">
        <v>6</v>
      </c>
      <c r="L52" s="95" t="s">
        <v>709</v>
      </c>
      <c r="M52" s="96" t="s">
        <v>565</v>
      </c>
      <c r="N52" s="96" t="s">
        <v>564</v>
      </c>
      <c r="O52" s="96" t="s">
        <v>648</v>
      </c>
      <c r="P52" s="6">
        <v>240</v>
      </c>
      <c r="Q52" s="216">
        <v>50</v>
      </c>
      <c r="R52" s="216">
        <v>50</v>
      </c>
      <c r="S52" s="216">
        <v>50</v>
      </c>
    </row>
    <row r="53" spans="1:19" ht="38.25" customHeight="1">
      <c r="A53" s="97"/>
      <c r="B53" s="98"/>
      <c r="C53" s="114"/>
      <c r="D53" s="94"/>
      <c r="E53" s="94"/>
      <c r="F53" s="94"/>
      <c r="G53" s="89"/>
      <c r="H53" s="11" t="s">
        <v>715</v>
      </c>
      <c r="I53" s="10">
        <v>661</v>
      </c>
      <c r="J53" s="7">
        <v>1</v>
      </c>
      <c r="K53" s="7">
        <v>6</v>
      </c>
      <c r="L53" s="95" t="s">
        <v>709</v>
      </c>
      <c r="M53" s="96" t="s">
        <v>560</v>
      </c>
      <c r="N53" s="96" t="s">
        <v>583</v>
      </c>
      <c r="O53" s="96" t="s">
        <v>620</v>
      </c>
      <c r="P53" s="10"/>
      <c r="Q53" s="214" t="e">
        <f>Q54</f>
        <v>#REF!</v>
      </c>
      <c r="R53" s="214">
        <f>R54</f>
        <v>6721.8</v>
      </c>
      <c r="S53" s="214">
        <f>S54</f>
        <v>6721.8</v>
      </c>
    </row>
    <row r="54" spans="1:19" ht="62.25" customHeight="1">
      <c r="A54" s="97"/>
      <c r="B54" s="98"/>
      <c r="C54" s="114"/>
      <c r="D54" s="111"/>
      <c r="E54" s="114"/>
      <c r="F54" s="114"/>
      <c r="G54" s="89"/>
      <c r="H54" s="11" t="s">
        <v>701</v>
      </c>
      <c r="I54" s="10">
        <v>661</v>
      </c>
      <c r="J54" s="7">
        <v>1</v>
      </c>
      <c r="K54" s="7">
        <v>6</v>
      </c>
      <c r="L54" s="95" t="s">
        <v>709</v>
      </c>
      <c r="M54" s="96" t="s">
        <v>560</v>
      </c>
      <c r="N54" s="96" t="s">
        <v>564</v>
      </c>
      <c r="O54" s="96" t="s">
        <v>620</v>
      </c>
      <c r="P54" s="6"/>
      <c r="Q54" s="216" t="e">
        <f>Q55+#REF!+#REF!</f>
        <v>#REF!</v>
      </c>
      <c r="R54" s="216">
        <f>R55</f>
        <v>6721.8</v>
      </c>
      <c r="S54" s="216">
        <f>S55</f>
        <v>6721.8</v>
      </c>
    </row>
    <row r="55" spans="1:19" ht="33.75" customHeight="1">
      <c r="A55" s="99"/>
      <c r="B55" s="98"/>
      <c r="C55" s="103"/>
      <c r="D55" s="101"/>
      <c r="E55" s="104"/>
      <c r="F55" s="104"/>
      <c r="G55" s="105">
        <v>530</v>
      </c>
      <c r="H55" s="11" t="s">
        <v>342</v>
      </c>
      <c r="I55" s="10">
        <v>661</v>
      </c>
      <c r="J55" s="7">
        <v>1</v>
      </c>
      <c r="K55" s="7">
        <v>6</v>
      </c>
      <c r="L55" s="16">
        <v>33</v>
      </c>
      <c r="M55" s="96" t="s">
        <v>560</v>
      </c>
      <c r="N55" s="96" t="s">
        <v>564</v>
      </c>
      <c r="O55" s="96" t="s">
        <v>648</v>
      </c>
      <c r="P55" s="6" t="s">
        <v>534</v>
      </c>
      <c r="Q55" s="216">
        <f>SUM(Q56:Q58)</f>
        <v>5717.6</v>
      </c>
      <c r="R55" s="216">
        <f>SUM(R56:R58)</f>
        <v>6721.8</v>
      </c>
      <c r="S55" s="216">
        <f>SUM(S56:S58)</f>
        <v>6721.8</v>
      </c>
    </row>
    <row r="56" spans="1:19" ht="22.5" customHeight="1">
      <c r="A56" s="110"/>
      <c r="B56" s="111"/>
      <c r="C56" s="106"/>
      <c r="D56" s="107"/>
      <c r="E56" s="104"/>
      <c r="F56" s="104"/>
      <c r="G56" s="89"/>
      <c r="H56" s="11" t="s">
        <v>533</v>
      </c>
      <c r="I56" s="6">
        <v>661</v>
      </c>
      <c r="J56" s="7">
        <v>1</v>
      </c>
      <c r="K56" s="7">
        <v>6</v>
      </c>
      <c r="L56" s="16">
        <v>33</v>
      </c>
      <c r="M56" s="96" t="s">
        <v>560</v>
      </c>
      <c r="N56" s="96" t="s">
        <v>564</v>
      </c>
      <c r="O56" s="96" t="s">
        <v>648</v>
      </c>
      <c r="P56" s="6">
        <v>120</v>
      </c>
      <c r="Q56" s="216">
        <v>3954</v>
      </c>
      <c r="R56" s="216">
        <f>3765.6+977.2</f>
        <v>4742.8</v>
      </c>
      <c r="S56" s="216">
        <f>3765.6+977.2</f>
        <v>4742.8</v>
      </c>
    </row>
    <row r="57" spans="1:19" ht="21.75" customHeight="1">
      <c r="A57" s="110"/>
      <c r="B57" s="112"/>
      <c r="C57" s="106"/>
      <c r="D57" s="109"/>
      <c r="E57" s="104"/>
      <c r="F57" s="104"/>
      <c r="G57" s="89"/>
      <c r="H57" s="5" t="s">
        <v>720</v>
      </c>
      <c r="I57" s="6">
        <v>661</v>
      </c>
      <c r="J57" s="7">
        <v>1</v>
      </c>
      <c r="K57" s="7">
        <v>6</v>
      </c>
      <c r="L57" s="16">
        <v>33</v>
      </c>
      <c r="M57" s="96" t="s">
        <v>560</v>
      </c>
      <c r="N57" s="96" t="s">
        <v>564</v>
      </c>
      <c r="O57" s="96" t="s">
        <v>648</v>
      </c>
      <c r="P57" s="6">
        <v>240</v>
      </c>
      <c r="Q57" s="214">
        <v>1740.6</v>
      </c>
      <c r="R57" s="214">
        <f>2933.2-977.2</f>
        <v>1955.9999999999998</v>
      </c>
      <c r="S57" s="214">
        <f>2933.2-977.2</f>
        <v>1955.9999999999998</v>
      </c>
    </row>
    <row r="58" spans="1:19" ht="21.75" customHeight="1">
      <c r="A58" s="97"/>
      <c r="B58" s="98"/>
      <c r="C58" s="94"/>
      <c r="D58" s="94"/>
      <c r="E58" s="94"/>
      <c r="F58" s="94"/>
      <c r="G58" s="89"/>
      <c r="H58" s="11" t="s">
        <v>721</v>
      </c>
      <c r="I58" s="10">
        <v>661</v>
      </c>
      <c r="J58" s="7">
        <v>1</v>
      </c>
      <c r="K58" s="7">
        <v>6</v>
      </c>
      <c r="L58" s="95" t="s">
        <v>709</v>
      </c>
      <c r="M58" s="96" t="s">
        <v>560</v>
      </c>
      <c r="N58" s="96" t="s">
        <v>564</v>
      </c>
      <c r="O58" s="96" t="s">
        <v>648</v>
      </c>
      <c r="P58" s="10">
        <v>850</v>
      </c>
      <c r="Q58" s="214">
        <v>23</v>
      </c>
      <c r="R58" s="214">
        <v>23</v>
      </c>
      <c r="S58" s="214">
        <v>23</v>
      </c>
    </row>
    <row r="59" spans="1:19" ht="22.5" customHeight="1">
      <c r="A59" s="99"/>
      <c r="B59" s="98"/>
      <c r="C59" s="103"/>
      <c r="D59" s="101"/>
      <c r="E59" s="113"/>
      <c r="F59" s="113">
        <v>5250104</v>
      </c>
      <c r="G59" s="105">
        <v>530</v>
      </c>
      <c r="H59" s="11" t="s">
        <v>342</v>
      </c>
      <c r="I59" s="10">
        <v>658</v>
      </c>
      <c r="J59" s="7">
        <v>1</v>
      </c>
      <c r="K59" s="7">
        <v>6</v>
      </c>
      <c r="L59" s="16" t="s">
        <v>580</v>
      </c>
      <c r="M59" s="96" t="s">
        <v>563</v>
      </c>
      <c r="N59" s="96" t="s">
        <v>583</v>
      </c>
      <c r="O59" s="96" t="s">
        <v>648</v>
      </c>
      <c r="P59" s="10" t="s">
        <v>534</v>
      </c>
      <c r="Q59" s="214">
        <f>SUM(Q60:Q61)</f>
        <v>1542.6999999999998</v>
      </c>
      <c r="R59" s="214">
        <f>SUM(R60:R61)</f>
        <v>1542.6999999999998</v>
      </c>
      <c r="S59" s="214">
        <f>SUM(S60:S61)</f>
        <v>1542.6999999999998</v>
      </c>
    </row>
    <row r="60" spans="1:19" ht="22.5" customHeight="1">
      <c r="A60" s="99"/>
      <c r="B60" s="98"/>
      <c r="C60" s="103"/>
      <c r="D60" s="101"/>
      <c r="E60" s="113"/>
      <c r="F60" s="113"/>
      <c r="G60" s="105"/>
      <c r="H60" s="11" t="s">
        <v>533</v>
      </c>
      <c r="I60" s="6">
        <v>658</v>
      </c>
      <c r="J60" s="7">
        <v>1</v>
      </c>
      <c r="K60" s="7">
        <v>6</v>
      </c>
      <c r="L60" s="16">
        <v>91</v>
      </c>
      <c r="M60" s="96" t="s">
        <v>563</v>
      </c>
      <c r="N60" s="96" t="s">
        <v>583</v>
      </c>
      <c r="O60" s="96" t="s">
        <v>648</v>
      </c>
      <c r="P60" s="10">
        <v>120</v>
      </c>
      <c r="Q60" s="214">
        <v>1273.6</v>
      </c>
      <c r="R60" s="214">
        <v>1273.6</v>
      </c>
      <c r="S60" s="214">
        <v>1273.6</v>
      </c>
    </row>
    <row r="61" spans="1:19" ht="20.25" customHeight="1">
      <c r="A61" s="99"/>
      <c r="B61" s="98"/>
      <c r="C61" s="103"/>
      <c r="D61" s="101"/>
      <c r="E61" s="113"/>
      <c r="F61" s="113"/>
      <c r="G61" s="105"/>
      <c r="H61" s="5" t="s">
        <v>720</v>
      </c>
      <c r="I61" s="8">
        <v>658</v>
      </c>
      <c r="J61" s="7">
        <v>1</v>
      </c>
      <c r="K61" s="7">
        <v>6</v>
      </c>
      <c r="L61" s="16">
        <v>91</v>
      </c>
      <c r="M61" s="96" t="s">
        <v>563</v>
      </c>
      <c r="N61" s="96" t="s">
        <v>583</v>
      </c>
      <c r="O61" s="96" t="s">
        <v>648</v>
      </c>
      <c r="P61" s="6">
        <v>240</v>
      </c>
      <c r="Q61" s="214">
        <v>269.1</v>
      </c>
      <c r="R61" s="214">
        <v>269.1</v>
      </c>
      <c r="S61" s="214">
        <v>269.1</v>
      </c>
    </row>
    <row r="62" spans="1:19" s="179" customFormat="1" ht="18.75" customHeight="1">
      <c r="A62" s="370">
        <v>1200</v>
      </c>
      <c r="B62" s="370"/>
      <c r="C62" s="371"/>
      <c r="D62" s="371"/>
      <c r="E62" s="371"/>
      <c r="F62" s="371"/>
      <c r="G62" s="136">
        <v>622</v>
      </c>
      <c r="H62" s="137" t="s">
        <v>370</v>
      </c>
      <c r="I62" s="138">
        <v>27</v>
      </c>
      <c r="J62" s="148">
        <v>1</v>
      </c>
      <c r="K62" s="148">
        <v>11</v>
      </c>
      <c r="L62" s="140" t="s">
        <v>534</v>
      </c>
      <c r="M62" s="141" t="s">
        <v>534</v>
      </c>
      <c r="N62" s="141"/>
      <c r="O62" s="141" t="s">
        <v>534</v>
      </c>
      <c r="P62" s="138" t="s">
        <v>534</v>
      </c>
      <c r="Q62" s="213">
        <f aca="true" t="shared" si="4" ref="Q62:S64">Q63</f>
        <v>500</v>
      </c>
      <c r="R62" s="213">
        <f t="shared" si="4"/>
        <v>500</v>
      </c>
      <c r="S62" s="213">
        <f t="shared" si="4"/>
        <v>500</v>
      </c>
    </row>
    <row r="63" spans="1:19" ht="23.25" customHeight="1">
      <c r="A63" s="99"/>
      <c r="B63" s="98"/>
      <c r="C63" s="376">
        <v>1204</v>
      </c>
      <c r="D63" s="377"/>
      <c r="E63" s="377"/>
      <c r="F63" s="377"/>
      <c r="G63" s="89">
        <v>622</v>
      </c>
      <c r="H63" s="11" t="s">
        <v>370</v>
      </c>
      <c r="I63" s="10">
        <v>27</v>
      </c>
      <c r="J63" s="7">
        <v>1</v>
      </c>
      <c r="K63" s="7">
        <v>11</v>
      </c>
      <c r="L63" s="95">
        <v>70</v>
      </c>
      <c r="M63" s="96">
        <v>0</v>
      </c>
      <c r="N63" s="96" t="s">
        <v>583</v>
      </c>
      <c r="O63" s="96" t="s">
        <v>620</v>
      </c>
      <c r="P63" s="10" t="s">
        <v>534</v>
      </c>
      <c r="Q63" s="214">
        <f t="shared" si="4"/>
        <v>500</v>
      </c>
      <c r="R63" s="214">
        <f t="shared" si="4"/>
        <v>500</v>
      </c>
      <c r="S63" s="214">
        <f t="shared" si="4"/>
        <v>500</v>
      </c>
    </row>
    <row r="64" spans="1:19" ht="21" customHeight="1">
      <c r="A64" s="99"/>
      <c r="B64" s="98"/>
      <c r="C64" s="97"/>
      <c r="D64" s="363">
        <v>4440000</v>
      </c>
      <c r="E64" s="363"/>
      <c r="F64" s="363"/>
      <c r="G64" s="89">
        <v>621</v>
      </c>
      <c r="H64" s="11" t="s">
        <v>353</v>
      </c>
      <c r="I64" s="10">
        <v>27</v>
      </c>
      <c r="J64" s="7">
        <v>1</v>
      </c>
      <c r="K64" s="7">
        <v>11</v>
      </c>
      <c r="L64" s="95" t="s">
        <v>343</v>
      </c>
      <c r="M64" s="96" t="s">
        <v>586</v>
      </c>
      <c r="N64" s="96" t="s">
        <v>583</v>
      </c>
      <c r="O64" s="96" t="s">
        <v>620</v>
      </c>
      <c r="P64" s="10" t="s">
        <v>534</v>
      </c>
      <c r="Q64" s="214">
        <f t="shared" si="4"/>
        <v>500</v>
      </c>
      <c r="R64" s="214">
        <f t="shared" si="4"/>
        <v>500</v>
      </c>
      <c r="S64" s="214">
        <f t="shared" si="4"/>
        <v>500</v>
      </c>
    </row>
    <row r="65" spans="1:19" ht="23.25" customHeight="1">
      <c r="A65" s="99"/>
      <c r="B65" s="98"/>
      <c r="C65" s="103"/>
      <c r="D65" s="109"/>
      <c r="E65" s="104"/>
      <c r="F65" s="104"/>
      <c r="G65" s="105">
        <v>621</v>
      </c>
      <c r="H65" s="5" t="s">
        <v>551</v>
      </c>
      <c r="I65" s="8">
        <v>27</v>
      </c>
      <c r="J65" s="7">
        <v>1</v>
      </c>
      <c r="K65" s="7">
        <v>11</v>
      </c>
      <c r="L65" s="95" t="s">
        <v>343</v>
      </c>
      <c r="M65" s="96" t="s">
        <v>586</v>
      </c>
      <c r="N65" s="96" t="s">
        <v>583</v>
      </c>
      <c r="O65" s="96" t="s">
        <v>620</v>
      </c>
      <c r="P65" s="6">
        <v>870</v>
      </c>
      <c r="Q65" s="216">
        <v>500</v>
      </c>
      <c r="R65" s="216">
        <v>500</v>
      </c>
      <c r="S65" s="216">
        <v>500</v>
      </c>
    </row>
    <row r="66" spans="1:19" s="179" customFormat="1" ht="23.25" customHeight="1">
      <c r="A66" s="142"/>
      <c r="B66" s="143"/>
      <c r="C66" s="142"/>
      <c r="D66" s="144"/>
      <c r="E66" s="145"/>
      <c r="F66" s="145"/>
      <c r="G66" s="136"/>
      <c r="H66" s="137" t="s">
        <v>535</v>
      </c>
      <c r="I66" s="146">
        <v>27</v>
      </c>
      <c r="J66" s="148">
        <v>1</v>
      </c>
      <c r="K66" s="148">
        <v>13</v>
      </c>
      <c r="L66" s="140"/>
      <c r="M66" s="141"/>
      <c r="N66" s="141"/>
      <c r="O66" s="141"/>
      <c r="P66" s="146"/>
      <c r="Q66" s="217" t="e">
        <f>#REF!+#REF!+Q67+Q94+#REF!+#REF!</f>
        <v>#REF!</v>
      </c>
      <c r="R66" s="217">
        <f>R67+R94+R74</f>
        <v>36461.7</v>
      </c>
      <c r="S66" s="217">
        <f>S67+S94+S74</f>
        <v>49908.9</v>
      </c>
    </row>
    <row r="67" spans="1:19" ht="36.75" customHeight="1">
      <c r="A67" s="97"/>
      <c r="B67" s="98"/>
      <c r="C67" s="103"/>
      <c r="D67" s="101"/>
      <c r="E67" s="104"/>
      <c r="F67" s="104"/>
      <c r="G67" s="89"/>
      <c r="H67" s="11" t="s">
        <v>708</v>
      </c>
      <c r="I67" s="10">
        <v>661</v>
      </c>
      <c r="J67" s="7">
        <v>1</v>
      </c>
      <c r="K67" s="7">
        <v>13</v>
      </c>
      <c r="L67" s="95" t="s">
        <v>709</v>
      </c>
      <c r="M67" s="96" t="s">
        <v>563</v>
      </c>
      <c r="N67" s="96" t="s">
        <v>583</v>
      </c>
      <c r="O67" s="96" t="s">
        <v>620</v>
      </c>
      <c r="P67" s="6"/>
      <c r="Q67" s="216" t="e">
        <f aca="true" t="shared" si="5" ref="Q67:S68">Q68</f>
        <v>#REF!</v>
      </c>
      <c r="R67" s="216">
        <f t="shared" si="5"/>
        <v>13395.400000000001</v>
      </c>
      <c r="S67" s="216">
        <f t="shared" si="5"/>
        <v>13395.400000000001</v>
      </c>
    </row>
    <row r="68" spans="1:19" ht="38.25" customHeight="1">
      <c r="A68" s="97"/>
      <c r="B68" s="98"/>
      <c r="C68" s="114"/>
      <c r="D68" s="94"/>
      <c r="E68" s="94"/>
      <c r="F68" s="94"/>
      <c r="G68" s="89"/>
      <c r="H68" s="11" t="s">
        <v>715</v>
      </c>
      <c r="I68" s="10">
        <v>661</v>
      </c>
      <c r="J68" s="7">
        <v>1</v>
      </c>
      <c r="K68" s="7">
        <v>13</v>
      </c>
      <c r="L68" s="95" t="s">
        <v>709</v>
      </c>
      <c r="M68" s="96" t="s">
        <v>560</v>
      </c>
      <c r="N68" s="96" t="s">
        <v>583</v>
      </c>
      <c r="O68" s="96" t="s">
        <v>620</v>
      </c>
      <c r="P68" s="10"/>
      <c r="Q68" s="214" t="e">
        <f t="shared" si="5"/>
        <v>#REF!</v>
      </c>
      <c r="R68" s="214">
        <f t="shared" si="5"/>
        <v>13395.400000000001</v>
      </c>
      <c r="S68" s="214">
        <f t="shared" si="5"/>
        <v>13395.400000000001</v>
      </c>
    </row>
    <row r="69" spans="1:19" ht="36" customHeight="1">
      <c r="A69" s="97"/>
      <c r="B69" s="98"/>
      <c r="C69" s="106"/>
      <c r="D69" s="111"/>
      <c r="E69" s="114"/>
      <c r="F69" s="114"/>
      <c r="G69" s="89"/>
      <c r="H69" s="11" t="s">
        <v>803</v>
      </c>
      <c r="I69" s="10">
        <v>661</v>
      </c>
      <c r="J69" s="7">
        <v>1</v>
      </c>
      <c r="K69" s="7">
        <v>13</v>
      </c>
      <c r="L69" s="95" t="s">
        <v>709</v>
      </c>
      <c r="M69" s="96" t="s">
        <v>560</v>
      </c>
      <c r="N69" s="96" t="s">
        <v>592</v>
      </c>
      <c r="O69" s="96" t="s">
        <v>620</v>
      </c>
      <c r="P69" s="10"/>
      <c r="Q69" s="214" t="e">
        <f>Q70+#REF!</f>
        <v>#REF!</v>
      </c>
      <c r="R69" s="214">
        <f>R70</f>
        <v>13395.400000000001</v>
      </c>
      <c r="S69" s="214">
        <f>S70</f>
        <v>13395.400000000001</v>
      </c>
    </row>
    <row r="70" spans="1:19" ht="33.75" customHeight="1">
      <c r="A70" s="97"/>
      <c r="B70" s="98"/>
      <c r="C70" s="106"/>
      <c r="D70" s="111"/>
      <c r="E70" s="114"/>
      <c r="F70" s="114"/>
      <c r="G70" s="89"/>
      <c r="H70" s="11" t="s">
        <v>344</v>
      </c>
      <c r="I70" s="10">
        <v>661</v>
      </c>
      <c r="J70" s="7">
        <v>1</v>
      </c>
      <c r="K70" s="7">
        <v>13</v>
      </c>
      <c r="L70" s="95" t="s">
        <v>709</v>
      </c>
      <c r="M70" s="96" t="s">
        <v>560</v>
      </c>
      <c r="N70" s="96" t="s">
        <v>592</v>
      </c>
      <c r="O70" s="96" t="s">
        <v>345</v>
      </c>
      <c r="P70" s="10"/>
      <c r="Q70" s="221">
        <f>SUM(Q71:Q73)</f>
        <v>12395.400000000001</v>
      </c>
      <c r="R70" s="221">
        <f>SUM(R71:R73)</f>
        <v>13395.400000000001</v>
      </c>
      <c r="S70" s="221">
        <f>SUM(S71:S73)</f>
        <v>13395.400000000001</v>
      </c>
    </row>
    <row r="71" spans="1:19" ht="30" customHeight="1">
      <c r="A71" s="97"/>
      <c r="B71" s="98"/>
      <c r="C71" s="106"/>
      <c r="D71" s="111"/>
      <c r="E71" s="114"/>
      <c r="F71" s="114"/>
      <c r="G71" s="89"/>
      <c r="H71" s="11" t="s">
        <v>789</v>
      </c>
      <c r="I71" s="10">
        <v>661</v>
      </c>
      <c r="J71" s="7">
        <v>1</v>
      </c>
      <c r="K71" s="7">
        <v>13</v>
      </c>
      <c r="L71" s="95" t="s">
        <v>709</v>
      </c>
      <c r="M71" s="96" t="s">
        <v>560</v>
      </c>
      <c r="N71" s="96" t="s">
        <v>592</v>
      </c>
      <c r="O71" s="96" t="s">
        <v>345</v>
      </c>
      <c r="P71" s="10">
        <v>110</v>
      </c>
      <c r="Q71" s="214">
        <v>11244.7</v>
      </c>
      <c r="R71" s="221">
        <v>11244.7</v>
      </c>
      <c r="S71" s="240">
        <v>11244.7</v>
      </c>
    </row>
    <row r="72" spans="1:19" ht="30" customHeight="1">
      <c r="A72" s="97"/>
      <c r="B72" s="98"/>
      <c r="C72" s="106"/>
      <c r="D72" s="111"/>
      <c r="E72" s="114"/>
      <c r="F72" s="114"/>
      <c r="G72" s="89"/>
      <c r="H72" s="11" t="s">
        <v>720</v>
      </c>
      <c r="I72" s="10">
        <v>661</v>
      </c>
      <c r="J72" s="7">
        <v>1</v>
      </c>
      <c r="K72" s="7">
        <v>13</v>
      </c>
      <c r="L72" s="95" t="s">
        <v>709</v>
      </c>
      <c r="M72" s="96" t="s">
        <v>560</v>
      </c>
      <c r="N72" s="96" t="s">
        <v>592</v>
      </c>
      <c r="O72" s="96" t="s">
        <v>345</v>
      </c>
      <c r="P72" s="10">
        <v>240</v>
      </c>
      <c r="Q72" s="214">
        <v>1149.7</v>
      </c>
      <c r="R72" s="221">
        <v>2149.7</v>
      </c>
      <c r="S72" s="240">
        <v>2149.7</v>
      </c>
    </row>
    <row r="73" spans="1:19" ht="30" customHeight="1">
      <c r="A73" s="97"/>
      <c r="B73" s="98"/>
      <c r="C73" s="106"/>
      <c r="D73" s="111"/>
      <c r="E73" s="114"/>
      <c r="F73" s="114"/>
      <c r="G73" s="89"/>
      <c r="H73" s="11" t="s">
        <v>721</v>
      </c>
      <c r="I73" s="10">
        <v>661</v>
      </c>
      <c r="J73" s="7">
        <v>1</v>
      </c>
      <c r="K73" s="7">
        <v>13</v>
      </c>
      <c r="L73" s="95" t="s">
        <v>709</v>
      </c>
      <c r="M73" s="96" t="s">
        <v>560</v>
      </c>
      <c r="N73" s="96" t="s">
        <v>592</v>
      </c>
      <c r="O73" s="96" t="s">
        <v>345</v>
      </c>
      <c r="P73" s="10">
        <v>850</v>
      </c>
      <c r="Q73" s="214">
        <v>1</v>
      </c>
      <c r="R73" s="221">
        <v>1</v>
      </c>
      <c r="S73" s="240">
        <v>1</v>
      </c>
    </row>
    <row r="74" spans="1:19" ht="30" customHeight="1">
      <c r="A74" s="97"/>
      <c r="B74" s="98"/>
      <c r="C74" s="114"/>
      <c r="D74" s="111"/>
      <c r="E74" s="114"/>
      <c r="F74" s="114"/>
      <c r="G74" s="89"/>
      <c r="H74" s="11" t="str">
        <f>'Приложение 10'!H547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74" s="10">
        <f>'Приложение 10'!I547</f>
        <v>664</v>
      </c>
      <c r="J74" s="7">
        <f>'Приложение 10'!J547</f>
        <v>1</v>
      </c>
      <c r="K74" s="7">
        <f>'Приложение 10'!K547</f>
        <v>13</v>
      </c>
      <c r="L74" s="95" t="str">
        <f>'Приложение 10'!L547</f>
        <v>48</v>
      </c>
      <c r="M74" s="96" t="str">
        <f>'Приложение 10'!M547</f>
        <v>0</v>
      </c>
      <c r="N74" s="96" t="str">
        <f>'Приложение 10'!N547</f>
        <v>00</v>
      </c>
      <c r="O74" s="96" t="str">
        <f>'Приложение 10'!O547</f>
        <v>00000</v>
      </c>
      <c r="P74" s="10" t="s">
        <v>621</v>
      </c>
      <c r="Q74" s="214">
        <f>'Приложение 10'!Q547</f>
        <v>4750.5</v>
      </c>
      <c r="R74" s="221">
        <f>R75+R78+R81+R85+R91</f>
        <v>4750.5</v>
      </c>
      <c r="S74" s="221">
        <f>S75+S78+S81+S85+S91</f>
        <v>5750.5</v>
      </c>
    </row>
    <row r="75" spans="1:19" ht="30" customHeight="1">
      <c r="A75" s="97"/>
      <c r="B75" s="98"/>
      <c r="C75" s="114"/>
      <c r="D75" s="111"/>
      <c r="E75" s="114"/>
      <c r="F75" s="114"/>
      <c r="G75" s="89"/>
      <c r="H75" s="11" t="str">
        <f>'Приложение 10'!H548</f>
        <v>Основное мероприятие «Осуществление кадастрового учета объектов недвижимости и земельных участков»</v>
      </c>
      <c r="I75" s="10">
        <f>'Приложение 10'!I548</f>
        <v>664</v>
      </c>
      <c r="J75" s="7">
        <f>'Приложение 10'!J548</f>
        <v>1</v>
      </c>
      <c r="K75" s="7">
        <f>'Приложение 10'!K548</f>
        <v>13</v>
      </c>
      <c r="L75" s="95">
        <f>'Приложение 10'!L548</f>
        <v>48</v>
      </c>
      <c r="M75" s="96" t="str">
        <f>'Приложение 10'!M548</f>
        <v>0</v>
      </c>
      <c r="N75" s="96" t="str">
        <f>'Приложение 10'!N548</f>
        <v>01</v>
      </c>
      <c r="O75" s="96" t="str">
        <f>'Приложение 10'!O548</f>
        <v>00000</v>
      </c>
      <c r="P75" s="10" t="s">
        <v>621</v>
      </c>
      <c r="Q75" s="214">
        <f>'Приложение 10'!Q548</f>
        <v>470</v>
      </c>
      <c r="R75" s="221">
        <f>R76</f>
        <v>470</v>
      </c>
      <c r="S75" s="221">
        <f>S76</f>
        <v>470</v>
      </c>
    </row>
    <row r="76" spans="1:19" ht="30" customHeight="1">
      <c r="A76" s="97"/>
      <c r="B76" s="98"/>
      <c r="C76" s="114"/>
      <c r="D76" s="111"/>
      <c r="E76" s="114"/>
      <c r="F76" s="114"/>
      <c r="G76" s="89"/>
      <c r="H76" s="11" t="str">
        <f>'Приложение 10'!H549</f>
        <v>Выполнение других обязательств государства</v>
      </c>
      <c r="I76" s="10">
        <f>'Приложение 10'!I549</f>
        <v>664</v>
      </c>
      <c r="J76" s="7">
        <f>'Приложение 10'!J549</f>
        <v>1</v>
      </c>
      <c r="K76" s="7">
        <f>'Приложение 10'!K549</f>
        <v>13</v>
      </c>
      <c r="L76" s="95">
        <f>'Приложение 10'!L549</f>
        <v>48</v>
      </c>
      <c r="M76" s="96" t="str">
        <f>'Приложение 10'!M549</f>
        <v>0</v>
      </c>
      <c r="N76" s="96" t="str">
        <f>'Приложение 10'!N549</f>
        <v>01</v>
      </c>
      <c r="O76" s="96" t="str">
        <f>'Приложение 10'!O549</f>
        <v>20520</v>
      </c>
      <c r="P76" s="10" t="s">
        <v>621</v>
      </c>
      <c r="Q76" s="214">
        <f>'Приложение 10'!Q549</f>
        <v>470</v>
      </c>
      <c r="R76" s="221">
        <f>R77</f>
        <v>470</v>
      </c>
      <c r="S76" s="221">
        <f>S77</f>
        <v>470</v>
      </c>
    </row>
    <row r="77" spans="1:19" ht="30" customHeight="1">
      <c r="A77" s="97"/>
      <c r="B77" s="98"/>
      <c r="C77" s="114"/>
      <c r="D77" s="111"/>
      <c r="E77" s="114"/>
      <c r="F77" s="114"/>
      <c r="G77" s="89"/>
      <c r="H77" s="11" t="str">
        <f>'Приложение 10'!H550</f>
        <v>Иные закупки товаров, работ и услуг для обеспечения государственных (муниципальных) нужд</v>
      </c>
      <c r="I77" s="10">
        <f>'Приложение 10'!I550</f>
        <v>664</v>
      </c>
      <c r="J77" s="7">
        <f>'Приложение 10'!J550</f>
        <v>1</v>
      </c>
      <c r="K77" s="7">
        <f>'Приложение 10'!K550</f>
        <v>13</v>
      </c>
      <c r="L77" s="95">
        <f>'Приложение 10'!L550</f>
        <v>48</v>
      </c>
      <c r="M77" s="96" t="str">
        <f>'Приложение 10'!M550</f>
        <v>0</v>
      </c>
      <c r="N77" s="96" t="str">
        <f>'Приложение 10'!N550</f>
        <v>01</v>
      </c>
      <c r="O77" s="96" t="str">
        <f>'Приложение 10'!O550</f>
        <v>20520</v>
      </c>
      <c r="P77" s="10">
        <f>'Приложение 10'!P550</f>
        <v>240</v>
      </c>
      <c r="Q77" s="214">
        <f>'Приложение 10'!Q550</f>
        <v>470</v>
      </c>
      <c r="R77" s="221">
        <f>'Приложение 10'!Q550</f>
        <v>470</v>
      </c>
      <c r="S77" s="240">
        <f>'Приложение 10'!R550</f>
        <v>470</v>
      </c>
    </row>
    <row r="78" spans="1:19" ht="30" customHeight="1">
      <c r="A78" s="97"/>
      <c r="B78" s="98"/>
      <c r="C78" s="114"/>
      <c r="D78" s="111"/>
      <c r="E78" s="114"/>
      <c r="F78" s="114"/>
      <c r="G78" s="89"/>
      <c r="H78" s="11" t="str">
        <f>'Приложение 10'!H551</f>
        <v>Основное мероприятие «Проведение работ по оценке стоимости аренды, продажи или залоговой стоимости объектов»</v>
      </c>
      <c r="I78" s="10">
        <f>'Приложение 10'!I551</f>
        <v>664</v>
      </c>
      <c r="J78" s="7">
        <f>'Приложение 10'!J551</f>
        <v>1</v>
      </c>
      <c r="K78" s="7">
        <f>'Приложение 10'!K551</f>
        <v>13</v>
      </c>
      <c r="L78" s="95">
        <f>'Приложение 10'!L551</f>
        <v>48</v>
      </c>
      <c r="M78" s="96" t="str">
        <f>'Приложение 10'!M551</f>
        <v>0</v>
      </c>
      <c r="N78" s="96" t="str">
        <f>'Приложение 10'!N551</f>
        <v>02</v>
      </c>
      <c r="O78" s="96" t="str">
        <f>'Приложение 10'!O551</f>
        <v>00000</v>
      </c>
      <c r="P78" s="10" t="s">
        <v>621</v>
      </c>
      <c r="Q78" s="214">
        <f>'Приложение 10'!Q551</f>
        <v>100</v>
      </c>
      <c r="R78" s="221">
        <f>R79</f>
        <v>100</v>
      </c>
      <c r="S78" s="221">
        <f>S79</f>
        <v>100</v>
      </c>
    </row>
    <row r="79" spans="1:19" ht="30" customHeight="1">
      <c r="A79" s="97"/>
      <c r="B79" s="98"/>
      <c r="C79" s="114"/>
      <c r="D79" s="111"/>
      <c r="E79" s="114"/>
      <c r="F79" s="114"/>
      <c r="G79" s="89"/>
      <c r="H79" s="11" t="str">
        <f>'Приложение 10'!H552</f>
        <v>Оценка недвижимости, признание прав и регулирование отношений по государственной  (муниципальной)  собственности</v>
      </c>
      <c r="I79" s="10">
        <f>'Приложение 10'!I552</f>
        <v>664</v>
      </c>
      <c r="J79" s="7">
        <f>'Приложение 10'!J552</f>
        <v>1</v>
      </c>
      <c r="K79" s="7">
        <f>'Приложение 10'!K552</f>
        <v>13</v>
      </c>
      <c r="L79" s="95">
        <f>'Приложение 10'!L552</f>
        <v>48</v>
      </c>
      <c r="M79" s="96" t="str">
        <f>'Приложение 10'!M552</f>
        <v>0</v>
      </c>
      <c r="N79" s="96" t="str">
        <f>'Приложение 10'!N552</f>
        <v>02</v>
      </c>
      <c r="O79" s="96" t="str">
        <f>'Приложение 10'!O552</f>
        <v>20510</v>
      </c>
      <c r="P79" s="10" t="s">
        <v>621</v>
      </c>
      <c r="Q79" s="214">
        <f>'Приложение 10'!Q552</f>
        <v>100</v>
      </c>
      <c r="R79" s="221">
        <f>R80</f>
        <v>100</v>
      </c>
      <c r="S79" s="221">
        <f>S80</f>
        <v>100</v>
      </c>
    </row>
    <row r="80" spans="1:19" ht="30" customHeight="1">
      <c r="A80" s="97"/>
      <c r="B80" s="98"/>
      <c r="C80" s="114"/>
      <c r="D80" s="111"/>
      <c r="E80" s="114"/>
      <c r="F80" s="114"/>
      <c r="G80" s="89"/>
      <c r="H80" s="11" t="str">
        <f>'Приложение 10'!H553</f>
        <v>Иные закупки товаров, работ и услуг для обеспечения государственных (муниципальных) нужд</v>
      </c>
      <c r="I80" s="10">
        <f>'Приложение 10'!I553</f>
        <v>664</v>
      </c>
      <c r="J80" s="7">
        <f>'Приложение 10'!J553</f>
        <v>1</v>
      </c>
      <c r="K80" s="7">
        <f>'Приложение 10'!K553</f>
        <v>13</v>
      </c>
      <c r="L80" s="95">
        <f>'Приложение 10'!L553</f>
        <v>48</v>
      </c>
      <c r="M80" s="96" t="str">
        <f>'Приложение 10'!M553</f>
        <v>0</v>
      </c>
      <c r="N80" s="96" t="str">
        <f>'Приложение 10'!N553</f>
        <v>02</v>
      </c>
      <c r="O80" s="96" t="str">
        <f>'Приложение 10'!O553</f>
        <v>20510</v>
      </c>
      <c r="P80" s="10">
        <f>'Приложение 10'!P553</f>
        <v>240</v>
      </c>
      <c r="Q80" s="214">
        <f>'Приложение 10'!Q553</f>
        <v>100</v>
      </c>
      <c r="R80" s="221">
        <f>'Приложение 10'!Q553</f>
        <v>100</v>
      </c>
      <c r="S80" s="240">
        <f>'Приложение 10'!R553</f>
        <v>100</v>
      </c>
    </row>
    <row r="81" spans="1:19" ht="30" customHeight="1">
      <c r="A81" s="97"/>
      <c r="B81" s="98"/>
      <c r="C81" s="114"/>
      <c r="D81" s="111"/>
      <c r="E81" s="114"/>
      <c r="F81" s="114"/>
      <c r="G81" s="89"/>
      <c r="H81" s="11" t="str">
        <f>'Приложение 10'!H554</f>
        <v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v>
      </c>
      <c r="I81" s="10">
        <f>'Приложение 10'!I554</f>
        <v>664</v>
      </c>
      <c r="J81" s="7">
        <f>'Приложение 10'!J554</f>
        <v>1</v>
      </c>
      <c r="K81" s="7">
        <f>'Приложение 10'!K554</f>
        <v>13</v>
      </c>
      <c r="L81" s="95">
        <f>'Приложение 10'!L554</f>
        <v>48</v>
      </c>
      <c r="M81" s="96" t="str">
        <f>'Приложение 10'!M554</f>
        <v>0</v>
      </c>
      <c r="N81" s="96" t="str">
        <f>'Приложение 10'!N554</f>
        <v>03</v>
      </c>
      <c r="O81" s="96" t="str">
        <f>'Приложение 10'!O554</f>
        <v>00000</v>
      </c>
      <c r="P81" s="10" t="s">
        <v>621</v>
      </c>
      <c r="Q81" s="214">
        <f>'Приложение 10'!Q554</f>
        <v>185.6</v>
      </c>
      <c r="R81" s="221">
        <f>R82</f>
        <v>185.6</v>
      </c>
      <c r="S81" s="221">
        <f>S82</f>
        <v>185.6</v>
      </c>
    </row>
    <row r="82" spans="1:19" ht="30" customHeight="1">
      <c r="A82" s="97"/>
      <c r="B82" s="98"/>
      <c r="C82" s="114"/>
      <c r="D82" s="111"/>
      <c r="E82" s="114"/>
      <c r="F82" s="114"/>
      <c r="G82" s="89"/>
      <c r="H82" s="11" t="str">
        <f>'Приложение 10'!H555</f>
        <v>Выполнение других обязательств, связанных с содержанием имущества, находящегося в казне района</v>
      </c>
      <c r="I82" s="10">
        <f>'Приложение 10'!I555</f>
        <v>664</v>
      </c>
      <c r="J82" s="7">
        <f>'Приложение 10'!J555</f>
        <v>1</v>
      </c>
      <c r="K82" s="7">
        <f>'Приложение 10'!K555</f>
        <v>13</v>
      </c>
      <c r="L82" s="95">
        <f>'Приложение 10'!L555</f>
        <v>48</v>
      </c>
      <c r="M82" s="96" t="str">
        <f>'Приложение 10'!M555</f>
        <v>0</v>
      </c>
      <c r="N82" s="96" t="str">
        <f>'Приложение 10'!N555</f>
        <v>03</v>
      </c>
      <c r="O82" s="96" t="str">
        <f>'Приложение 10'!O555</f>
        <v>20530</v>
      </c>
      <c r="P82" s="10" t="s">
        <v>621</v>
      </c>
      <c r="Q82" s="214">
        <f>'Приложение 10'!Q555</f>
        <v>185.6</v>
      </c>
      <c r="R82" s="221">
        <f>R83+R84</f>
        <v>185.6</v>
      </c>
      <c r="S82" s="221">
        <f>S83+S84</f>
        <v>185.6</v>
      </c>
    </row>
    <row r="83" spans="1:19" ht="30" customHeight="1">
      <c r="A83" s="97"/>
      <c r="B83" s="98"/>
      <c r="C83" s="114"/>
      <c r="D83" s="111"/>
      <c r="E83" s="114"/>
      <c r="F83" s="114"/>
      <c r="G83" s="89"/>
      <c r="H83" s="11" t="str">
        <f>'Приложение 10'!H556</f>
        <v>Иные закупки товаров, работ и услуг для обеспечения государственных (муниципальных) нужд</v>
      </c>
      <c r="I83" s="10">
        <f>'Приложение 10'!I556</f>
        <v>664</v>
      </c>
      <c r="J83" s="7">
        <f>'Приложение 10'!J556</f>
        <v>1</v>
      </c>
      <c r="K83" s="7">
        <f>'Приложение 10'!K556</f>
        <v>13</v>
      </c>
      <c r="L83" s="95">
        <f>'Приложение 10'!L556</f>
        <v>48</v>
      </c>
      <c r="M83" s="96" t="str">
        <f>'Приложение 10'!M556</f>
        <v>0</v>
      </c>
      <c r="N83" s="96" t="str">
        <f>'Приложение 10'!N556</f>
        <v>03</v>
      </c>
      <c r="O83" s="96" t="str">
        <f>'Приложение 10'!O556</f>
        <v>20530</v>
      </c>
      <c r="P83" s="10">
        <f>'Приложение 10'!P556</f>
        <v>240</v>
      </c>
      <c r="Q83" s="214">
        <f>'Приложение 10'!Q556</f>
        <v>150</v>
      </c>
      <c r="R83" s="221">
        <f>'Приложение 10'!Q556</f>
        <v>150</v>
      </c>
      <c r="S83" s="240">
        <f>'Приложение 10'!R556</f>
        <v>150</v>
      </c>
    </row>
    <row r="84" spans="1:19" ht="30" customHeight="1">
      <c r="A84" s="97"/>
      <c r="B84" s="98"/>
      <c r="C84" s="114"/>
      <c r="D84" s="111"/>
      <c r="E84" s="114"/>
      <c r="F84" s="114"/>
      <c r="G84" s="89"/>
      <c r="H84" s="11" t="str">
        <f>'Приложение 10'!H557</f>
        <v>Уплата налогов, сборов и иных платежей</v>
      </c>
      <c r="I84" s="10">
        <f>'Приложение 10'!I557</f>
        <v>664</v>
      </c>
      <c r="J84" s="7">
        <f>'Приложение 10'!J557</f>
        <v>1</v>
      </c>
      <c r="K84" s="7">
        <f>'Приложение 10'!K557</f>
        <v>13</v>
      </c>
      <c r="L84" s="95">
        <f>'Приложение 10'!L557</f>
        <v>48</v>
      </c>
      <c r="M84" s="96" t="str">
        <f>'Приложение 10'!M557</f>
        <v>0</v>
      </c>
      <c r="N84" s="96" t="str">
        <f>'Приложение 10'!N557</f>
        <v>03</v>
      </c>
      <c r="O84" s="96" t="str">
        <f>'Приложение 10'!O557</f>
        <v>20530</v>
      </c>
      <c r="P84" s="10">
        <f>'Приложение 10'!P557</f>
        <v>850</v>
      </c>
      <c r="Q84" s="214">
        <f>'Приложение 10'!Q557</f>
        <v>35.6</v>
      </c>
      <c r="R84" s="221">
        <f>'Приложение 10'!Q557</f>
        <v>35.6</v>
      </c>
      <c r="S84" s="240">
        <f>'Приложение 10'!R557</f>
        <v>35.6</v>
      </c>
    </row>
    <row r="85" spans="1:19" ht="30" customHeight="1">
      <c r="A85" s="97"/>
      <c r="B85" s="98"/>
      <c r="C85" s="114"/>
      <c r="D85" s="111"/>
      <c r="E85" s="114"/>
      <c r="F85" s="114"/>
      <c r="G85" s="89"/>
      <c r="H85" s="11" t="str">
        <f>'Приложение 10'!H558</f>
        <v>Основное мероприятие «Обеспечение деятельности Управления имущественных отношений»</v>
      </c>
      <c r="I85" s="10">
        <f>'Приложение 10'!I558</f>
        <v>664</v>
      </c>
      <c r="J85" s="7">
        <f>'Приложение 10'!J558</f>
        <v>1</v>
      </c>
      <c r="K85" s="7">
        <f>'Приложение 10'!K558</f>
        <v>13</v>
      </c>
      <c r="L85" s="95">
        <f>'Приложение 10'!L558</f>
        <v>48</v>
      </c>
      <c r="M85" s="96" t="str">
        <f>'Приложение 10'!M558</f>
        <v>0</v>
      </c>
      <c r="N85" s="96" t="str">
        <f>'Приложение 10'!N558</f>
        <v>04</v>
      </c>
      <c r="O85" s="96" t="str">
        <f>'Приложение 10'!O558</f>
        <v>00000</v>
      </c>
      <c r="P85" s="10" t="s">
        <v>621</v>
      </c>
      <c r="Q85" s="214">
        <f>'Приложение 10'!Q558</f>
        <v>3921.2</v>
      </c>
      <c r="R85" s="221">
        <f>R86</f>
        <v>3921.2</v>
      </c>
      <c r="S85" s="221">
        <f>S86</f>
        <v>4921.2</v>
      </c>
    </row>
    <row r="86" spans="1:19" ht="30" customHeight="1">
      <c r="A86" s="97"/>
      <c r="B86" s="98"/>
      <c r="C86" s="114"/>
      <c r="D86" s="111"/>
      <c r="E86" s="114"/>
      <c r="F86" s="114"/>
      <c r="G86" s="89"/>
      <c r="H86" s="11" t="str">
        <f>'Приложение 10'!H559</f>
        <v>Расходы на обеспечение функций муниципальных органов</v>
      </c>
      <c r="I86" s="10">
        <f>'Приложение 10'!I559</f>
        <v>664</v>
      </c>
      <c r="J86" s="7">
        <f>'Приложение 10'!J559</f>
        <v>1</v>
      </c>
      <c r="K86" s="7">
        <f>'Приложение 10'!K559</f>
        <v>13</v>
      </c>
      <c r="L86" s="95">
        <f>'Приложение 10'!L559</f>
        <v>48</v>
      </c>
      <c r="M86" s="96" t="str">
        <f>'Приложение 10'!M559</f>
        <v>0</v>
      </c>
      <c r="N86" s="96" t="str">
        <f>'Приложение 10'!N559</f>
        <v>04</v>
      </c>
      <c r="O86" s="96" t="str">
        <f>'Приложение 10'!O559</f>
        <v>00190</v>
      </c>
      <c r="P86" s="10" t="s">
        <v>621</v>
      </c>
      <c r="Q86" s="214">
        <f>'Приложение 10'!Q559</f>
        <v>3921.2</v>
      </c>
      <c r="R86" s="221">
        <f>R87+R88+R89+R90</f>
        <v>3921.2</v>
      </c>
      <c r="S86" s="221">
        <f>S87+S88+S89+S90</f>
        <v>4921.2</v>
      </c>
    </row>
    <row r="87" spans="1:19" ht="30" customHeight="1">
      <c r="A87" s="97"/>
      <c r="B87" s="98"/>
      <c r="C87" s="114"/>
      <c r="D87" s="111"/>
      <c r="E87" s="114"/>
      <c r="F87" s="114"/>
      <c r="G87" s="89"/>
      <c r="H87" s="11" t="str">
        <f>'Приложение 10'!H560</f>
        <v>Расходы на выплаты персоналу государственных (муниципальных) органов</v>
      </c>
      <c r="I87" s="10">
        <f>'Приложение 10'!I560</f>
        <v>664</v>
      </c>
      <c r="J87" s="7">
        <f>'Приложение 10'!J560</f>
        <v>1</v>
      </c>
      <c r="K87" s="7">
        <f>'Приложение 10'!K560</f>
        <v>13</v>
      </c>
      <c r="L87" s="95">
        <f>'Приложение 10'!L560</f>
        <v>48</v>
      </c>
      <c r="M87" s="96" t="str">
        <f>'Приложение 10'!M560</f>
        <v>0</v>
      </c>
      <c r="N87" s="96" t="str">
        <f>'Приложение 10'!N560</f>
        <v>04</v>
      </c>
      <c r="O87" s="96" t="str">
        <f>'Приложение 10'!O560</f>
        <v>00190</v>
      </c>
      <c r="P87" s="10">
        <f>'Приложение 10'!P560</f>
        <v>120</v>
      </c>
      <c r="Q87" s="214">
        <f>'Приложение 10'!Q560</f>
        <v>3383.1</v>
      </c>
      <c r="R87" s="221">
        <f>'Приложение 10'!Q560</f>
        <v>3383.1</v>
      </c>
      <c r="S87" s="240">
        <f>'Приложение 10'!R560</f>
        <v>3383.1</v>
      </c>
    </row>
    <row r="88" spans="1:19" ht="30" customHeight="1">
      <c r="A88" s="97"/>
      <c r="B88" s="98"/>
      <c r="C88" s="114"/>
      <c r="D88" s="111"/>
      <c r="E88" s="114"/>
      <c r="F88" s="114"/>
      <c r="G88" s="89"/>
      <c r="H88" s="11" t="str">
        <f>'Приложение 10'!H561</f>
        <v>Иные закупки товаров, работ и услуг для обеспечения государственных (муниципальных) нужд</v>
      </c>
      <c r="I88" s="10">
        <f>'Приложение 10'!I561</f>
        <v>664</v>
      </c>
      <c r="J88" s="7">
        <f>'Приложение 10'!J561</f>
        <v>1</v>
      </c>
      <c r="K88" s="7">
        <f>'Приложение 10'!K561</f>
        <v>13</v>
      </c>
      <c r="L88" s="95">
        <f>'Приложение 10'!L561</f>
        <v>48</v>
      </c>
      <c r="M88" s="96" t="str">
        <f>'Приложение 10'!M561</f>
        <v>0</v>
      </c>
      <c r="N88" s="96" t="str">
        <f>'Приложение 10'!N561</f>
        <v>04</v>
      </c>
      <c r="O88" s="96" t="str">
        <f>'Приложение 10'!O561</f>
        <v>00190</v>
      </c>
      <c r="P88" s="10">
        <f>'Приложение 10'!P561</f>
        <v>240</v>
      </c>
      <c r="Q88" s="214">
        <f>'Приложение 10'!Q561</f>
        <v>518.1</v>
      </c>
      <c r="R88" s="221">
        <f>'Приложение 10'!Q561</f>
        <v>518.1</v>
      </c>
      <c r="S88" s="240">
        <f>'Приложение 10'!R561</f>
        <v>1518.1</v>
      </c>
    </row>
    <row r="89" spans="1:19" ht="30" customHeight="1">
      <c r="A89" s="97"/>
      <c r="B89" s="98"/>
      <c r="C89" s="114"/>
      <c r="D89" s="111"/>
      <c r="E89" s="114"/>
      <c r="F89" s="114"/>
      <c r="G89" s="89"/>
      <c r="H89" s="11" t="str">
        <f>'Приложение 10'!H562</f>
        <v>Исполнение судебных актов</v>
      </c>
      <c r="I89" s="10">
        <f>'Приложение 10'!I562</f>
        <v>664</v>
      </c>
      <c r="J89" s="7">
        <f>'Приложение 10'!J562</f>
        <v>1</v>
      </c>
      <c r="K89" s="7">
        <f>'Приложение 10'!K562</f>
        <v>13</v>
      </c>
      <c r="L89" s="95">
        <f>'Приложение 10'!L562</f>
        <v>48</v>
      </c>
      <c r="M89" s="96" t="str">
        <f>'Приложение 10'!M562</f>
        <v>0</v>
      </c>
      <c r="N89" s="96" t="str">
        <f>'Приложение 10'!N562</f>
        <v>04</v>
      </c>
      <c r="O89" s="96" t="str">
        <f>'Приложение 10'!O562</f>
        <v>00190</v>
      </c>
      <c r="P89" s="10">
        <f>'Приложение 10'!P562</f>
        <v>830</v>
      </c>
      <c r="Q89" s="214">
        <f>'Приложение 10'!Q562</f>
        <v>10</v>
      </c>
      <c r="R89" s="221">
        <f>'Приложение 10'!Q562</f>
        <v>10</v>
      </c>
      <c r="S89" s="240">
        <f>'Приложение 10'!R562</f>
        <v>10</v>
      </c>
    </row>
    <row r="90" spans="1:19" ht="30" customHeight="1">
      <c r="A90" s="97"/>
      <c r="B90" s="98"/>
      <c r="C90" s="114"/>
      <c r="D90" s="111"/>
      <c r="E90" s="114"/>
      <c r="F90" s="114"/>
      <c r="G90" s="89"/>
      <c r="H90" s="11" t="str">
        <f>'Приложение 10'!H563</f>
        <v>Уплата налогов, сборов и иных платежей</v>
      </c>
      <c r="I90" s="10">
        <f>'Приложение 10'!I563</f>
        <v>664</v>
      </c>
      <c r="J90" s="7">
        <f>'Приложение 10'!J563</f>
        <v>1</v>
      </c>
      <c r="K90" s="7">
        <f>'Приложение 10'!K563</f>
        <v>13</v>
      </c>
      <c r="L90" s="95">
        <f>'Приложение 10'!L563</f>
        <v>48</v>
      </c>
      <c r="M90" s="96" t="str">
        <f>'Приложение 10'!M563</f>
        <v>0</v>
      </c>
      <c r="N90" s="96" t="str">
        <f>'Приложение 10'!N563</f>
        <v>04</v>
      </c>
      <c r="O90" s="96" t="str">
        <f>'Приложение 10'!O563</f>
        <v>00190</v>
      </c>
      <c r="P90" s="10">
        <f>'Приложение 10'!P563</f>
        <v>850</v>
      </c>
      <c r="Q90" s="214">
        <f>'Приложение 10'!Q563</f>
        <v>10</v>
      </c>
      <c r="R90" s="221">
        <f>'Приложение 10'!Q563</f>
        <v>10</v>
      </c>
      <c r="S90" s="240">
        <f>'Приложение 10'!R563</f>
        <v>10</v>
      </c>
    </row>
    <row r="91" spans="1:19" ht="30" customHeight="1">
      <c r="A91" s="97"/>
      <c r="B91" s="98"/>
      <c r="C91" s="114"/>
      <c r="D91" s="111"/>
      <c r="E91" s="114"/>
      <c r="F91" s="114"/>
      <c r="G91" s="89"/>
      <c r="H91" s="11" t="str">
        <f>'Приложение 10'!H564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91" s="10">
        <f>'Приложение 10'!I564</f>
        <v>664</v>
      </c>
      <c r="J91" s="7">
        <f>'Приложение 10'!J564</f>
        <v>1</v>
      </c>
      <c r="K91" s="7">
        <f>'Приложение 10'!K564</f>
        <v>13</v>
      </c>
      <c r="L91" s="95" t="str">
        <f>'Приложение 10'!L564</f>
        <v>48</v>
      </c>
      <c r="M91" s="96" t="str">
        <f>'Приложение 10'!M564</f>
        <v>0</v>
      </c>
      <c r="N91" s="96" t="str">
        <f>'Приложение 10'!N564</f>
        <v>P1</v>
      </c>
      <c r="O91" s="96" t="str">
        <f>'Приложение 10'!O564</f>
        <v>00000</v>
      </c>
      <c r="P91" s="10" t="s">
        <v>621</v>
      </c>
      <c r="Q91" s="214">
        <f>'Приложение 10'!Q564</f>
        <v>73.7</v>
      </c>
      <c r="R91" s="221">
        <f>R92</f>
        <v>73.7</v>
      </c>
      <c r="S91" s="221">
        <f>S92</f>
        <v>73.7</v>
      </c>
    </row>
    <row r="92" spans="1:19" ht="30" customHeight="1">
      <c r="A92" s="97"/>
      <c r="B92" s="98"/>
      <c r="C92" s="114"/>
      <c r="D92" s="111"/>
      <c r="E92" s="114"/>
      <c r="F92" s="114"/>
      <c r="G92" s="89"/>
      <c r="H92" s="11" t="str">
        <f>'Приложение 10'!H565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92" s="10">
        <f>'Приложение 10'!I565</f>
        <v>664</v>
      </c>
      <c r="J92" s="7">
        <f>'Приложение 10'!J565</f>
        <v>1</v>
      </c>
      <c r="K92" s="7">
        <f>'Приложение 10'!K565</f>
        <v>13</v>
      </c>
      <c r="L92" s="95">
        <f>'Приложение 10'!L565</f>
        <v>48</v>
      </c>
      <c r="M92" s="96" t="str">
        <f>'Приложение 10'!M565</f>
        <v>0</v>
      </c>
      <c r="N92" s="96" t="str">
        <f>'Приложение 10'!N565</f>
        <v>P1</v>
      </c>
      <c r="O92" s="96" t="str">
        <f>'Приложение 10'!O565</f>
        <v>72300</v>
      </c>
      <c r="P92" s="10" t="s">
        <v>621</v>
      </c>
      <c r="Q92" s="214">
        <f>'Приложение 10'!Q565</f>
        <v>73.7</v>
      </c>
      <c r="R92" s="221">
        <f>R93</f>
        <v>73.7</v>
      </c>
      <c r="S92" s="221">
        <f>S93</f>
        <v>73.7</v>
      </c>
    </row>
    <row r="93" spans="1:19" ht="30" customHeight="1">
      <c r="A93" s="97"/>
      <c r="B93" s="98"/>
      <c r="C93" s="114"/>
      <c r="D93" s="111"/>
      <c r="E93" s="114"/>
      <c r="F93" s="114"/>
      <c r="G93" s="89"/>
      <c r="H93" s="11" t="str">
        <f>'Приложение 10'!H566</f>
        <v>Иные закупки товаров, работ и услуг для обеспечения государственных (муниципальных) нужд</v>
      </c>
      <c r="I93" s="10">
        <f>'Приложение 10'!I566</f>
        <v>664</v>
      </c>
      <c r="J93" s="7">
        <f>'Приложение 10'!J566</f>
        <v>1</v>
      </c>
      <c r="K93" s="7">
        <f>'Приложение 10'!K566</f>
        <v>13</v>
      </c>
      <c r="L93" s="95">
        <f>'Приложение 10'!L566</f>
        <v>48</v>
      </c>
      <c r="M93" s="96" t="str">
        <f>'Приложение 10'!M566</f>
        <v>0</v>
      </c>
      <c r="N93" s="96" t="str">
        <f>'Приложение 10'!N566</f>
        <v>P1</v>
      </c>
      <c r="O93" s="96" t="str">
        <f>'Приложение 10'!O566</f>
        <v>72300</v>
      </c>
      <c r="P93" s="10">
        <f>'Приложение 10'!P566</f>
        <v>240</v>
      </c>
      <c r="Q93" s="214">
        <f>'Приложение 10'!Q566</f>
        <v>73.7</v>
      </c>
      <c r="R93" s="221">
        <f>'Приложение 10'!Q566</f>
        <v>73.7</v>
      </c>
      <c r="S93" s="240">
        <f>'Приложение 10'!R566</f>
        <v>73.7</v>
      </c>
    </row>
    <row r="94" spans="1:19" s="179" customFormat="1" ht="18.75" customHeight="1">
      <c r="A94" s="142"/>
      <c r="B94" s="143"/>
      <c r="C94" s="166"/>
      <c r="D94" s="135"/>
      <c r="E94" s="135"/>
      <c r="F94" s="135"/>
      <c r="G94" s="136"/>
      <c r="H94" s="11" t="s">
        <v>299</v>
      </c>
      <c r="I94" s="10">
        <v>660</v>
      </c>
      <c r="J94" s="7">
        <v>1</v>
      </c>
      <c r="K94" s="7">
        <v>13</v>
      </c>
      <c r="L94" s="95" t="s">
        <v>580</v>
      </c>
      <c r="M94" s="96" t="s">
        <v>563</v>
      </c>
      <c r="N94" s="96" t="s">
        <v>583</v>
      </c>
      <c r="O94" s="96" t="s">
        <v>620</v>
      </c>
      <c r="P94" s="138"/>
      <c r="Q94" s="214" t="e">
        <f>Q95+#REF!+Q99+Q104+Q107+Q110+#REF!+Q112+#REF!+#REF!+#REF!</f>
        <v>#REF!</v>
      </c>
      <c r="R94" s="214">
        <f>R95+R99+R104+R107+R110+R112+R115+R102</f>
        <v>18315.8</v>
      </c>
      <c r="S94" s="214">
        <f>S95+S99+S104+S107+S110+S112+S115+S102</f>
        <v>30763</v>
      </c>
    </row>
    <row r="95" spans="1:19" ht="18.75" customHeight="1">
      <c r="A95" s="99"/>
      <c r="B95" s="98"/>
      <c r="C95" s="97"/>
      <c r="D95" s="363">
        <v>5050000</v>
      </c>
      <c r="E95" s="364"/>
      <c r="F95" s="364"/>
      <c r="G95" s="89">
        <v>321</v>
      </c>
      <c r="H95" s="11" t="s">
        <v>342</v>
      </c>
      <c r="I95" s="10">
        <v>660</v>
      </c>
      <c r="J95" s="7">
        <v>1</v>
      </c>
      <c r="K95" s="7">
        <v>13</v>
      </c>
      <c r="L95" s="16" t="s">
        <v>580</v>
      </c>
      <c r="M95" s="96" t="s">
        <v>563</v>
      </c>
      <c r="N95" s="96" t="s">
        <v>583</v>
      </c>
      <c r="O95" s="96" t="s">
        <v>648</v>
      </c>
      <c r="P95" s="10" t="s">
        <v>534</v>
      </c>
      <c r="Q95" s="214">
        <f>SUM(Q96:Q98)</f>
        <v>1978.8</v>
      </c>
      <c r="R95" s="214">
        <f>SUM(R96:R98)</f>
        <v>2646</v>
      </c>
      <c r="S95" s="214">
        <f>SUM(S96:S98)</f>
        <v>2978.8</v>
      </c>
    </row>
    <row r="96" spans="1:19" ht="26.25" customHeight="1">
      <c r="A96" s="99"/>
      <c r="B96" s="98"/>
      <c r="C96" s="97"/>
      <c r="D96" s="101"/>
      <c r="E96" s="100"/>
      <c r="F96" s="100"/>
      <c r="G96" s="89"/>
      <c r="H96" s="11" t="s">
        <v>533</v>
      </c>
      <c r="I96" s="6">
        <v>660</v>
      </c>
      <c r="J96" s="7">
        <v>1</v>
      </c>
      <c r="K96" s="7">
        <v>13</v>
      </c>
      <c r="L96" s="16">
        <v>91</v>
      </c>
      <c r="M96" s="96" t="s">
        <v>563</v>
      </c>
      <c r="N96" s="96" t="s">
        <v>583</v>
      </c>
      <c r="O96" s="96" t="s">
        <v>648</v>
      </c>
      <c r="P96" s="10">
        <v>120</v>
      </c>
      <c r="Q96" s="214">
        <v>869.3</v>
      </c>
      <c r="R96" s="214">
        <f>869.3+150.7</f>
        <v>1020</v>
      </c>
      <c r="S96" s="214">
        <f>869.3+150.7</f>
        <v>1020</v>
      </c>
    </row>
    <row r="97" spans="1:19" ht="27.75" customHeight="1">
      <c r="A97" s="99"/>
      <c r="B97" s="98"/>
      <c r="C97" s="103"/>
      <c r="D97" s="101"/>
      <c r="E97" s="113"/>
      <c r="F97" s="113"/>
      <c r="G97" s="89"/>
      <c r="H97" s="5" t="s">
        <v>720</v>
      </c>
      <c r="I97" s="6">
        <v>660</v>
      </c>
      <c r="J97" s="7">
        <v>1</v>
      </c>
      <c r="K97" s="7">
        <v>13</v>
      </c>
      <c r="L97" s="16">
        <v>91</v>
      </c>
      <c r="M97" s="96" t="s">
        <v>563</v>
      </c>
      <c r="N97" s="96" t="s">
        <v>583</v>
      </c>
      <c r="O97" s="96" t="s">
        <v>648</v>
      </c>
      <c r="P97" s="6">
        <v>240</v>
      </c>
      <c r="Q97" s="214">
        <f>182+845</f>
        <v>1027</v>
      </c>
      <c r="R97" s="214">
        <f>182+2512.2-1000-150.7</f>
        <v>1543.4999999999998</v>
      </c>
      <c r="S97" s="214">
        <f>182+1845-150.7</f>
        <v>1876.3</v>
      </c>
    </row>
    <row r="98" spans="1:19" ht="20.25" customHeight="1">
      <c r="A98" s="110"/>
      <c r="B98" s="112"/>
      <c r="C98" s="106"/>
      <c r="D98" s="109"/>
      <c r="E98" s="104"/>
      <c r="F98" s="104"/>
      <c r="G98" s="89"/>
      <c r="H98" s="11" t="s">
        <v>721</v>
      </c>
      <c r="I98" s="6">
        <v>27</v>
      </c>
      <c r="J98" s="7">
        <v>1</v>
      </c>
      <c r="K98" s="7">
        <v>13</v>
      </c>
      <c r="L98" s="95" t="s">
        <v>580</v>
      </c>
      <c r="M98" s="96" t="s">
        <v>563</v>
      </c>
      <c r="N98" s="96" t="s">
        <v>583</v>
      </c>
      <c r="O98" s="96" t="s">
        <v>648</v>
      </c>
      <c r="P98" s="6">
        <v>850</v>
      </c>
      <c r="Q98" s="216">
        <v>82.5</v>
      </c>
      <c r="R98" s="216">
        <v>82.5</v>
      </c>
      <c r="S98" s="216">
        <v>82.5</v>
      </c>
    </row>
    <row r="99" spans="1:19" ht="26.25" customHeight="1">
      <c r="A99" s="99"/>
      <c r="B99" s="98"/>
      <c r="C99" s="97"/>
      <c r="D99" s="363">
        <v>5220000</v>
      </c>
      <c r="E99" s="364"/>
      <c r="F99" s="364"/>
      <c r="G99" s="89">
        <v>622</v>
      </c>
      <c r="H99" s="11" t="s">
        <v>344</v>
      </c>
      <c r="I99" s="10">
        <v>27</v>
      </c>
      <c r="J99" s="7">
        <v>1</v>
      </c>
      <c r="K99" s="7">
        <v>13</v>
      </c>
      <c r="L99" s="95" t="s">
        <v>580</v>
      </c>
      <c r="M99" s="96" t="s">
        <v>563</v>
      </c>
      <c r="N99" s="96" t="s">
        <v>583</v>
      </c>
      <c r="O99" s="96" t="s">
        <v>345</v>
      </c>
      <c r="P99" s="10"/>
      <c r="Q99" s="214">
        <f>SUM(Q100:Q101)</f>
        <v>20321.8</v>
      </c>
      <c r="R99" s="214">
        <f>SUM(R100:R101)</f>
        <v>7437</v>
      </c>
      <c r="S99" s="214">
        <f>SUM(S100:S101)</f>
        <v>19771.1</v>
      </c>
    </row>
    <row r="100" spans="1:19" ht="26.25" customHeight="1">
      <c r="A100" s="99"/>
      <c r="B100" s="98"/>
      <c r="C100" s="97"/>
      <c r="D100" s="101"/>
      <c r="E100" s="100"/>
      <c r="F100" s="100"/>
      <c r="G100" s="89"/>
      <c r="H100" s="11" t="s">
        <v>722</v>
      </c>
      <c r="I100" s="6">
        <v>27</v>
      </c>
      <c r="J100" s="7">
        <v>1</v>
      </c>
      <c r="K100" s="7">
        <v>13</v>
      </c>
      <c r="L100" s="95" t="s">
        <v>580</v>
      </c>
      <c r="M100" s="96" t="s">
        <v>563</v>
      </c>
      <c r="N100" s="96" t="s">
        <v>583</v>
      </c>
      <c r="O100" s="96" t="s">
        <v>345</v>
      </c>
      <c r="P100" s="10">
        <v>610</v>
      </c>
      <c r="Q100" s="214">
        <v>258.8</v>
      </c>
      <c r="R100" s="214">
        <v>260</v>
      </c>
      <c r="S100" s="214">
        <v>260</v>
      </c>
    </row>
    <row r="101" spans="1:19" ht="24.75" customHeight="1">
      <c r="A101" s="99"/>
      <c r="B101" s="98"/>
      <c r="C101" s="103"/>
      <c r="D101" s="107"/>
      <c r="E101" s="178"/>
      <c r="F101" s="178"/>
      <c r="G101" s="89"/>
      <c r="H101" s="11" t="s">
        <v>757</v>
      </c>
      <c r="I101" s="10">
        <v>27</v>
      </c>
      <c r="J101" s="7">
        <v>1</v>
      </c>
      <c r="K101" s="7">
        <v>13</v>
      </c>
      <c r="L101" s="95" t="s">
        <v>580</v>
      </c>
      <c r="M101" s="96" t="s">
        <v>563</v>
      </c>
      <c r="N101" s="96" t="s">
        <v>583</v>
      </c>
      <c r="O101" s="96" t="s">
        <v>345</v>
      </c>
      <c r="P101" s="10">
        <v>620</v>
      </c>
      <c r="Q101" s="214">
        <v>20063</v>
      </c>
      <c r="R101" s="214">
        <f>'Приложение 10'!Q57</f>
        <v>7177</v>
      </c>
      <c r="S101" s="214">
        <f>'Приложение 10'!R57</f>
        <v>19511.1</v>
      </c>
    </row>
    <row r="102" spans="1:19" ht="30" customHeight="1">
      <c r="A102" s="110"/>
      <c r="B102" s="111"/>
      <c r="C102" s="106"/>
      <c r="D102" s="107"/>
      <c r="E102" s="104"/>
      <c r="F102" s="104"/>
      <c r="G102" s="89"/>
      <c r="H102" s="11" t="str">
        <f>'Приложение 10'!H58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02" s="13">
        <f>'Приложение 10'!I58</f>
        <v>27</v>
      </c>
      <c r="J102" s="7">
        <f>'Приложение 10'!J58</f>
        <v>1</v>
      </c>
      <c r="K102" s="7">
        <f>'Приложение 10'!K58</f>
        <v>13</v>
      </c>
      <c r="L102" s="95" t="str">
        <f>'Приложение 10'!L58</f>
        <v>91</v>
      </c>
      <c r="M102" s="96" t="str">
        <f>'Приложение 10'!M58</f>
        <v>0</v>
      </c>
      <c r="N102" s="96" t="str">
        <f>'Приложение 10'!N58</f>
        <v>00</v>
      </c>
      <c r="O102" s="96" t="str">
        <f>'Приложение 10'!O58</f>
        <v>70030</v>
      </c>
      <c r="P102" s="10" t="s">
        <v>621</v>
      </c>
      <c r="Q102" s="214">
        <f>'Приложение 10'!Q58</f>
        <v>2988.9</v>
      </c>
      <c r="R102" s="214">
        <f>R103</f>
        <v>2988.9</v>
      </c>
      <c r="S102" s="214">
        <f>S103</f>
        <v>2988.9</v>
      </c>
    </row>
    <row r="103" spans="1:19" ht="24.75" customHeight="1">
      <c r="A103" s="110"/>
      <c r="B103" s="111"/>
      <c r="C103" s="106"/>
      <c r="D103" s="107"/>
      <c r="E103" s="104"/>
      <c r="F103" s="104"/>
      <c r="G103" s="89"/>
      <c r="H103" s="11" t="str">
        <f>'Приложение 10'!H59</f>
        <v>Субсидии автономным учреждениям</v>
      </c>
      <c r="I103" s="13">
        <f>'Приложение 10'!I59</f>
        <v>27</v>
      </c>
      <c r="J103" s="7">
        <f>'Приложение 10'!J59</f>
        <v>1</v>
      </c>
      <c r="K103" s="7">
        <f>'Приложение 10'!K59</f>
        <v>13</v>
      </c>
      <c r="L103" s="95" t="str">
        <f>'Приложение 10'!L59</f>
        <v>91</v>
      </c>
      <c r="M103" s="96" t="str">
        <f>'Приложение 10'!M59</f>
        <v>0</v>
      </c>
      <c r="N103" s="96" t="str">
        <f>'Приложение 10'!N59</f>
        <v>00</v>
      </c>
      <c r="O103" s="96" t="str">
        <f>'Приложение 10'!O59</f>
        <v>70030</v>
      </c>
      <c r="P103" s="10">
        <f>'Приложение 10'!P59</f>
        <v>620</v>
      </c>
      <c r="Q103" s="214">
        <f>'Приложение 10'!Q59</f>
        <v>2988.9</v>
      </c>
      <c r="R103" s="214">
        <f>'Приложение 10'!Q59</f>
        <v>2988.9</v>
      </c>
      <c r="S103" s="214">
        <f>'Приложение 10'!R59</f>
        <v>2988.9</v>
      </c>
    </row>
    <row r="104" spans="1:19" ht="36" customHeight="1">
      <c r="A104" s="110"/>
      <c r="B104" s="111"/>
      <c r="C104" s="106"/>
      <c r="D104" s="107"/>
      <c r="E104" s="104"/>
      <c r="F104" s="104"/>
      <c r="G104" s="105"/>
      <c r="H104" s="5" t="s">
        <v>250</v>
      </c>
      <c r="I104" s="8">
        <v>28</v>
      </c>
      <c r="J104" s="7">
        <v>1</v>
      </c>
      <c r="K104" s="7">
        <v>13</v>
      </c>
      <c r="L104" s="95" t="s">
        <v>580</v>
      </c>
      <c r="M104" s="96" t="s">
        <v>563</v>
      </c>
      <c r="N104" s="96" t="s">
        <v>583</v>
      </c>
      <c r="O104" s="96" t="s">
        <v>251</v>
      </c>
      <c r="P104" s="6"/>
      <c r="Q104" s="214"/>
      <c r="R104" s="214">
        <f>SUM(R105:R106)</f>
        <v>320</v>
      </c>
      <c r="S104" s="214">
        <f>SUM(S105:S106)</f>
        <v>320</v>
      </c>
    </row>
    <row r="105" spans="1:19" ht="24.75" customHeight="1">
      <c r="A105" s="110"/>
      <c r="B105" s="111"/>
      <c r="C105" s="106"/>
      <c r="D105" s="107"/>
      <c r="E105" s="104"/>
      <c r="F105" s="104"/>
      <c r="G105" s="105"/>
      <c r="H105" s="5" t="s">
        <v>720</v>
      </c>
      <c r="I105" s="8">
        <v>28</v>
      </c>
      <c r="J105" s="7">
        <v>1</v>
      </c>
      <c r="K105" s="7">
        <v>13</v>
      </c>
      <c r="L105" s="95" t="s">
        <v>580</v>
      </c>
      <c r="M105" s="96" t="s">
        <v>563</v>
      </c>
      <c r="N105" s="96" t="s">
        <v>583</v>
      </c>
      <c r="O105" s="96" t="s">
        <v>251</v>
      </c>
      <c r="P105" s="6">
        <v>240</v>
      </c>
      <c r="Q105" s="214">
        <v>0</v>
      </c>
      <c r="R105" s="216">
        <v>60</v>
      </c>
      <c r="S105" s="216">
        <v>60</v>
      </c>
    </row>
    <row r="106" spans="1:19" ht="24.75" customHeight="1">
      <c r="A106" s="110"/>
      <c r="B106" s="111"/>
      <c r="C106" s="106"/>
      <c r="D106" s="107"/>
      <c r="E106" s="104"/>
      <c r="F106" s="104"/>
      <c r="G106" s="105"/>
      <c r="H106" s="5" t="s">
        <v>613</v>
      </c>
      <c r="I106" s="8">
        <v>28</v>
      </c>
      <c r="J106" s="7">
        <v>1</v>
      </c>
      <c r="K106" s="7">
        <v>13</v>
      </c>
      <c r="L106" s="95" t="s">
        <v>580</v>
      </c>
      <c r="M106" s="96" t="s">
        <v>563</v>
      </c>
      <c r="N106" s="96" t="s">
        <v>583</v>
      </c>
      <c r="O106" s="96" t="s">
        <v>251</v>
      </c>
      <c r="P106" s="6">
        <v>340</v>
      </c>
      <c r="Q106" s="214">
        <v>0</v>
      </c>
      <c r="R106" s="216">
        <v>260</v>
      </c>
      <c r="S106" s="216">
        <v>260</v>
      </c>
    </row>
    <row r="107" spans="1:19" ht="48" customHeight="1">
      <c r="A107" s="110"/>
      <c r="B107" s="112"/>
      <c r="C107" s="106"/>
      <c r="D107" s="109"/>
      <c r="E107" s="104"/>
      <c r="F107" s="104"/>
      <c r="G107" s="89"/>
      <c r="H107" s="34" t="s">
        <v>702</v>
      </c>
      <c r="I107" s="10">
        <v>27</v>
      </c>
      <c r="J107" s="7">
        <v>1</v>
      </c>
      <c r="K107" s="7">
        <v>13</v>
      </c>
      <c r="L107" s="95" t="s">
        <v>580</v>
      </c>
      <c r="M107" s="96" t="s">
        <v>563</v>
      </c>
      <c r="N107" s="96" t="s">
        <v>583</v>
      </c>
      <c r="O107" s="96" t="s">
        <v>655</v>
      </c>
      <c r="P107" s="6"/>
      <c r="Q107" s="216">
        <f>SUM(Q108:Q108)</f>
        <v>239.3</v>
      </c>
      <c r="R107" s="216">
        <f>SUM(R108:R109)</f>
        <v>480.79999999999995</v>
      </c>
      <c r="S107" s="216">
        <f>SUM(S108:S109)</f>
        <v>482.7</v>
      </c>
    </row>
    <row r="108" spans="1:19" ht="30" customHeight="1">
      <c r="A108" s="110"/>
      <c r="B108" s="112"/>
      <c r="C108" s="106"/>
      <c r="D108" s="109"/>
      <c r="E108" s="104"/>
      <c r="F108" s="104"/>
      <c r="G108" s="89"/>
      <c r="H108" s="34" t="s">
        <v>533</v>
      </c>
      <c r="I108" s="10">
        <v>27</v>
      </c>
      <c r="J108" s="7">
        <v>1</v>
      </c>
      <c r="K108" s="7">
        <v>13</v>
      </c>
      <c r="L108" s="95" t="s">
        <v>580</v>
      </c>
      <c r="M108" s="96" t="s">
        <v>563</v>
      </c>
      <c r="N108" s="96" t="s">
        <v>583</v>
      </c>
      <c r="O108" s="96" t="s">
        <v>655</v>
      </c>
      <c r="P108" s="10">
        <v>120</v>
      </c>
      <c r="Q108" s="214">
        <v>239.3</v>
      </c>
      <c r="R108" s="214">
        <v>268.9</v>
      </c>
      <c r="S108" s="214">
        <v>268.9</v>
      </c>
    </row>
    <row r="109" spans="1:19" ht="30" customHeight="1">
      <c r="A109" s="110"/>
      <c r="B109" s="112"/>
      <c r="C109" s="106"/>
      <c r="D109" s="109"/>
      <c r="E109" s="104"/>
      <c r="F109" s="104"/>
      <c r="G109" s="89"/>
      <c r="H109" s="5" t="s">
        <v>720</v>
      </c>
      <c r="I109" s="10"/>
      <c r="J109" s="7">
        <v>1</v>
      </c>
      <c r="K109" s="7">
        <v>13</v>
      </c>
      <c r="L109" s="95" t="s">
        <v>580</v>
      </c>
      <c r="M109" s="96" t="s">
        <v>563</v>
      </c>
      <c r="N109" s="96" t="s">
        <v>583</v>
      </c>
      <c r="O109" s="96" t="s">
        <v>655</v>
      </c>
      <c r="P109" s="6">
        <v>240</v>
      </c>
      <c r="Q109" s="216"/>
      <c r="R109" s="216">
        <v>211.9</v>
      </c>
      <c r="S109" s="216">
        <v>213.8</v>
      </c>
    </row>
    <row r="110" spans="1:19" ht="61.5" customHeight="1">
      <c r="A110" s="110"/>
      <c r="B110" s="112"/>
      <c r="C110" s="106"/>
      <c r="D110" s="109"/>
      <c r="E110" s="104"/>
      <c r="F110" s="104"/>
      <c r="G110" s="89"/>
      <c r="H110" s="11" t="s">
        <v>703</v>
      </c>
      <c r="I110" s="10">
        <v>27</v>
      </c>
      <c r="J110" s="7">
        <v>1</v>
      </c>
      <c r="K110" s="7">
        <v>13</v>
      </c>
      <c r="L110" s="95" t="s">
        <v>580</v>
      </c>
      <c r="M110" s="96" t="s">
        <v>563</v>
      </c>
      <c r="N110" s="96" t="s">
        <v>583</v>
      </c>
      <c r="O110" s="96" t="s">
        <v>649</v>
      </c>
      <c r="P110" s="6"/>
      <c r="Q110" s="216">
        <f>Q111</f>
        <v>3437.1</v>
      </c>
      <c r="R110" s="216">
        <f>R111</f>
        <v>3437.1</v>
      </c>
      <c r="S110" s="216">
        <f>S111</f>
        <v>3437.1</v>
      </c>
    </row>
    <row r="111" spans="1:19" ht="27" customHeight="1">
      <c r="A111" s="99"/>
      <c r="B111" s="98"/>
      <c r="C111" s="103"/>
      <c r="D111" s="101"/>
      <c r="E111" s="113"/>
      <c r="F111" s="113"/>
      <c r="G111" s="105">
        <v>120</v>
      </c>
      <c r="H111" s="11" t="s">
        <v>722</v>
      </c>
      <c r="I111" s="10">
        <v>27</v>
      </c>
      <c r="J111" s="7">
        <v>1</v>
      </c>
      <c r="K111" s="7">
        <v>13</v>
      </c>
      <c r="L111" s="95" t="s">
        <v>580</v>
      </c>
      <c r="M111" s="96" t="s">
        <v>563</v>
      </c>
      <c r="N111" s="96" t="s">
        <v>583</v>
      </c>
      <c r="O111" s="96" t="s">
        <v>649</v>
      </c>
      <c r="P111" s="6">
        <v>610</v>
      </c>
      <c r="Q111" s="216">
        <v>3437.1</v>
      </c>
      <c r="R111" s="216">
        <v>3437.1</v>
      </c>
      <c r="S111" s="216">
        <v>3437.1</v>
      </c>
    </row>
    <row r="112" spans="1:19" ht="21" customHeight="1">
      <c r="A112" s="97"/>
      <c r="B112" s="98"/>
      <c r="C112" s="106"/>
      <c r="D112" s="111"/>
      <c r="E112" s="114"/>
      <c r="F112" s="114"/>
      <c r="G112" s="89"/>
      <c r="H112" s="3" t="s">
        <v>815</v>
      </c>
      <c r="I112" s="10">
        <v>27</v>
      </c>
      <c r="J112" s="7">
        <v>1</v>
      </c>
      <c r="K112" s="7">
        <v>13</v>
      </c>
      <c r="L112" s="95" t="s">
        <v>580</v>
      </c>
      <c r="M112" s="96" t="s">
        <v>563</v>
      </c>
      <c r="N112" s="96" t="s">
        <v>583</v>
      </c>
      <c r="O112" s="96" t="s">
        <v>814</v>
      </c>
      <c r="P112" s="10"/>
      <c r="Q112" s="214">
        <f>SUM(Q113:Q114)</f>
        <v>784.4000000000001</v>
      </c>
      <c r="R112" s="214">
        <f>SUM(R113:R114)</f>
        <v>784.4000000000001</v>
      </c>
      <c r="S112" s="214">
        <f>SUM(S113:S114)</f>
        <v>784.4000000000001</v>
      </c>
    </row>
    <row r="113" spans="1:19" ht="26.25" customHeight="1">
      <c r="A113" s="97"/>
      <c r="B113" s="98"/>
      <c r="C113" s="106"/>
      <c r="D113" s="111"/>
      <c r="E113" s="114"/>
      <c r="F113" s="114"/>
      <c r="G113" s="89"/>
      <c r="H113" s="34" t="s">
        <v>533</v>
      </c>
      <c r="I113" s="10">
        <v>27</v>
      </c>
      <c r="J113" s="7">
        <v>1</v>
      </c>
      <c r="K113" s="7">
        <v>13</v>
      </c>
      <c r="L113" s="95" t="s">
        <v>580</v>
      </c>
      <c r="M113" s="96" t="s">
        <v>563</v>
      </c>
      <c r="N113" s="96" t="s">
        <v>583</v>
      </c>
      <c r="O113" s="96" t="s">
        <v>814</v>
      </c>
      <c r="P113" s="10">
        <v>120</v>
      </c>
      <c r="Q113" s="214">
        <v>479.1</v>
      </c>
      <c r="R113" s="215">
        <v>479.1</v>
      </c>
      <c r="S113" s="215">
        <v>479.1</v>
      </c>
    </row>
    <row r="114" spans="1:19" ht="30" customHeight="1">
      <c r="A114" s="97"/>
      <c r="B114" s="98"/>
      <c r="C114" s="106"/>
      <c r="D114" s="111"/>
      <c r="E114" s="114"/>
      <c r="F114" s="114"/>
      <c r="G114" s="89"/>
      <c r="H114" s="5" t="s">
        <v>720</v>
      </c>
      <c r="I114" s="10">
        <v>27</v>
      </c>
      <c r="J114" s="7">
        <v>1</v>
      </c>
      <c r="K114" s="7">
        <v>13</v>
      </c>
      <c r="L114" s="95" t="s">
        <v>580</v>
      </c>
      <c r="M114" s="96" t="s">
        <v>563</v>
      </c>
      <c r="N114" s="96" t="s">
        <v>583</v>
      </c>
      <c r="O114" s="96" t="s">
        <v>814</v>
      </c>
      <c r="P114" s="10">
        <v>240</v>
      </c>
      <c r="Q114" s="214">
        <v>305.3</v>
      </c>
      <c r="R114" s="215">
        <v>305.3</v>
      </c>
      <c r="S114" s="215">
        <v>305.3</v>
      </c>
    </row>
    <row r="115" spans="1:19" ht="27.75" customHeight="1">
      <c r="A115" s="97"/>
      <c r="B115" s="98"/>
      <c r="C115" s="106"/>
      <c r="D115" s="111"/>
      <c r="E115" s="114"/>
      <c r="F115" s="114"/>
      <c r="G115" s="89"/>
      <c r="H115" s="3" t="s">
        <v>285</v>
      </c>
      <c r="I115" s="10">
        <v>27</v>
      </c>
      <c r="J115" s="7">
        <v>1</v>
      </c>
      <c r="K115" s="7">
        <v>13</v>
      </c>
      <c r="L115" s="95" t="s">
        <v>580</v>
      </c>
      <c r="M115" s="96" t="s">
        <v>563</v>
      </c>
      <c r="N115" s="96" t="s">
        <v>583</v>
      </c>
      <c r="O115" s="96" t="s">
        <v>6</v>
      </c>
      <c r="P115" s="10"/>
      <c r="Q115" s="214">
        <f>Q116</f>
        <v>0</v>
      </c>
      <c r="R115" s="214">
        <f>R116</f>
        <v>221.6</v>
      </c>
      <c r="S115" s="214">
        <f>S116</f>
        <v>0</v>
      </c>
    </row>
    <row r="116" spans="1:19" ht="33.75" customHeight="1">
      <c r="A116" s="97"/>
      <c r="B116" s="98"/>
      <c r="C116" s="106"/>
      <c r="D116" s="111"/>
      <c r="E116" s="114"/>
      <c r="F116" s="114"/>
      <c r="G116" s="89"/>
      <c r="H116" s="3" t="s">
        <v>720</v>
      </c>
      <c r="I116" s="10">
        <v>27</v>
      </c>
      <c r="J116" s="7">
        <v>1</v>
      </c>
      <c r="K116" s="7">
        <v>13</v>
      </c>
      <c r="L116" s="95" t="s">
        <v>580</v>
      </c>
      <c r="M116" s="96" t="s">
        <v>563</v>
      </c>
      <c r="N116" s="96" t="s">
        <v>583</v>
      </c>
      <c r="O116" s="96" t="s">
        <v>6</v>
      </c>
      <c r="P116" s="10">
        <v>240</v>
      </c>
      <c r="Q116" s="214">
        <v>0</v>
      </c>
      <c r="R116" s="215">
        <v>221.6</v>
      </c>
      <c r="S116" s="239">
        <v>0</v>
      </c>
    </row>
    <row r="117" spans="1:19" s="179" customFormat="1" ht="27" customHeight="1">
      <c r="A117" s="135"/>
      <c r="B117" s="135"/>
      <c r="C117" s="135"/>
      <c r="D117" s="135"/>
      <c r="E117" s="135"/>
      <c r="F117" s="135"/>
      <c r="G117" s="136"/>
      <c r="H117" s="137" t="s">
        <v>555</v>
      </c>
      <c r="I117" s="138">
        <v>27</v>
      </c>
      <c r="J117" s="148">
        <v>3</v>
      </c>
      <c r="K117" s="148" t="s">
        <v>621</v>
      </c>
      <c r="L117" s="140"/>
      <c r="M117" s="141"/>
      <c r="N117" s="141"/>
      <c r="O117" s="141"/>
      <c r="P117" s="146"/>
      <c r="Q117" s="217" t="e">
        <f>Q118+Q123</f>
        <v>#REF!</v>
      </c>
      <c r="R117" s="217">
        <f>R118+R123</f>
        <v>1927</v>
      </c>
      <c r="S117" s="217">
        <f>S118+S123</f>
        <v>1927</v>
      </c>
    </row>
    <row r="118" spans="1:19" s="179" customFormat="1" ht="33" customHeight="1">
      <c r="A118" s="135"/>
      <c r="B118" s="135"/>
      <c r="C118" s="135"/>
      <c r="D118" s="135"/>
      <c r="E118" s="135"/>
      <c r="F118" s="135"/>
      <c r="G118" s="136"/>
      <c r="H118" s="137" t="s">
        <v>557</v>
      </c>
      <c r="I118" s="138">
        <v>27</v>
      </c>
      <c r="J118" s="148">
        <v>3</v>
      </c>
      <c r="K118" s="148">
        <v>9</v>
      </c>
      <c r="L118" s="140" t="s">
        <v>534</v>
      </c>
      <c r="M118" s="141" t="s">
        <v>534</v>
      </c>
      <c r="N118" s="141"/>
      <c r="O118" s="141" t="s">
        <v>534</v>
      </c>
      <c r="P118" s="146" t="s">
        <v>534</v>
      </c>
      <c r="Q118" s="217">
        <f aca="true" t="shared" si="6" ref="Q118:S119">Q119</f>
        <v>1755.8999999999999</v>
      </c>
      <c r="R118" s="217">
        <f t="shared" si="6"/>
        <v>1756</v>
      </c>
      <c r="S118" s="217">
        <f t="shared" si="6"/>
        <v>1756</v>
      </c>
    </row>
    <row r="119" spans="1:19" s="179" customFormat="1" ht="33" customHeight="1">
      <c r="A119" s="135"/>
      <c r="B119" s="135"/>
      <c r="C119" s="135"/>
      <c r="D119" s="135"/>
      <c r="E119" s="135"/>
      <c r="F119" s="135"/>
      <c r="G119" s="136"/>
      <c r="H119" s="11" t="s">
        <v>299</v>
      </c>
      <c r="I119" s="10">
        <v>27</v>
      </c>
      <c r="J119" s="7">
        <v>3</v>
      </c>
      <c r="K119" s="7">
        <v>9</v>
      </c>
      <c r="L119" s="95" t="s">
        <v>580</v>
      </c>
      <c r="M119" s="96" t="s">
        <v>563</v>
      </c>
      <c r="N119" s="96" t="s">
        <v>583</v>
      </c>
      <c r="O119" s="96" t="s">
        <v>620</v>
      </c>
      <c r="P119" s="146"/>
      <c r="Q119" s="217">
        <f t="shared" si="6"/>
        <v>1755.8999999999999</v>
      </c>
      <c r="R119" s="217">
        <f t="shared" si="6"/>
        <v>1756</v>
      </c>
      <c r="S119" s="217">
        <f t="shared" si="6"/>
        <v>1756</v>
      </c>
    </row>
    <row r="120" spans="1:19" ht="26.25" customHeight="1">
      <c r="A120" s="88"/>
      <c r="B120" s="88"/>
      <c r="C120" s="88"/>
      <c r="D120" s="88"/>
      <c r="E120" s="88"/>
      <c r="F120" s="88"/>
      <c r="G120" s="89"/>
      <c r="H120" s="11" t="s">
        <v>344</v>
      </c>
      <c r="I120" s="10">
        <v>27</v>
      </c>
      <c r="J120" s="7">
        <v>3</v>
      </c>
      <c r="K120" s="7">
        <v>9</v>
      </c>
      <c r="L120" s="95" t="s">
        <v>580</v>
      </c>
      <c r="M120" s="96" t="s">
        <v>563</v>
      </c>
      <c r="N120" s="96" t="s">
        <v>583</v>
      </c>
      <c r="O120" s="96" t="s">
        <v>345</v>
      </c>
      <c r="P120" s="6" t="s">
        <v>534</v>
      </c>
      <c r="Q120" s="216">
        <f>SUM(Q121:Q122)</f>
        <v>1755.8999999999999</v>
      </c>
      <c r="R120" s="216">
        <f>SUM(R121:R122)</f>
        <v>1756</v>
      </c>
      <c r="S120" s="216">
        <f>SUM(S121:S122)</f>
        <v>1756</v>
      </c>
    </row>
    <row r="121" spans="1:19" ht="26.25" customHeight="1">
      <c r="A121" s="88"/>
      <c r="B121" s="88"/>
      <c r="C121" s="88"/>
      <c r="D121" s="88"/>
      <c r="E121" s="88"/>
      <c r="F121" s="88"/>
      <c r="G121" s="89"/>
      <c r="H121" s="11" t="s">
        <v>723</v>
      </c>
      <c r="I121" s="6">
        <v>27</v>
      </c>
      <c r="J121" s="7">
        <v>3</v>
      </c>
      <c r="K121" s="7">
        <v>9</v>
      </c>
      <c r="L121" s="95" t="s">
        <v>580</v>
      </c>
      <c r="M121" s="96" t="s">
        <v>563</v>
      </c>
      <c r="N121" s="96" t="s">
        <v>583</v>
      </c>
      <c r="O121" s="96" t="s">
        <v>345</v>
      </c>
      <c r="P121" s="6">
        <v>110</v>
      </c>
      <c r="Q121" s="216">
        <v>1690.1</v>
      </c>
      <c r="R121" s="216">
        <v>1690.1</v>
      </c>
      <c r="S121" s="216">
        <v>1690.1</v>
      </c>
    </row>
    <row r="122" spans="1:19" ht="23.25" customHeight="1">
      <c r="A122" s="88"/>
      <c r="B122" s="88"/>
      <c r="C122" s="88"/>
      <c r="D122" s="88"/>
      <c r="E122" s="88"/>
      <c r="F122" s="88"/>
      <c r="G122" s="89"/>
      <c r="H122" s="5" t="s">
        <v>720</v>
      </c>
      <c r="I122" s="8">
        <v>27</v>
      </c>
      <c r="J122" s="7">
        <v>3</v>
      </c>
      <c r="K122" s="7">
        <v>9</v>
      </c>
      <c r="L122" s="95" t="s">
        <v>580</v>
      </c>
      <c r="M122" s="96" t="s">
        <v>563</v>
      </c>
      <c r="N122" s="96" t="s">
        <v>583</v>
      </c>
      <c r="O122" s="96" t="s">
        <v>345</v>
      </c>
      <c r="P122" s="6">
        <v>240</v>
      </c>
      <c r="Q122" s="214">
        <v>65.8</v>
      </c>
      <c r="R122" s="214">
        <v>65.9</v>
      </c>
      <c r="S122" s="214">
        <v>65.9</v>
      </c>
    </row>
    <row r="123" spans="1:19" s="179" customFormat="1" ht="25.5" customHeight="1">
      <c r="A123" s="135"/>
      <c r="B123" s="135"/>
      <c r="C123" s="135"/>
      <c r="D123" s="135"/>
      <c r="E123" s="135"/>
      <c r="F123" s="135"/>
      <c r="G123" s="136"/>
      <c r="H123" s="137" t="s">
        <v>556</v>
      </c>
      <c r="I123" s="138">
        <v>27</v>
      </c>
      <c r="J123" s="148">
        <v>3</v>
      </c>
      <c r="K123" s="148">
        <v>14</v>
      </c>
      <c r="L123" s="140"/>
      <c r="M123" s="141"/>
      <c r="N123" s="141"/>
      <c r="O123" s="141"/>
      <c r="P123" s="146"/>
      <c r="Q123" s="217" t="e">
        <f>#REF!+Q124</f>
        <v>#REF!</v>
      </c>
      <c r="R123" s="217">
        <f>R124</f>
        <v>171</v>
      </c>
      <c r="S123" s="217">
        <f>S124</f>
        <v>171</v>
      </c>
    </row>
    <row r="124" spans="1:19" ht="22.5" customHeight="1">
      <c r="A124" s="88"/>
      <c r="B124" s="88"/>
      <c r="C124" s="88"/>
      <c r="D124" s="88"/>
      <c r="E124" s="88"/>
      <c r="F124" s="88"/>
      <c r="G124" s="89"/>
      <c r="H124" s="11" t="s">
        <v>299</v>
      </c>
      <c r="I124" s="6">
        <v>27</v>
      </c>
      <c r="J124" s="7">
        <v>3</v>
      </c>
      <c r="K124" s="7">
        <v>14</v>
      </c>
      <c r="L124" s="16">
        <v>91</v>
      </c>
      <c r="M124" s="96" t="s">
        <v>563</v>
      </c>
      <c r="N124" s="96" t="s">
        <v>583</v>
      </c>
      <c r="O124" s="96" t="s">
        <v>620</v>
      </c>
      <c r="P124" s="6"/>
      <c r="Q124" s="216">
        <f aca="true" t="shared" si="7" ref="Q124:S125">Q125</f>
        <v>0</v>
      </c>
      <c r="R124" s="216">
        <f t="shared" si="7"/>
        <v>171</v>
      </c>
      <c r="S124" s="216">
        <f t="shared" si="7"/>
        <v>171</v>
      </c>
    </row>
    <row r="125" spans="1:19" ht="35.25" customHeight="1">
      <c r="A125" s="88"/>
      <c r="B125" s="88"/>
      <c r="C125" s="88"/>
      <c r="D125" s="88"/>
      <c r="E125" s="88"/>
      <c r="F125" s="88"/>
      <c r="G125" s="89"/>
      <c r="H125" s="11" t="s">
        <v>718</v>
      </c>
      <c r="I125" s="6">
        <v>27</v>
      </c>
      <c r="J125" s="7">
        <v>3</v>
      </c>
      <c r="K125" s="7">
        <v>14</v>
      </c>
      <c r="L125" s="16">
        <v>91</v>
      </c>
      <c r="M125" s="96" t="s">
        <v>563</v>
      </c>
      <c r="N125" s="96" t="s">
        <v>583</v>
      </c>
      <c r="O125" s="96" t="s">
        <v>351</v>
      </c>
      <c r="P125" s="6"/>
      <c r="Q125" s="216">
        <f t="shared" si="7"/>
        <v>0</v>
      </c>
      <c r="R125" s="216">
        <f t="shared" si="7"/>
        <v>171</v>
      </c>
      <c r="S125" s="216">
        <f t="shared" si="7"/>
        <v>171</v>
      </c>
    </row>
    <row r="126" spans="1:19" ht="29.25" customHeight="1">
      <c r="A126" s="88"/>
      <c r="B126" s="88"/>
      <c r="C126" s="88"/>
      <c r="D126" s="88"/>
      <c r="E126" s="88"/>
      <c r="F126" s="88"/>
      <c r="G126" s="89"/>
      <c r="H126" s="11" t="s">
        <v>720</v>
      </c>
      <c r="I126" s="6">
        <v>27</v>
      </c>
      <c r="J126" s="7">
        <v>3</v>
      </c>
      <c r="K126" s="7">
        <v>14</v>
      </c>
      <c r="L126" s="16">
        <v>91</v>
      </c>
      <c r="M126" s="96" t="s">
        <v>563</v>
      </c>
      <c r="N126" s="96" t="s">
        <v>583</v>
      </c>
      <c r="O126" s="96" t="s">
        <v>351</v>
      </c>
      <c r="P126" s="6">
        <v>240</v>
      </c>
      <c r="Q126" s="216">
        <v>0</v>
      </c>
      <c r="R126" s="240">
        <v>171</v>
      </c>
      <c r="S126" s="240">
        <v>171</v>
      </c>
    </row>
    <row r="127" spans="1:19" s="179" customFormat="1" ht="23.25" customHeight="1">
      <c r="A127" s="135"/>
      <c r="B127" s="135"/>
      <c r="C127" s="135"/>
      <c r="D127" s="135"/>
      <c r="E127" s="135"/>
      <c r="F127" s="135"/>
      <c r="G127" s="136"/>
      <c r="H127" s="137" t="s">
        <v>547</v>
      </c>
      <c r="I127" s="146">
        <v>27</v>
      </c>
      <c r="J127" s="148">
        <v>4</v>
      </c>
      <c r="K127" s="148"/>
      <c r="L127" s="140"/>
      <c r="M127" s="141"/>
      <c r="N127" s="141"/>
      <c r="O127" s="141"/>
      <c r="P127" s="146"/>
      <c r="Q127" s="217" t="e">
        <f>Q128+Q132+Q159</f>
        <v>#REF!</v>
      </c>
      <c r="R127" s="217">
        <f>R128+R132+R159</f>
        <v>21280.7</v>
      </c>
      <c r="S127" s="217">
        <f>S128+S132+S159</f>
        <v>21625.7</v>
      </c>
    </row>
    <row r="128" spans="1:19" s="179" customFormat="1" ht="26.25" customHeight="1">
      <c r="A128" s="142"/>
      <c r="B128" s="143"/>
      <c r="C128" s="153"/>
      <c r="D128" s="235"/>
      <c r="E128" s="166"/>
      <c r="F128" s="166"/>
      <c r="G128" s="136"/>
      <c r="H128" s="311" t="s">
        <v>352</v>
      </c>
      <c r="I128" s="152">
        <v>27</v>
      </c>
      <c r="J128" s="148">
        <v>4</v>
      </c>
      <c r="K128" s="148">
        <v>8</v>
      </c>
      <c r="L128" s="140"/>
      <c r="M128" s="141"/>
      <c r="N128" s="141"/>
      <c r="O128" s="141"/>
      <c r="P128" s="138"/>
      <c r="Q128" s="213">
        <f aca="true" t="shared" si="8" ref="Q128:S130">Q129</f>
        <v>600</v>
      </c>
      <c r="R128" s="213">
        <f t="shared" si="8"/>
        <v>600</v>
      </c>
      <c r="S128" s="213">
        <f t="shared" si="8"/>
        <v>600</v>
      </c>
    </row>
    <row r="129" spans="1:19" s="179" customFormat="1" ht="26.25" customHeight="1">
      <c r="A129" s="142"/>
      <c r="B129" s="143"/>
      <c r="C129" s="153"/>
      <c r="D129" s="235"/>
      <c r="E129" s="166"/>
      <c r="F129" s="166"/>
      <c r="G129" s="136"/>
      <c r="H129" s="11" t="s">
        <v>299</v>
      </c>
      <c r="I129" s="6">
        <v>27</v>
      </c>
      <c r="J129" s="7">
        <v>4</v>
      </c>
      <c r="K129" s="7">
        <v>8</v>
      </c>
      <c r="L129" s="95" t="s">
        <v>580</v>
      </c>
      <c r="M129" s="96" t="s">
        <v>563</v>
      </c>
      <c r="N129" s="96" t="s">
        <v>583</v>
      </c>
      <c r="O129" s="96" t="s">
        <v>620</v>
      </c>
      <c r="P129" s="138"/>
      <c r="Q129" s="213">
        <f t="shared" si="8"/>
        <v>600</v>
      </c>
      <c r="R129" s="213">
        <f t="shared" si="8"/>
        <v>600</v>
      </c>
      <c r="S129" s="213">
        <f t="shared" si="8"/>
        <v>600</v>
      </c>
    </row>
    <row r="130" spans="1:19" ht="26.25" customHeight="1">
      <c r="A130" s="99"/>
      <c r="B130" s="98"/>
      <c r="C130" s="103"/>
      <c r="D130" s="111"/>
      <c r="E130" s="114"/>
      <c r="F130" s="114"/>
      <c r="G130" s="89"/>
      <c r="H130" s="30" t="s">
        <v>746</v>
      </c>
      <c r="I130" s="8">
        <v>27</v>
      </c>
      <c r="J130" s="7">
        <v>4</v>
      </c>
      <c r="K130" s="7">
        <v>8</v>
      </c>
      <c r="L130" s="95" t="s">
        <v>580</v>
      </c>
      <c r="M130" s="96" t="s">
        <v>563</v>
      </c>
      <c r="N130" s="96" t="s">
        <v>583</v>
      </c>
      <c r="O130" s="96" t="s">
        <v>727</v>
      </c>
      <c r="P130" s="10"/>
      <c r="Q130" s="214">
        <f t="shared" si="8"/>
        <v>600</v>
      </c>
      <c r="R130" s="214">
        <f t="shared" si="8"/>
        <v>600</v>
      </c>
      <c r="S130" s="214">
        <f t="shared" si="8"/>
        <v>600</v>
      </c>
    </row>
    <row r="131" spans="1:19" ht="28.5" customHeight="1">
      <c r="A131" s="99"/>
      <c r="B131" s="98"/>
      <c r="C131" s="103"/>
      <c r="D131" s="111"/>
      <c r="E131" s="114"/>
      <c r="F131" s="114"/>
      <c r="G131" s="89"/>
      <c r="H131" s="30" t="s">
        <v>720</v>
      </c>
      <c r="I131" s="8">
        <v>27</v>
      </c>
      <c r="J131" s="7">
        <v>4</v>
      </c>
      <c r="K131" s="7">
        <v>8</v>
      </c>
      <c r="L131" s="95" t="s">
        <v>580</v>
      </c>
      <c r="M131" s="96" t="s">
        <v>563</v>
      </c>
      <c r="N131" s="96" t="s">
        <v>583</v>
      </c>
      <c r="O131" s="96" t="s">
        <v>727</v>
      </c>
      <c r="P131" s="10">
        <v>240</v>
      </c>
      <c r="Q131" s="214">
        <v>600</v>
      </c>
      <c r="R131" s="214">
        <v>600</v>
      </c>
      <c r="S131" s="216">
        <v>600</v>
      </c>
    </row>
    <row r="132" spans="1:19" s="179" customFormat="1" ht="24.75" customHeight="1">
      <c r="A132" s="142"/>
      <c r="B132" s="143"/>
      <c r="C132" s="153"/>
      <c r="D132" s="150"/>
      <c r="E132" s="154"/>
      <c r="F132" s="154"/>
      <c r="G132" s="155">
        <v>321</v>
      </c>
      <c r="H132" s="149" t="s">
        <v>337</v>
      </c>
      <c r="I132" s="152">
        <v>27</v>
      </c>
      <c r="J132" s="148">
        <v>4</v>
      </c>
      <c r="K132" s="148">
        <v>9</v>
      </c>
      <c r="L132" s="140"/>
      <c r="M132" s="141"/>
      <c r="N132" s="141"/>
      <c r="O132" s="141"/>
      <c r="P132" s="146"/>
      <c r="Q132" s="217" t="e">
        <f>Q133</f>
        <v>#REF!</v>
      </c>
      <c r="R132" s="217">
        <f>R133</f>
        <v>13020.7</v>
      </c>
      <c r="S132" s="217">
        <f>S146</f>
        <v>13445.7</v>
      </c>
    </row>
    <row r="133" spans="1:19" ht="35.25" customHeight="1">
      <c r="A133" s="99"/>
      <c r="B133" s="98"/>
      <c r="C133" s="103"/>
      <c r="D133" s="101"/>
      <c r="E133" s="113"/>
      <c r="F133" s="113"/>
      <c r="G133" s="105">
        <v>530</v>
      </c>
      <c r="H133" s="5" t="s">
        <v>774</v>
      </c>
      <c r="I133" s="10">
        <v>27</v>
      </c>
      <c r="J133" s="7">
        <v>4</v>
      </c>
      <c r="K133" s="7">
        <v>9</v>
      </c>
      <c r="L133" s="95" t="s">
        <v>588</v>
      </c>
      <c r="M133" s="96" t="s">
        <v>563</v>
      </c>
      <c r="N133" s="96" t="s">
        <v>583</v>
      </c>
      <c r="O133" s="96" t="s">
        <v>620</v>
      </c>
      <c r="P133" s="6"/>
      <c r="Q133" s="216" t="e">
        <f>Q134+#REF!+Q137+Q143+#REF!+Q140</f>
        <v>#REF!</v>
      </c>
      <c r="R133" s="216">
        <f>R134+R137+R143+R140</f>
        <v>13020.7</v>
      </c>
      <c r="S133" s="216">
        <f>S134+S137+S143+S140</f>
        <v>0</v>
      </c>
    </row>
    <row r="134" spans="1:19" ht="29.25" customHeight="1">
      <c r="A134" s="99"/>
      <c r="B134" s="98"/>
      <c r="C134" s="103"/>
      <c r="D134" s="101"/>
      <c r="E134" s="113"/>
      <c r="F134" s="113"/>
      <c r="G134" s="105"/>
      <c r="H134" s="11" t="s">
        <v>661</v>
      </c>
      <c r="I134" s="10">
        <v>27</v>
      </c>
      <c r="J134" s="7">
        <v>4</v>
      </c>
      <c r="K134" s="7">
        <v>9</v>
      </c>
      <c r="L134" s="95" t="s">
        <v>588</v>
      </c>
      <c r="M134" s="96" t="s">
        <v>563</v>
      </c>
      <c r="N134" s="96" t="s">
        <v>564</v>
      </c>
      <c r="O134" s="96" t="s">
        <v>620</v>
      </c>
      <c r="P134" s="6"/>
      <c r="Q134" s="216" t="e">
        <f>Q135</f>
        <v>#REF!</v>
      </c>
      <c r="R134" s="216">
        <f>R135</f>
        <v>1428</v>
      </c>
      <c r="S134" s="216">
        <f>S135</f>
        <v>0</v>
      </c>
    </row>
    <row r="135" spans="1:19" ht="35.25" customHeight="1">
      <c r="A135" s="99"/>
      <c r="B135" s="98"/>
      <c r="C135" s="103"/>
      <c r="D135" s="101"/>
      <c r="E135" s="113"/>
      <c r="F135" s="113"/>
      <c r="G135" s="105"/>
      <c r="H135" s="11" t="s">
        <v>740</v>
      </c>
      <c r="I135" s="10">
        <v>27</v>
      </c>
      <c r="J135" s="7">
        <v>4</v>
      </c>
      <c r="K135" s="7">
        <v>9</v>
      </c>
      <c r="L135" s="95" t="s">
        <v>588</v>
      </c>
      <c r="M135" s="96" t="s">
        <v>563</v>
      </c>
      <c r="N135" s="96" t="s">
        <v>564</v>
      </c>
      <c r="O135" s="96" t="s">
        <v>349</v>
      </c>
      <c r="P135" s="6"/>
      <c r="Q135" s="216" t="e">
        <f>Q136+#REF!</f>
        <v>#REF!</v>
      </c>
      <c r="R135" s="216">
        <f>R136</f>
        <v>1428</v>
      </c>
      <c r="S135" s="216">
        <f>S136</f>
        <v>0</v>
      </c>
    </row>
    <row r="136" spans="1:19" ht="26.25" customHeight="1">
      <c r="A136" s="99"/>
      <c r="B136" s="98"/>
      <c r="C136" s="103"/>
      <c r="D136" s="101"/>
      <c r="E136" s="113"/>
      <c r="F136" s="113"/>
      <c r="G136" s="105"/>
      <c r="H136" s="30" t="s">
        <v>720</v>
      </c>
      <c r="I136" s="10">
        <v>27</v>
      </c>
      <c r="J136" s="7">
        <v>4</v>
      </c>
      <c r="K136" s="7">
        <v>9</v>
      </c>
      <c r="L136" s="95" t="s">
        <v>588</v>
      </c>
      <c r="M136" s="96" t="s">
        <v>563</v>
      </c>
      <c r="N136" s="96" t="s">
        <v>564</v>
      </c>
      <c r="O136" s="96" t="s">
        <v>349</v>
      </c>
      <c r="P136" s="6">
        <v>240</v>
      </c>
      <c r="Q136" s="216">
        <v>10533.2</v>
      </c>
      <c r="R136" s="216">
        <v>1428</v>
      </c>
      <c r="S136" s="216">
        <v>0</v>
      </c>
    </row>
    <row r="137" spans="1:19" ht="24.75" customHeight="1">
      <c r="A137" s="99"/>
      <c r="B137" s="98"/>
      <c r="C137" s="103"/>
      <c r="D137" s="101"/>
      <c r="E137" s="104"/>
      <c r="F137" s="104"/>
      <c r="G137" s="105"/>
      <c r="H137" s="5" t="s">
        <v>256</v>
      </c>
      <c r="I137" s="13">
        <v>27</v>
      </c>
      <c r="J137" s="7">
        <v>4</v>
      </c>
      <c r="K137" s="7">
        <v>9</v>
      </c>
      <c r="L137" s="95" t="s">
        <v>588</v>
      </c>
      <c r="M137" s="96" t="s">
        <v>563</v>
      </c>
      <c r="N137" s="96" t="s">
        <v>593</v>
      </c>
      <c r="O137" s="96" t="s">
        <v>620</v>
      </c>
      <c r="P137" s="6"/>
      <c r="Q137" s="216">
        <f aca="true" t="shared" si="9" ref="Q137:S138">Q138</f>
        <v>6728.8</v>
      </c>
      <c r="R137" s="216">
        <f t="shared" si="9"/>
        <v>10491</v>
      </c>
      <c r="S137" s="216">
        <f t="shared" si="9"/>
        <v>0</v>
      </c>
    </row>
    <row r="138" spans="1:19" ht="24.75" customHeight="1">
      <c r="A138" s="99"/>
      <c r="B138" s="98"/>
      <c r="C138" s="103"/>
      <c r="D138" s="101"/>
      <c r="E138" s="104"/>
      <c r="F138" s="104"/>
      <c r="G138" s="105"/>
      <c r="H138" s="5" t="s">
        <v>762</v>
      </c>
      <c r="I138" s="13">
        <v>27</v>
      </c>
      <c r="J138" s="7">
        <v>4</v>
      </c>
      <c r="K138" s="7">
        <v>9</v>
      </c>
      <c r="L138" s="95" t="s">
        <v>588</v>
      </c>
      <c r="M138" s="96" t="s">
        <v>563</v>
      </c>
      <c r="N138" s="96" t="s">
        <v>593</v>
      </c>
      <c r="O138" s="96" t="s">
        <v>761</v>
      </c>
      <c r="P138" s="6"/>
      <c r="Q138" s="216">
        <f t="shared" si="9"/>
        <v>6728.8</v>
      </c>
      <c r="R138" s="216">
        <f t="shared" si="9"/>
        <v>10491</v>
      </c>
      <c r="S138" s="216">
        <f t="shared" si="9"/>
        <v>0</v>
      </c>
    </row>
    <row r="139" spans="1:19" ht="24.75" customHeight="1">
      <c r="A139" s="99"/>
      <c r="B139" s="98"/>
      <c r="C139" s="103"/>
      <c r="D139" s="101"/>
      <c r="E139" s="104"/>
      <c r="F139" s="104"/>
      <c r="G139" s="105"/>
      <c r="H139" s="5" t="s">
        <v>720</v>
      </c>
      <c r="I139" s="13">
        <v>27</v>
      </c>
      <c r="J139" s="7">
        <v>4</v>
      </c>
      <c r="K139" s="7">
        <v>9</v>
      </c>
      <c r="L139" s="95" t="s">
        <v>588</v>
      </c>
      <c r="M139" s="96" t="s">
        <v>563</v>
      </c>
      <c r="N139" s="96" t="s">
        <v>593</v>
      </c>
      <c r="O139" s="96" t="s">
        <v>761</v>
      </c>
      <c r="P139" s="6">
        <v>240</v>
      </c>
      <c r="Q139" s="216">
        <v>6728.8</v>
      </c>
      <c r="R139" s="216">
        <v>10491</v>
      </c>
      <c r="S139" s="216">
        <v>0</v>
      </c>
    </row>
    <row r="140" spans="1:19" ht="35.25" customHeight="1">
      <c r="A140" s="99"/>
      <c r="B140" s="98"/>
      <c r="C140" s="97"/>
      <c r="D140" s="94"/>
      <c r="E140" s="94"/>
      <c r="F140" s="94"/>
      <c r="G140" s="89"/>
      <c r="H140" s="5" t="s">
        <v>784</v>
      </c>
      <c r="I140" s="10">
        <v>664</v>
      </c>
      <c r="J140" s="7">
        <v>4</v>
      </c>
      <c r="K140" s="7">
        <v>9</v>
      </c>
      <c r="L140" s="95" t="s">
        <v>588</v>
      </c>
      <c r="M140" s="96" t="s">
        <v>563</v>
      </c>
      <c r="N140" s="96" t="s">
        <v>588</v>
      </c>
      <c r="O140" s="96" t="s">
        <v>620</v>
      </c>
      <c r="P140" s="23"/>
      <c r="Q140" s="219">
        <f aca="true" t="shared" si="10" ref="Q140:S141">Q141</f>
        <v>200</v>
      </c>
      <c r="R140" s="219">
        <f t="shared" si="10"/>
        <v>200</v>
      </c>
      <c r="S140" s="219">
        <f t="shared" si="10"/>
        <v>0</v>
      </c>
    </row>
    <row r="141" spans="1:19" ht="23.25" customHeight="1">
      <c r="A141" s="99"/>
      <c r="B141" s="98"/>
      <c r="C141" s="97"/>
      <c r="D141" s="94"/>
      <c r="E141" s="94"/>
      <c r="F141" s="94"/>
      <c r="G141" s="89"/>
      <c r="H141" s="5" t="s">
        <v>785</v>
      </c>
      <c r="I141" s="10">
        <v>664</v>
      </c>
      <c r="J141" s="7">
        <v>4</v>
      </c>
      <c r="K141" s="7">
        <v>9</v>
      </c>
      <c r="L141" s="95" t="s">
        <v>588</v>
      </c>
      <c r="M141" s="96" t="s">
        <v>563</v>
      </c>
      <c r="N141" s="96" t="s">
        <v>588</v>
      </c>
      <c r="O141" s="96" t="s">
        <v>761</v>
      </c>
      <c r="P141" s="23"/>
      <c r="Q141" s="219">
        <f t="shared" si="10"/>
        <v>200</v>
      </c>
      <c r="R141" s="219">
        <f t="shared" si="10"/>
        <v>200</v>
      </c>
      <c r="S141" s="219">
        <f t="shared" si="10"/>
        <v>0</v>
      </c>
    </row>
    <row r="142" spans="1:19" ht="20.25" customHeight="1">
      <c r="A142" s="99"/>
      <c r="B142" s="98"/>
      <c r="C142" s="97"/>
      <c r="D142" s="94"/>
      <c r="E142" s="94"/>
      <c r="F142" s="94"/>
      <c r="G142" s="89"/>
      <c r="H142" s="5" t="s">
        <v>773</v>
      </c>
      <c r="I142" s="10">
        <v>664</v>
      </c>
      <c r="J142" s="7">
        <v>4</v>
      </c>
      <c r="K142" s="7">
        <v>9</v>
      </c>
      <c r="L142" s="95" t="s">
        <v>588</v>
      </c>
      <c r="M142" s="96" t="s">
        <v>563</v>
      </c>
      <c r="N142" s="96" t="s">
        <v>588</v>
      </c>
      <c r="O142" s="96" t="s">
        <v>761</v>
      </c>
      <c r="P142" s="23">
        <v>240</v>
      </c>
      <c r="Q142" s="219">
        <v>200</v>
      </c>
      <c r="R142" s="219">
        <v>200</v>
      </c>
      <c r="S142" s="219">
        <v>0</v>
      </c>
    </row>
    <row r="143" spans="1:19" ht="30.75" customHeight="1">
      <c r="A143" s="99"/>
      <c r="B143" s="98"/>
      <c r="C143" s="103"/>
      <c r="D143" s="101"/>
      <c r="E143" s="104"/>
      <c r="F143" s="104"/>
      <c r="G143" s="105"/>
      <c r="H143" s="5" t="s">
        <v>163</v>
      </c>
      <c r="I143" s="13">
        <v>27</v>
      </c>
      <c r="J143" s="7">
        <v>4</v>
      </c>
      <c r="K143" s="7">
        <v>9</v>
      </c>
      <c r="L143" s="95" t="s">
        <v>588</v>
      </c>
      <c r="M143" s="96" t="s">
        <v>563</v>
      </c>
      <c r="N143" s="96" t="s">
        <v>566</v>
      </c>
      <c r="O143" s="96" t="s">
        <v>620</v>
      </c>
      <c r="P143" s="6"/>
      <c r="Q143" s="216" t="e">
        <f>Q144</f>
        <v>#REF!</v>
      </c>
      <c r="R143" s="216">
        <f>R144</f>
        <v>901.7</v>
      </c>
      <c r="S143" s="216">
        <f>S144</f>
        <v>0</v>
      </c>
    </row>
    <row r="144" spans="1:19" ht="31.5" customHeight="1">
      <c r="A144" s="99"/>
      <c r="B144" s="98"/>
      <c r="C144" s="103"/>
      <c r="D144" s="101"/>
      <c r="E144" s="104"/>
      <c r="F144" s="104"/>
      <c r="G144" s="105"/>
      <c r="H144" s="5" t="s">
        <v>274</v>
      </c>
      <c r="I144" s="13">
        <v>27</v>
      </c>
      <c r="J144" s="7">
        <v>4</v>
      </c>
      <c r="K144" s="7">
        <v>9</v>
      </c>
      <c r="L144" s="95" t="s">
        <v>588</v>
      </c>
      <c r="M144" s="96" t="s">
        <v>563</v>
      </c>
      <c r="N144" s="96" t="s">
        <v>566</v>
      </c>
      <c r="O144" s="96" t="s">
        <v>273</v>
      </c>
      <c r="P144" s="6"/>
      <c r="Q144" s="216" t="e">
        <f>#REF!</f>
        <v>#REF!</v>
      </c>
      <c r="R144" s="216">
        <f>R145</f>
        <v>901.7</v>
      </c>
      <c r="S144" s="216">
        <f>S145</f>
        <v>0</v>
      </c>
    </row>
    <row r="145" spans="1:19" ht="31.5" customHeight="1">
      <c r="A145" s="99"/>
      <c r="B145" s="98"/>
      <c r="C145" s="103"/>
      <c r="D145" s="101"/>
      <c r="E145" s="104"/>
      <c r="F145" s="104"/>
      <c r="G145" s="105"/>
      <c r="H145" s="5" t="s">
        <v>720</v>
      </c>
      <c r="I145" s="13">
        <v>27</v>
      </c>
      <c r="J145" s="7">
        <v>4</v>
      </c>
      <c r="K145" s="7">
        <v>9</v>
      </c>
      <c r="L145" s="95" t="s">
        <v>588</v>
      </c>
      <c r="M145" s="96" t="s">
        <v>563</v>
      </c>
      <c r="N145" s="96" t="s">
        <v>566</v>
      </c>
      <c r="O145" s="96" t="s">
        <v>273</v>
      </c>
      <c r="P145" s="6">
        <v>240</v>
      </c>
      <c r="Q145" s="216"/>
      <c r="R145" s="216">
        <v>901.7</v>
      </c>
      <c r="S145" s="216">
        <v>0</v>
      </c>
    </row>
    <row r="146" spans="1:19" ht="35.25" customHeight="1">
      <c r="A146" s="99"/>
      <c r="B146" s="98"/>
      <c r="C146" s="103"/>
      <c r="D146" s="101"/>
      <c r="E146" s="113"/>
      <c r="F146" s="113"/>
      <c r="G146" s="105">
        <v>530</v>
      </c>
      <c r="H146" s="5" t="s">
        <v>382</v>
      </c>
      <c r="I146" s="10">
        <v>27</v>
      </c>
      <c r="J146" s="7">
        <v>4</v>
      </c>
      <c r="K146" s="7">
        <v>9</v>
      </c>
      <c r="L146" s="95" t="s">
        <v>710</v>
      </c>
      <c r="M146" s="96" t="s">
        <v>563</v>
      </c>
      <c r="N146" s="96" t="s">
        <v>583</v>
      </c>
      <c r="O146" s="96" t="s">
        <v>620</v>
      </c>
      <c r="P146" s="6"/>
      <c r="Q146" s="216" t="e">
        <f>Q147+#REF!+Q150+Q156+#REF!+Q153</f>
        <v>#REF!</v>
      </c>
      <c r="R146" s="216">
        <f>R147+R150+R156+R153</f>
        <v>0</v>
      </c>
      <c r="S146" s="216">
        <f>S147+S150+S156+S153</f>
        <v>13445.7</v>
      </c>
    </row>
    <row r="147" spans="1:19" ht="29.25" customHeight="1">
      <c r="A147" s="99"/>
      <c r="B147" s="98"/>
      <c r="C147" s="103"/>
      <c r="D147" s="101"/>
      <c r="E147" s="113"/>
      <c r="F147" s="113"/>
      <c r="G147" s="105"/>
      <c r="H147" s="11" t="s">
        <v>661</v>
      </c>
      <c r="I147" s="10">
        <v>27</v>
      </c>
      <c r="J147" s="7">
        <v>4</v>
      </c>
      <c r="K147" s="7">
        <v>9</v>
      </c>
      <c r="L147" s="95" t="s">
        <v>710</v>
      </c>
      <c r="M147" s="96" t="s">
        <v>563</v>
      </c>
      <c r="N147" s="96" t="s">
        <v>564</v>
      </c>
      <c r="O147" s="96" t="s">
        <v>620</v>
      </c>
      <c r="P147" s="6"/>
      <c r="Q147" s="216" t="e">
        <f>Q148</f>
        <v>#REF!</v>
      </c>
      <c r="R147" s="216">
        <f>R148</f>
        <v>0</v>
      </c>
      <c r="S147" s="216">
        <f>S148</f>
        <v>1428</v>
      </c>
    </row>
    <row r="148" spans="1:19" ht="35.25" customHeight="1">
      <c r="A148" s="99"/>
      <c r="B148" s="98"/>
      <c r="C148" s="103"/>
      <c r="D148" s="101"/>
      <c r="E148" s="113"/>
      <c r="F148" s="113"/>
      <c r="G148" s="105"/>
      <c r="H148" s="11" t="s">
        <v>740</v>
      </c>
      <c r="I148" s="10">
        <v>27</v>
      </c>
      <c r="J148" s="7">
        <v>4</v>
      </c>
      <c r="K148" s="7">
        <v>9</v>
      </c>
      <c r="L148" s="95" t="s">
        <v>710</v>
      </c>
      <c r="M148" s="96" t="s">
        <v>563</v>
      </c>
      <c r="N148" s="96" t="s">
        <v>564</v>
      </c>
      <c r="O148" s="96" t="s">
        <v>349</v>
      </c>
      <c r="P148" s="6"/>
      <c r="Q148" s="216" t="e">
        <f>Q149+#REF!</f>
        <v>#REF!</v>
      </c>
      <c r="R148" s="216">
        <f>R149</f>
        <v>0</v>
      </c>
      <c r="S148" s="216">
        <f>S149</f>
        <v>1428</v>
      </c>
    </row>
    <row r="149" spans="1:19" ht="26.25" customHeight="1">
      <c r="A149" s="99"/>
      <c r="B149" s="98"/>
      <c r="C149" s="103"/>
      <c r="D149" s="101"/>
      <c r="E149" s="113"/>
      <c r="F149" s="113"/>
      <c r="G149" s="105"/>
      <c r="H149" s="30" t="s">
        <v>720</v>
      </c>
      <c r="I149" s="10">
        <v>27</v>
      </c>
      <c r="J149" s="7">
        <v>4</v>
      </c>
      <c r="K149" s="7">
        <v>9</v>
      </c>
      <c r="L149" s="95" t="s">
        <v>710</v>
      </c>
      <c r="M149" s="96" t="s">
        <v>563</v>
      </c>
      <c r="N149" s="96" t="s">
        <v>564</v>
      </c>
      <c r="O149" s="96" t="s">
        <v>349</v>
      </c>
      <c r="P149" s="6">
        <v>240</v>
      </c>
      <c r="Q149" s="216">
        <v>10533.2</v>
      </c>
      <c r="R149" s="216">
        <v>0</v>
      </c>
      <c r="S149" s="216">
        <v>1428</v>
      </c>
    </row>
    <row r="150" spans="1:19" ht="24.75" customHeight="1">
      <c r="A150" s="99"/>
      <c r="B150" s="98"/>
      <c r="C150" s="103"/>
      <c r="D150" s="101"/>
      <c r="E150" s="104"/>
      <c r="F150" s="104"/>
      <c r="G150" s="105"/>
      <c r="H150" s="5" t="s">
        <v>256</v>
      </c>
      <c r="I150" s="13">
        <v>27</v>
      </c>
      <c r="J150" s="7">
        <v>4</v>
      </c>
      <c r="K150" s="7">
        <v>9</v>
      </c>
      <c r="L150" s="95" t="s">
        <v>710</v>
      </c>
      <c r="M150" s="96" t="s">
        <v>563</v>
      </c>
      <c r="N150" s="96" t="s">
        <v>593</v>
      </c>
      <c r="O150" s="96" t="s">
        <v>620</v>
      </c>
      <c r="P150" s="6"/>
      <c r="Q150" s="216">
        <f aca="true" t="shared" si="11" ref="Q150:S151">Q151</f>
        <v>6728.8</v>
      </c>
      <c r="R150" s="216">
        <f t="shared" si="11"/>
        <v>0</v>
      </c>
      <c r="S150" s="216">
        <f t="shared" si="11"/>
        <v>10916</v>
      </c>
    </row>
    <row r="151" spans="1:19" ht="24.75" customHeight="1">
      <c r="A151" s="99"/>
      <c r="B151" s="98"/>
      <c r="C151" s="103"/>
      <c r="D151" s="101"/>
      <c r="E151" s="104"/>
      <c r="F151" s="104"/>
      <c r="G151" s="105"/>
      <c r="H151" s="5" t="s">
        <v>762</v>
      </c>
      <c r="I151" s="13">
        <v>27</v>
      </c>
      <c r="J151" s="7">
        <v>4</v>
      </c>
      <c r="K151" s="7">
        <v>9</v>
      </c>
      <c r="L151" s="95" t="s">
        <v>710</v>
      </c>
      <c r="M151" s="96" t="s">
        <v>563</v>
      </c>
      <c r="N151" s="96" t="s">
        <v>593</v>
      </c>
      <c r="O151" s="96" t="s">
        <v>761</v>
      </c>
      <c r="P151" s="6"/>
      <c r="Q151" s="216">
        <f t="shared" si="11"/>
        <v>6728.8</v>
      </c>
      <c r="R151" s="216">
        <f t="shared" si="11"/>
        <v>0</v>
      </c>
      <c r="S151" s="216">
        <f t="shared" si="11"/>
        <v>10916</v>
      </c>
    </row>
    <row r="152" spans="1:19" ht="24.75" customHeight="1">
      <c r="A152" s="99"/>
      <c r="B152" s="98"/>
      <c r="C152" s="103"/>
      <c r="D152" s="101"/>
      <c r="E152" s="104"/>
      <c r="F152" s="104"/>
      <c r="G152" s="105"/>
      <c r="H152" s="5" t="s">
        <v>720</v>
      </c>
      <c r="I152" s="13">
        <v>27</v>
      </c>
      <c r="J152" s="7">
        <v>4</v>
      </c>
      <c r="K152" s="7">
        <v>9</v>
      </c>
      <c r="L152" s="95" t="s">
        <v>710</v>
      </c>
      <c r="M152" s="96" t="s">
        <v>563</v>
      </c>
      <c r="N152" s="96" t="s">
        <v>593</v>
      </c>
      <c r="O152" s="96" t="s">
        <v>761</v>
      </c>
      <c r="P152" s="6">
        <v>240</v>
      </c>
      <c r="Q152" s="216">
        <v>6728.8</v>
      </c>
      <c r="R152" s="216">
        <v>0</v>
      </c>
      <c r="S152" s="216">
        <v>10916</v>
      </c>
    </row>
    <row r="153" spans="1:19" ht="35.25" customHeight="1">
      <c r="A153" s="99"/>
      <c r="B153" s="98"/>
      <c r="C153" s="97"/>
      <c r="D153" s="94"/>
      <c r="E153" s="94"/>
      <c r="F153" s="94"/>
      <c r="G153" s="89"/>
      <c r="H153" s="5" t="s">
        <v>776</v>
      </c>
      <c r="I153" s="10">
        <v>664</v>
      </c>
      <c r="J153" s="7">
        <v>4</v>
      </c>
      <c r="K153" s="7">
        <v>9</v>
      </c>
      <c r="L153" s="95" t="s">
        <v>710</v>
      </c>
      <c r="M153" s="96" t="s">
        <v>563</v>
      </c>
      <c r="N153" s="96" t="s">
        <v>588</v>
      </c>
      <c r="O153" s="96" t="s">
        <v>620</v>
      </c>
      <c r="P153" s="23"/>
      <c r="Q153" s="219">
        <f aca="true" t="shared" si="12" ref="Q153:S154">Q154</f>
        <v>200</v>
      </c>
      <c r="R153" s="219">
        <f t="shared" si="12"/>
        <v>0</v>
      </c>
      <c r="S153" s="219">
        <f t="shared" si="12"/>
        <v>200</v>
      </c>
    </row>
    <row r="154" spans="1:19" ht="23.25" customHeight="1">
      <c r="A154" s="99"/>
      <c r="B154" s="98"/>
      <c r="C154" s="97"/>
      <c r="D154" s="94"/>
      <c r="E154" s="94"/>
      <c r="F154" s="94"/>
      <c r="G154" s="89"/>
      <c r="H154" s="5" t="s">
        <v>785</v>
      </c>
      <c r="I154" s="10">
        <v>664</v>
      </c>
      <c r="J154" s="7">
        <v>4</v>
      </c>
      <c r="K154" s="7">
        <v>9</v>
      </c>
      <c r="L154" s="95" t="s">
        <v>710</v>
      </c>
      <c r="M154" s="96" t="s">
        <v>563</v>
      </c>
      <c r="N154" s="96" t="s">
        <v>588</v>
      </c>
      <c r="O154" s="96" t="s">
        <v>761</v>
      </c>
      <c r="P154" s="23"/>
      <c r="Q154" s="219">
        <f t="shared" si="12"/>
        <v>200</v>
      </c>
      <c r="R154" s="219">
        <f t="shared" si="12"/>
        <v>0</v>
      </c>
      <c r="S154" s="219">
        <f t="shared" si="12"/>
        <v>200</v>
      </c>
    </row>
    <row r="155" spans="1:19" ht="20.25" customHeight="1">
      <c r="A155" s="99"/>
      <c r="B155" s="98"/>
      <c r="C155" s="97"/>
      <c r="D155" s="94"/>
      <c r="E155" s="94"/>
      <c r="F155" s="94"/>
      <c r="G155" s="89"/>
      <c r="H155" s="5" t="s">
        <v>773</v>
      </c>
      <c r="I155" s="10">
        <v>664</v>
      </c>
      <c r="J155" s="7">
        <v>4</v>
      </c>
      <c r="K155" s="7">
        <v>9</v>
      </c>
      <c r="L155" s="95" t="s">
        <v>710</v>
      </c>
      <c r="M155" s="96" t="s">
        <v>563</v>
      </c>
      <c r="N155" s="96" t="s">
        <v>588</v>
      </c>
      <c r="O155" s="96" t="s">
        <v>761</v>
      </c>
      <c r="P155" s="23">
        <v>240</v>
      </c>
      <c r="Q155" s="219">
        <v>200</v>
      </c>
      <c r="R155" s="219">
        <v>0</v>
      </c>
      <c r="S155" s="219">
        <v>200</v>
      </c>
    </row>
    <row r="156" spans="1:19" ht="40.5" customHeight="1">
      <c r="A156" s="99"/>
      <c r="B156" s="98"/>
      <c r="C156" s="103"/>
      <c r="D156" s="101"/>
      <c r="E156" s="104"/>
      <c r="F156" s="104"/>
      <c r="G156" s="105"/>
      <c r="H156" s="5" t="s">
        <v>163</v>
      </c>
      <c r="I156" s="13">
        <v>27</v>
      </c>
      <c r="J156" s="7">
        <v>4</v>
      </c>
      <c r="K156" s="7">
        <v>9</v>
      </c>
      <c r="L156" s="95" t="s">
        <v>710</v>
      </c>
      <c r="M156" s="96" t="s">
        <v>563</v>
      </c>
      <c r="N156" s="96" t="s">
        <v>566</v>
      </c>
      <c r="O156" s="96" t="s">
        <v>620</v>
      </c>
      <c r="P156" s="6"/>
      <c r="Q156" s="216" t="e">
        <f>Q157</f>
        <v>#REF!</v>
      </c>
      <c r="R156" s="216">
        <f>R157</f>
        <v>0</v>
      </c>
      <c r="S156" s="216">
        <f>S157</f>
        <v>901.7</v>
      </c>
    </row>
    <row r="157" spans="1:19" ht="31.5" customHeight="1">
      <c r="A157" s="99"/>
      <c r="B157" s="98"/>
      <c r="C157" s="103"/>
      <c r="D157" s="101"/>
      <c r="E157" s="104"/>
      <c r="F157" s="104"/>
      <c r="G157" s="105"/>
      <c r="H157" s="5" t="s">
        <v>274</v>
      </c>
      <c r="I157" s="13">
        <v>27</v>
      </c>
      <c r="J157" s="7">
        <v>4</v>
      </c>
      <c r="K157" s="7">
        <v>9</v>
      </c>
      <c r="L157" s="95" t="s">
        <v>710</v>
      </c>
      <c r="M157" s="96" t="s">
        <v>563</v>
      </c>
      <c r="N157" s="96" t="s">
        <v>566</v>
      </c>
      <c r="O157" s="96" t="s">
        <v>273</v>
      </c>
      <c r="P157" s="6"/>
      <c r="Q157" s="216" t="e">
        <f>#REF!</f>
        <v>#REF!</v>
      </c>
      <c r="R157" s="216">
        <f>R158</f>
        <v>0</v>
      </c>
      <c r="S157" s="216">
        <f>S158</f>
        <v>901.7</v>
      </c>
    </row>
    <row r="158" spans="1:19" ht="31.5" customHeight="1">
      <c r="A158" s="99"/>
      <c r="B158" s="98"/>
      <c r="C158" s="103"/>
      <c r="D158" s="101"/>
      <c r="E158" s="104"/>
      <c r="F158" s="104"/>
      <c r="G158" s="105"/>
      <c r="H158" s="5" t="s">
        <v>720</v>
      </c>
      <c r="I158" s="13">
        <v>27</v>
      </c>
      <c r="J158" s="7">
        <v>4</v>
      </c>
      <c r="K158" s="7">
        <v>9</v>
      </c>
      <c r="L158" s="95" t="s">
        <v>710</v>
      </c>
      <c r="M158" s="96" t="s">
        <v>563</v>
      </c>
      <c r="N158" s="96" t="s">
        <v>566</v>
      </c>
      <c r="O158" s="96" t="s">
        <v>273</v>
      </c>
      <c r="P158" s="6">
        <v>240</v>
      </c>
      <c r="Q158" s="216"/>
      <c r="R158" s="216">
        <v>0</v>
      </c>
      <c r="S158" s="216">
        <v>901.7</v>
      </c>
    </row>
    <row r="159" spans="1:19" s="179" customFormat="1" ht="24" customHeight="1">
      <c r="A159" s="142"/>
      <c r="B159" s="143"/>
      <c r="C159" s="153"/>
      <c r="D159" s="150"/>
      <c r="E159" s="145"/>
      <c r="F159" s="145"/>
      <c r="G159" s="155">
        <v>850</v>
      </c>
      <c r="H159" s="149" t="s">
        <v>546</v>
      </c>
      <c r="I159" s="152">
        <v>27</v>
      </c>
      <c r="J159" s="148">
        <v>4</v>
      </c>
      <c r="K159" s="148">
        <v>12</v>
      </c>
      <c r="L159" s="140"/>
      <c r="M159" s="141"/>
      <c r="N159" s="141"/>
      <c r="O159" s="141"/>
      <c r="P159" s="146"/>
      <c r="Q159" s="217" t="e">
        <f>Q160+Q172+#REF!+Q176</f>
        <v>#REF!</v>
      </c>
      <c r="R159" s="217">
        <f>R160+R172+R176</f>
        <v>7660</v>
      </c>
      <c r="S159" s="217">
        <f>S160+S172+S176</f>
        <v>7580</v>
      </c>
    </row>
    <row r="160" spans="1:19" ht="40.5" customHeight="1">
      <c r="A160" s="99"/>
      <c r="B160" s="98"/>
      <c r="C160" s="97"/>
      <c r="D160" s="101"/>
      <c r="E160" s="115"/>
      <c r="F160" s="115"/>
      <c r="G160" s="89"/>
      <c r="H160" s="200" t="s">
        <v>383</v>
      </c>
      <c r="I160" s="6">
        <v>27</v>
      </c>
      <c r="J160" s="7">
        <v>4</v>
      </c>
      <c r="K160" s="7">
        <v>12</v>
      </c>
      <c r="L160" s="95" t="s">
        <v>711</v>
      </c>
      <c r="M160" s="96" t="s">
        <v>563</v>
      </c>
      <c r="N160" s="96" t="s">
        <v>583</v>
      </c>
      <c r="O160" s="96" t="s">
        <v>620</v>
      </c>
      <c r="P160" s="6"/>
      <c r="Q160" s="216">
        <f>Q161+Q164+Q169</f>
        <v>6178.1</v>
      </c>
      <c r="R160" s="216">
        <f>R161+R164+R169</f>
        <v>7300</v>
      </c>
      <c r="S160" s="216">
        <f>S161+S164+S169</f>
        <v>7250</v>
      </c>
    </row>
    <row r="161" spans="1:19" ht="36" customHeight="1">
      <c r="A161" s="99"/>
      <c r="B161" s="98"/>
      <c r="C161" s="97"/>
      <c r="D161" s="101"/>
      <c r="E161" s="115"/>
      <c r="F161" s="115"/>
      <c r="G161" s="89"/>
      <c r="H161" s="108" t="s">
        <v>348</v>
      </c>
      <c r="I161" s="6">
        <v>27</v>
      </c>
      <c r="J161" s="7">
        <v>4</v>
      </c>
      <c r="K161" s="7">
        <v>12</v>
      </c>
      <c r="L161" s="95" t="s">
        <v>711</v>
      </c>
      <c r="M161" s="96" t="s">
        <v>563</v>
      </c>
      <c r="N161" s="96" t="s">
        <v>564</v>
      </c>
      <c r="O161" s="96" t="s">
        <v>620</v>
      </c>
      <c r="P161" s="6"/>
      <c r="Q161" s="216">
        <f aca="true" t="shared" si="13" ref="Q161:S162">Q162</f>
        <v>50</v>
      </c>
      <c r="R161" s="216">
        <f t="shared" si="13"/>
        <v>200</v>
      </c>
      <c r="S161" s="216">
        <f t="shared" si="13"/>
        <v>150</v>
      </c>
    </row>
    <row r="162" spans="1:19" ht="21.75" customHeight="1">
      <c r="A162" s="99"/>
      <c r="B162" s="98"/>
      <c r="C162" s="97"/>
      <c r="D162" s="101"/>
      <c r="E162" s="115"/>
      <c r="F162" s="115"/>
      <c r="G162" s="89"/>
      <c r="H162" s="108" t="s">
        <v>262</v>
      </c>
      <c r="I162" s="6">
        <v>27</v>
      </c>
      <c r="J162" s="7">
        <v>4</v>
      </c>
      <c r="K162" s="7">
        <v>12</v>
      </c>
      <c r="L162" s="95" t="s">
        <v>711</v>
      </c>
      <c r="M162" s="96" t="s">
        <v>563</v>
      </c>
      <c r="N162" s="96" t="s">
        <v>564</v>
      </c>
      <c r="O162" s="96" t="s">
        <v>263</v>
      </c>
      <c r="P162" s="6"/>
      <c r="Q162" s="216">
        <f t="shared" si="13"/>
        <v>50</v>
      </c>
      <c r="R162" s="216">
        <f t="shared" si="13"/>
        <v>200</v>
      </c>
      <c r="S162" s="216">
        <f t="shared" si="13"/>
        <v>150</v>
      </c>
    </row>
    <row r="163" spans="1:19" ht="24" customHeight="1">
      <c r="A163" s="99"/>
      <c r="B163" s="98"/>
      <c r="C163" s="97"/>
      <c r="D163" s="101"/>
      <c r="E163" s="115"/>
      <c r="F163" s="115"/>
      <c r="G163" s="89"/>
      <c r="H163" s="108" t="s">
        <v>722</v>
      </c>
      <c r="I163" s="6">
        <v>27</v>
      </c>
      <c r="J163" s="7">
        <v>4</v>
      </c>
      <c r="K163" s="7">
        <v>12</v>
      </c>
      <c r="L163" s="95" t="s">
        <v>711</v>
      </c>
      <c r="M163" s="96" t="s">
        <v>563</v>
      </c>
      <c r="N163" s="96" t="s">
        <v>564</v>
      </c>
      <c r="O163" s="96" t="s">
        <v>263</v>
      </c>
      <c r="P163" s="6">
        <v>610</v>
      </c>
      <c r="Q163" s="216">
        <v>50</v>
      </c>
      <c r="R163" s="216">
        <v>200</v>
      </c>
      <c r="S163" s="216">
        <v>150</v>
      </c>
    </row>
    <row r="164" spans="1:19" ht="27.75" customHeight="1">
      <c r="A164" s="99"/>
      <c r="B164" s="98"/>
      <c r="C164" s="97"/>
      <c r="D164" s="101"/>
      <c r="E164" s="115"/>
      <c r="F164" s="115"/>
      <c r="G164" s="89"/>
      <c r="H164" s="5" t="s">
        <v>659</v>
      </c>
      <c r="I164" s="8">
        <v>27</v>
      </c>
      <c r="J164" s="7">
        <v>4</v>
      </c>
      <c r="K164" s="7">
        <v>12</v>
      </c>
      <c r="L164" s="95" t="s">
        <v>711</v>
      </c>
      <c r="M164" s="96" t="s">
        <v>563</v>
      </c>
      <c r="N164" s="96" t="s">
        <v>566</v>
      </c>
      <c r="O164" s="96" t="s">
        <v>620</v>
      </c>
      <c r="P164" s="6"/>
      <c r="Q164" s="216">
        <f aca="true" t="shared" si="14" ref="Q164:S165">Q165</f>
        <v>6078.1</v>
      </c>
      <c r="R164" s="216">
        <f>R165+R167</f>
        <v>6750</v>
      </c>
      <c r="S164" s="216">
        <f>S165+S167</f>
        <v>6800</v>
      </c>
    </row>
    <row r="165" spans="1:19" ht="27.75" customHeight="1">
      <c r="A165" s="99"/>
      <c r="B165" s="98"/>
      <c r="C165" s="97"/>
      <c r="D165" s="101"/>
      <c r="E165" s="115"/>
      <c r="F165" s="115"/>
      <c r="G165" s="89"/>
      <c r="H165" s="5" t="s">
        <v>262</v>
      </c>
      <c r="I165" s="8">
        <v>27</v>
      </c>
      <c r="J165" s="7">
        <v>4</v>
      </c>
      <c r="K165" s="7">
        <v>12</v>
      </c>
      <c r="L165" s="95" t="s">
        <v>711</v>
      </c>
      <c r="M165" s="96" t="s">
        <v>563</v>
      </c>
      <c r="N165" s="96" t="s">
        <v>566</v>
      </c>
      <c r="O165" s="96" t="s">
        <v>263</v>
      </c>
      <c r="P165" s="6"/>
      <c r="Q165" s="216">
        <f t="shared" si="14"/>
        <v>6078.1</v>
      </c>
      <c r="R165" s="216">
        <f t="shared" si="14"/>
        <v>5881.6</v>
      </c>
      <c r="S165" s="216">
        <f t="shared" si="14"/>
        <v>5689.3</v>
      </c>
    </row>
    <row r="166" spans="1:19" ht="27.75" customHeight="1">
      <c r="A166" s="99"/>
      <c r="B166" s="98"/>
      <c r="C166" s="97"/>
      <c r="D166" s="101"/>
      <c r="E166" s="115"/>
      <c r="F166" s="115"/>
      <c r="G166" s="89"/>
      <c r="H166" s="5" t="s">
        <v>722</v>
      </c>
      <c r="I166" s="8">
        <v>27</v>
      </c>
      <c r="J166" s="7">
        <v>4</v>
      </c>
      <c r="K166" s="7">
        <v>12</v>
      </c>
      <c r="L166" s="95" t="s">
        <v>711</v>
      </c>
      <c r="M166" s="96" t="s">
        <v>563</v>
      </c>
      <c r="N166" s="96" t="s">
        <v>566</v>
      </c>
      <c r="O166" s="96" t="s">
        <v>263</v>
      </c>
      <c r="P166" s="6">
        <v>610</v>
      </c>
      <c r="Q166" s="216">
        <v>6078.1</v>
      </c>
      <c r="R166" s="216">
        <v>5881.6</v>
      </c>
      <c r="S166" s="216">
        <v>5689.3</v>
      </c>
    </row>
    <row r="167" spans="1:19" ht="33.75" customHeight="1">
      <c r="A167" s="99"/>
      <c r="B167" s="98"/>
      <c r="C167" s="97"/>
      <c r="D167" s="101"/>
      <c r="E167" s="115"/>
      <c r="F167" s="115"/>
      <c r="G167" s="89"/>
      <c r="H167" s="5" t="str">
        <f>'Приложение 10'!H134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67" s="8">
        <f>'Приложение 10'!I134</f>
        <v>27</v>
      </c>
      <c r="J167" s="7">
        <f>'Приложение 10'!J134</f>
        <v>4</v>
      </c>
      <c r="K167" s="7">
        <f>'Приложение 10'!K134</f>
        <v>12</v>
      </c>
      <c r="L167" s="95" t="str">
        <f>'Приложение 10'!L134</f>
        <v>31</v>
      </c>
      <c r="M167" s="96" t="str">
        <f>'Приложение 10'!M134</f>
        <v>0</v>
      </c>
      <c r="N167" s="96" t="str">
        <f>'Приложение 10'!N134</f>
        <v>05</v>
      </c>
      <c r="O167" s="96" t="str">
        <f>'Приложение 10'!O134</f>
        <v>70030</v>
      </c>
      <c r="P167" s="6" t="s">
        <v>621</v>
      </c>
      <c r="Q167" s="216">
        <f>'Приложение 10'!Q134</f>
        <v>868.4</v>
      </c>
      <c r="R167" s="216">
        <f>R168</f>
        <v>868.4</v>
      </c>
      <c r="S167" s="216">
        <f>S168</f>
        <v>1110.7</v>
      </c>
    </row>
    <row r="168" spans="1:19" ht="27.75" customHeight="1">
      <c r="A168" s="99"/>
      <c r="B168" s="98"/>
      <c r="C168" s="97"/>
      <c r="D168" s="101"/>
      <c r="E168" s="115"/>
      <c r="F168" s="115"/>
      <c r="G168" s="89"/>
      <c r="H168" s="5" t="str">
        <f>'Приложение 10'!H135</f>
        <v>Субсидии бюджетным учреждениям</v>
      </c>
      <c r="I168" s="8">
        <f>'Приложение 10'!I135</f>
        <v>27</v>
      </c>
      <c r="J168" s="7">
        <f>'Приложение 10'!J135</f>
        <v>4</v>
      </c>
      <c r="K168" s="7">
        <f>'Приложение 10'!K135</f>
        <v>12</v>
      </c>
      <c r="L168" s="95" t="str">
        <f>'Приложение 10'!L135</f>
        <v>31</v>
      </c>
      <c r="M168" s="96" t="str">
        <f>'Приложение 10'!M135</f>
        <v>0</v>
      </c>
      <c r="N168" s="96" t="str">
        <f>'Приложение 10'!N135</f>
        <v>05</v>
      </c>
      <c r="O168" s="96" t="str">
        <f>'Приложение 10'!O135</f>
        <v>70030</v>
      </c>
      <c r="P168" s="6">
        <f>'Приложение 10'!P135</f>
        <v>610</v>
      </c>
      <c r="Q168" s="216">
        <f>'Приложение 10'!Q135</f>
        <v>868.4</v>
      </c>
      <c r="R168" s="216">
        <f>'Приложение 10'!Q135</f>
        <v>868.4</v>
      </c>
      <c r="S168" s="216">
        <f>'Приложение 10'!R135</f>
        <v>1110.7</v>
      </c>
    </row>
    <row r="169" spans="1:19" ht="39" customHeight="1">
      <c r="A169" s="99"/>
      <c r="B169" s="98"/>
      <c r="C169" s="97"/>
      <c r="D169" s="101"/>
      <c r="E169" s="115"/>
      <c r="F169" s="115"/>
      <c r="G169" s="89"/>
      <c r="H169" s="5" t="s">
        <v>286</v>
      </c>
      <c r="I169" s="8">
        <v>27</v>
      </c>
      <c r="J169" s="7">
        <v>4</v>
      </c>
      <c r="K169" s="7">
        <v>12</v>
      </c>
      <c r="L169" s="95" t="s">
        <v>711</v>
      </c>
      <c r="M169" s="96" t="s">
        <v>563</v>
      </c>
      <c r="N169" s="96" t="s">
        <v>568</v>
      </c>
      <c r="O169" s="96" t="s">
        <v>620</v>
      </c>
      <c r="P169" s="6"/>
      <c r="Q169" s="216">
        <f aca="true" t="shared" si="15" ref="Q169:S170">Q170</f>
        <v>50</v>
      </c>
      <c r="R169" s="216">
        <f t="shared" si="15"/>
        <v>350</v>
      </c>
      <c r="S169" s="216">
        <f t="shared" si="15"/>
        <v>300</v>
      </c>
    </row>
    <row r="170" spans="1:19" ht="29.25" customHeight="1">
      <c r="A170" s="99"/>
      <c r="B170" s="98"/>
      <c r="C170" s="97"/>
      <c r="D170" s="101"/>
      <c r="E170" s="115"/>
      <c r="F170" s="115"/>
      <c r="G170" s="89"/>
      <c r="H170" s="5" t="s">
        <v>262</v>
      </c>
      <c r="I170" s="8">
        <v>27</v>
      </c>
      <c r="J170" s="7">
        <v>4</v>
      </c>
      <c r="K170" s="7">
        <v>12</v>
      </c>
      <c r="L170" s="95" t="s">
        <v>711</v>
      </c>
      <c r="M170" s="96" t="s">
        <v>563</v>
      </c>
      <c r="N170" s="96" t="s">
        <v>568</v>
      </c>
      <c r="O170" s="96" t="s">
        <v>263</v>
      </c>
      <c r="P170" s="6"/>
      <c r="Q170" s="216">
        <f t="shared" si="15"/>
        <v>50</v>
      </c>
      <c r="R170" s="216">
        <f t="shared" si="15"/>
        <v>350</v>
      </c>
      <c r="S170" s="216">
        <f t="shared" si="15"/>
        <v>300</v>
      </c>
    </row>
    <row r="171" spans="1:19" ht="20.25" customHeight="1">
      <c r="A171" s="99"/>
      <c r="B171" s="98"/>
      <c r="C171" s="97"/>
      <c r="D171" s="101"/>
      <c r="E171" s="115"/>
      <c r="F171" s="115"/>
      <c r="G171" s="89"/>
      <c r="H171" s="5" t="s">
        <v>722</v>
      </c>
      <c r="I171" s="8">
        <v>27</v>
      </c>
      <c r="J171" s="7">
        <v>4</v>
      </c>
      <c r="K171" s="7">
        <v>12</v>
      </c>
      <c r="L171" s="95" t="s">
        <v>711</v>
      </c>
      <c r="M171" s="96" t="s">
        <v>563</v>
      </c>
      <c r="N171" s="96" t="s">
        <v>568</v>
      </c>
      <c r="O171" s="96" t="s">
        <v>263</v>
      </c>
      <c r="P171" s="6">
        <v>610</v>
      </c>
      <c r="Q171" s="216">
        <v>50</v>
      </c>
      <c r="R171" s="216">
        <v>350</v>
      </c>
      <c r="S171" s="216">
        <v>300</v>
      </c>
    </row>
    <row r="172" spans="1:19" ht="39" customHeight="1">
      <c r="A172" s="99"/>
      <c r="B172" s="98"/>
      <c r="C172" s="97"/>
      <c r="D172" s="101"/>
      <c r="E172" s="115"/>
      <c r="F172" s="115"/>
      <c r="G172" s="89"/>
      <c r="H172" s="117" t="s">
        <v>289</v>
      </c>
      <c r="I172" s="6">
        <v>27</v>
      </c>
      <c r="J172" s="7">
        <v>4</v>
      </c>
      <c r="K172" s="7">
        <v>12</v>
      </c>
      <c r="L172" s="95" t="s">
        <v>558</v>
      </c>
      <c r="M172" s="96" t="s">
        <v>563</v>
      </c>
      <c r="N172" s="96" t="s">
        <v>583</v>
      </c>
      <c r="O172" s="96" t="s">
        <v>620</v>
      </c>
      <c r="P172" s="6"/>
      <c r="Q172" s="216">
        <f aca="true" t="shared" si="16" ref="Q172:S174">Q173</f>
        <v>30</v>
      </c>
      <c r="R172" s="216">
        <f t="shared" si="16"/>
        <v>30</v>
      </c>
      <c r="S172" s="216">
        <f t="shared" si="16"/>
        <v>0</v>
      </c>
    </row>
    <row r="173" spans="1:19" ht="41.25" customHeight="1">
      <c r="A173" s="99"/>
      <c r="B173" s="98"/>
      <c r="C173" s="97"/>
      <c r="D173" s="101"/>
      <c r="E173" s="115"/>
      <c r="F173" s="115"/>
      <c r="G173" s="89"/>
      <c r="H173" s="5" t="s">
        <v>290</v>
      </c>
      <c r="I173" s="6">
        <v>27</v>
      </c>
      <c r="J173" s="7">
        <v>4</v>
      </c>
      <c r="K173" s="7">
        <v>12</v>
      </c>
      <c r="L173" s="95" t="s">
        <v>558</v>
      </c>
      <c r="M173" s="96" t="s">
        <v>563</v>
      </c>
      <c r="N173" s="96" t="s">
        <v>564</v>
      </c>
      <c r="O173" s="96" t="s">
        <v>620</v>
      </c>
      <c r="P173" s="6"/>
      <c r="Q173" s="216">
        <f t="shared" si="16"/>
        <v>30</v>
      </c>
      <c r="R173" s="216">
        <f t="shared" si="16"/>
        <v>30</v>
      </c>
      <c r="S173" s="216">
        <f t="shared" si="16"/>
        <v>0</v>
      </c>
    </row>
    <row r="174" spans="1:19" ht="30.75" customHeight="1">
      <c r="A174" s="99"/>
      <c r="B174" s="98"/>
      <c r="C174" s="97"/>
      <c r="D174" s="101"/>
      <c r="E174" s="115"/>
      <c r="F174" s="115"/>
      <c r="G174" s="89"/>
      <c r="H174" s="5" t="s">
        <v>292</v>
      </c>
      <c r="I174" s="6">
        <v>27</v>
      </c>
      <c r="J174" s="7">
        <v>4</v>
      </c>
      <c r="K174" s="7">
        <v>12</v>
      </c>
      <c r="L174" s="95" t="s">
        <v>558</v>
      </c>
      <c r="M174" s="96" t="s">
        <v>563</v>
      </c>
      <c r="N174" s="96" t="s">
        <v>564</v>
      </c>
      <c r="O174" s="96" t="s">
        <v>291</v>
      </c>
      <c r="P174" s="6"/>
      <c r="Q174" s="216">
        <f t="shared" si="16"/>
        <v>30</v>
      </c>
      <c r="R174" s="216">
        <f t="shared" si="16"/>
        <v>30</v>
      </c>
      <c r="S174" s="216">
        <f t="shared" si="16"/>
        <v>0</v>
      </c>
    </row>
    <row r="175" spans="1:19" ht="29.25" customHeight="1">
      <c r="A175" s="99"/>
      <c r="B175" s="98"/>
      <c r="C175" s="97"/>
      <c r="D175" s="101"/>
      <c r="E175" s="115"/>
      <c r="F175" s="115"/>
      <c r="G175" s="89"/>
      <c r="H175" s="5" t="s">
        <v>720</v>
      </c>
      <c r="I175" s="6">
        <v>27</v>
      </c>
      <c r="J175" s="7">
        <v>4</v>
      </c>
      <c r="K175" s="7">
        <v>12</v>
      </c>
      <c r="L175" s="95" t="s">
        <v>558</v>
      </c>
      <c r="M175" s="96" t="s">
        <v>563</v>
      </c>
      <c r="N175" s="96" t="s">
        <v>564</v>
      </c>
      <c r="O175" s="96" t="s">
        <v>291</v>
      </c>
      <c r="P175" s="6">
        <v>240</v>
      </c>
      <c r="Q175" s="216">
        <v>30</v>
      </c>
      <c r="R175" s="216">
        <v>30</v>
      </c>
      <c r="S175" s="216">
        <v>0</v>
      </c>
    </row>
    <row r="176" spans="1:19" ht="33" customHeight="1">
      <c r="A176" s="99"/>
      <c r="B176" s="98"/>
      <c r="C176" s="97"/>
      <c r="D176" s="101"/>
      <c r="E176" s="115"/>
      <c r="F176" s="115"/>
      <c r="G176" s="89"/>
      <c r="H176" s="11" t="s">
        <v>299</v>
      </c>
      <c r="I176" s="6">
        <v>27</v>
      </c>
      <c r="J176" s="7">
        <v>4</v>
      </c>
      <c r="K176" s="7">
        <v>12</v>
      </c>
      <c r="L176" s="95" t="s">
        <v>580</v>
      </c>
      <c r="M176" s="96" t="s">
        <v>563</v>
      </c>
      <c r="N176" s="96" t="s">
        <v>583</v>
      </c>
      <c r="O176" s="96" t="s">
        <v>620</v>
      </c>
      <c r="P176" s="6"/>
      <c r="Q176" s="216">
        <f aca="true" t="shared" si="17" ref="Q176:S177">Q177</f>
        <v>0</v>
      </c>
      <c r="R176" s="216">
        <f t="shared" si="17"/>
        <v>330</v>
      </c>
      <c r="S176" s="216">
        <f t="shared" si="17"/>
        <v>330</v>
      </c>
    </row>
    <row r="177" spans="1:19" ht="20.25" customHeight="1">
      <c r="A177" s="99"/>
      <c r="B177" s="98"/>
      <c r="C177" s="97"/>
      <c r="D177" s="101"/>
      <c r="E177" s="115"/>
      <c r="F177" s="115"/>
      <c r="G177" s="89"/>
      <c r="H177" s="5" t="s">
        <v>8</v>
      </c>
      <c r="I177" s="8">
        <v>27</v>
      </c>
      <c r="J177" s="7">
        <v>4</v>
      </c>
      <c r="K177" s="7">
        <v>12</v>
      </c>
      <c r="L177" s="95" t="s">
        <v>580</v>
      </c>
      <c r="M177" s="96" t="s">
        <v>563</v>
      </c>
      <c r="N177" s="96" t="s">
        <v>583</v>
      </c>
      <c r="O177" s="96" t="s">
        <v>7</v>
      </c>
      <c r="P177" s="6"/>
      <c r="Q177" s="216">
        <f t="shared" si="17"/>
        <v>0</v>
      </c>
      <c r="R177" s="216">
        <f t="shared" si="17"/>
        <v>330</v>
      </c>
      <c r="S177" s="216">
        <f t="shared" si="17"/>
        <v>330</v>
      </c>
    </row>
    <row r="178" spans="1:19" ht="37.5" customHeight="1">
      <c r="A178" s="99"/>
      <c r="B178" s="98"/>
      <c r="C178" s="97"/>
      <c r="D178" s="101"/>
      <c r="E178" s="115"/>
      <c r="F178" s="115"/>
      <c r="G178" s="89"/>
      <c r="H178" s="5" t="s">
        <v>9</v>
      </c>
      <c r="I178" s="8">
        <v>27</v>
      </c>
      <c r="J178" s="7">
        <v>4</v>
      </c>
      <c r="K178" s="7">
        <v>12</v>
      </c>
      <c r="L178" s="95" t="s">
        <v>580</v>
      </c>
      <c r="M178" s="96" t="s">
        <v>563</v>
      </c>
      <c r="N178" s="96" t="s">
        <v>583</v>
      </c>
      <c r="O178" s="96" t="s">
        <v>7</v>
      </c>
      <c r="P178" s="6">
        <v>810</v>
      </c>
      <c r="Q178" s="216">
        <v>0</v>
      </c>
      <c r="R178" s="216">
        <v>330</v>
      </c>
      <c r="S178" s="216">
        <v>330</v>
      </c>
    </row>
    <row r="179" spans="1:19" s="179" customFormat="1" ht="26.25" customHeight="1">
      <c r="A179" s="142"/>
      <c r="B179" s="143"/>
      <c r="C179" s="142"/>
      <c r="D179" s="150"/>
      <c r="E179" s="151"/>
      <c r="F179" s="151"/>
      <c r="G179" s="136"/>
      <c r="H179" s="312" t="s">
        <v>617</v>
      </c>
      <c r="I179" s="152">
        <v>27</v>
      </c>
      <c r="J179" s="148">
        <v>5</v>
      </c>
      <c r="K179" s="148" t="s">
        <v>621</v>
      </c>
      <c r="L179" s="140"/>
      <c r="M179" s="141"/>
      <c r="N179" s="141"/>
      <c r="O179" s="141"/>
      <c r="P179" s="146"/>
      <c r="Q179" s="217" t="e">
        <f>Q180+#REF!+Q196+Q201</f>
        <v>#REF!</v>
      </c>
      <c r="R179" s="217">
        <f>R180+R196+R201+R189</f>
        <v>47901.2</v>
      </c>
      <c r="S179" s="217">
        <f>S180+S196+S201+S189</f>
        <v>4425.2</v>
      </c>
    </row>
    <row r="180" spans="1:19" s="179" customFormat="1" ht="29.25" customHeight="1">
      <c r="A180" s="142"/>
      <c r="B180" s="143"/>
      <c r="C180" s="142"/>
      <c r="D180" s="150"/>
      <c r="E180" s="151"/>
      <c r="F180" s="151"/>
      <c r="G180" s="136"/>
      <c r="H180" s="312" t="s">
        <v>618</v>
      </c>
      <c r="I180" s="152">
        <v>27</v>
      </c>
      <c r="J180" s="148">
        <v>5</v>
      </c>
      <c r="K180" s="148">
        <v>1</v>
      </c>
      <c r="L180" s="140"/>
      <c r="M180" s="141"/>
      <c r="N180" s="141"/>
      <c r="O180" s="141"/>
      <c r="P180" s="146"/>
      <c r="Q180" s="217">
        <f aca="true" t="shared" si="18" ref="Q180:S181">Q181</f>
        <v>3825.5</v>
      </c>
      <c r="R180" s="217">
        <f t="shared" si="18"/>
        <v>3941.9</v>
      </c>
      <c r="S180" s="217">
        <f t="shared" si="18"/>
        <v>3299.5</v>
      </c>
    </row>
    <row r="181" spans="1:19" ht="39.75" customHeight="1">
      <c r="A181" s="97"/>
      <c r="B181" s="98"/>
      <c r="C181" s="97"/>
      <c r="D181" s="101"/>
      <c r="E181" s="115"/>
      <c r="F181" s="115"/>
      <c r="G181" s="89"/>
      <c r="H181" s="18" t="s">
        <v>816</v>
      </c>
      <c r="I181" s="8">
        <v>27</v>
      </c>
      <c r="J181" s="7">
        <v>5</v>
      </c>
      <c r="K181" s="7">
        <v>1</v>
      </c>
      <c r="L181" s="95" t="s">
        <v>282</v>
      </c>
      <c r="M181" s="96" t="s">
        <v>563</v>
      </c>
      <c r="N181" s="96" t="s">
        <v>583</v>
      </c>
      <c r="O181" s="96" t="s">
        <v>620</v>
      </c>
      <c r="P181" s="6"/>
      <c r="Q181" s="216">
        <f t="shared" si="18"/>
        <v>3825.5</v>
      </c>
      <c r="R181" s="216">
        <f t="shared" si="18"/>
        <v>3941.9</v>
      </c>
      <c r="S181" s="216">
        <f t="shared" si="18"/>
        <v>3299.5</v>
      </c>
    </row>
    <row r="182" spans="1:19" ht="26.25" customHeight="1">
      <c r="A182" s="97"/>
      <c r="B182" s="98"/>
      <c r="C182" s="97"/>
      <c r="D182" s="101"/>
      <c r="E182" s="115"/>
      <c r="F182" s="115"/>
      <c r="G182" s="89"/>
      <c r="H182" s="18" t="s">
        <v>119</v>
      </c>
      <c r="I182" s="8">
        <v>27</v>
      </c>
      <c r="J182" s="7">
        <v>5</v>
      </c>
      <c r="K182" s="7">
        <v>1</v>
      </c>
      <c r="L182" s="95" t="s">
        <v>282</v>
      </c>
      <c r="M182" s="96" t="s">
        <v>563</v>
      </c>
      <c r="N182" s="96" t="s">
        <v>817</v>
      </c>
      <c r="O182" s="96" t="s">
        <v>620</v>
      </c>
      <c r="P182" s="6"/>
      <c r="Q182" s="216">
        <f>Q183+Q185+Q187</f>
        <v>3825.5</v>
      </c>
      <c r="R182" s="216">
        <f>R183+R185+R187</f>
        <v>3941.9</v>
      </c>
      <c r="S182" s="216">
        <f>S183+S185+S187</f>
        <v>3299.5</v>
      </c>
    </row>
    <row r="183" spans="1:19" ht="38.25" customHeight="1" hidden="1">
      <c r="A183" s="99"/>
      <c r="B183" s="98"/>
      <c r="C183" s="97"/>
      <c r="D183" s="101"/>
      <c r="E183" s="115"/>
      <c r="F183" s="115"/>
      <c r="G183" s="89"/>
      <c r="H183" s="18" t="s">
        <v>810</v>
      </c>
      <c r="I183" s="8">
        <v>27</v>
      </c>
      <c r="J183" s="7">
        <v>5</v>
      </c>
      <c r="K183" s="7">
        <v>1</v>
      </c>
      <c r="L183" s="95" t="s">
        <v>282</v>
      </c>
      <c r="M183" s="96" t="s">
        <v>563</v>
      </c>
      <c r="N183" s="96" t="s">
        <v>817</v>
      </c>
      <c r="O183" s="96" t="s">
        <v>820</v>
      </c>
      <c r="P183" s="6"/>
      <c r="Q183" s="216">
        <f>Q184</f>
        <v>0</v>
      </c>
      <c r="R183" s="216"/>
      <c r="S183" s="216"/>
    </row>
    <row r="184" spans="1:19" ht="23.25" customHeight="1" hidden="1">
      <c r="A184" s="99"/>
      <c r="B184" s="98"/>
      <c r="C184" s="97"/>
      <c r="D184" s="101"/>
      <c r="E184" s="115"/>
      <c r="F184" s="115"/>
      <c r="G184" s="89"/>
      <c r="H184" s="18" t="s">
        <v>525</v>
      </c>
      <c r="I184" s="8">
        <v>27</v>
      </c>
      <c r="J184" s="7">
        <v>5</v>
      </c>
      <c r="K184" s="7">
        <v>1</v>
      </c>
      <c r="L184" s="95" t="s">
        <v>282</v>
      </c>
      <c r="M184" s="96" t="s">
        <v>563</v>
      </c>
      <c r="N184" s="96" t="s">
        <v>817</v>
      </c>
      <c r="O184" s="96" t="s">
        <v>820</v>
      </c>
      <c r="P184" s="6">
        <v>410</v>
      </c>
      <c r="Q184" s="214">
        <v>0</v>
      </c>
      <c r="R184" s="216"/>
      <c r="S184" s="216"/>
    </row>
    <row r="185" spans="1:19" ht="39.75" customHeight="1">
      <c r="A185" s="99"/>
      <c r="B185" s="98"/>
      <c r="C185" s="97"/>
      <c r="D185" s="101"/>
      <c r="E185" s="115"/>
      <c r="F185" s="115"/>
      <c r="G185" s="89"/>
      <c r="H185" s="18" t="s">
        <v>811</v>
      </c>
      <c r="I185" s="8">
        <v>27</v>
      </c>
      <c r="J185" s="7">
        <v>5</v>
      </c>
      <c r="K185" s="7">
        <v>1</v>
      </c>
      <c r="L185" s="95" t="s">
        <v>282</v>
      </c>
      <c r="M185" s="96" t="s">
        <v>563</v>
      </c>
      <c r="N185" s="96" t="s">
        <v>817</v>
      </c>
      <c r="O185" s="96" t="s">
        <v>821</v>
      </c>
      <c r="P185" s="6"/>
      <c r="Q185" s="216">
        <f>Q186</f>
        <v>3125.5</v>
      </c>
      <c r="R185" s="216">
        <f>R186</f>
        <v>2941.9</v>
      </c>
      <c r="S185" s="216">
        <f>S186</f>
        <v>2299.5</v>
      </c>
    </row>
    <row r="186" spans="1:19" ht="24" customHeight="1">
      <c r="A186" s="99"/>
      <c r="B186" s="98"/>
      <c r="C186" s="97"/>
      <c r="D186" s="101"/>
      <c r="E186" s="115"/>
      <c r="F186" s="115"/>
      <c r="G186" s="89"/>
      <c r="H186" s="18" t="s">
        <v>525</v>
      </c>
      <c r="I186" s="8">
        <v>27</v>
      </c>
      <c r="J186" s="7">
        <v>5</v>
      </c>
      <c r="K186" s="7">
        <v>1</v>
      </c>
      <c r="L186" s="95" t="s">
        <v>282</v>
      </c>
      <c r="M186" s="96" t="s">
        <v>563</v>
      </c>
      <c r="N186" s="96" t="s">
        <v>817</v>
      </c>
      <c r="O186" s="96" t="s">
        <v>821</v>
      </c>
      <c r="P186" s="6">
        <v>410</v>
      </c>
      <c r="Q186" s="214">
        <v>3125.5</v>
      </c>
      <c r="R186" s="216">
        <v>2941.9</v>
      </c>
      <c r="S186" s="216">
        <v>2299.5</v>
      </c>
    </row>
    <row r="187" spans="1:19" ht="42" customHeight="1">
      <c r="A187" s="99"/>
      <c r="B187" s="98"/>
      <c r="C187" s="97"/>
      <c r="D187" s="101"/>
      <c r="E187" s="115"/>
      <c r="F187" s="115"/>
      <c r="G187" s="89"/>
      <c r="H187" s="18" t="s">
        <v>825</v>
      </c>
      <c r="I187" s="8">
        <v>27</v>
      </c>
      <c r="J187" s="7">
        <v>5</v>
      </c>
      <c r="K187" s="7">
        <v>1</v>
      </c>
      <c r="L187" s="95" t="s">
        <v>282</v>
      </c>
      <c r="M187" s="96" t="s">
        <v>563</v>
      </c>
      <c r="N187" s="96" t="s">
        <v>817</v>
      </c>
      <c r="O187" s="96" t="s">
        <v>824</v>
      </c>
      <c r="P187" s="6"/>
      <c r="Q187" s="216">
        <f>Q188</f>
        <v>700</v>
      </c>
      <c r="R187" s="216">
        <f>R188</f>
        <v>1000</v>
      </c>
      <c r="S187" s="216">
        <f>S188</f>
        <v>1000</v>
      </c>
    </row>
    <row r="188" spans="1:19" ht="24" customHeight="1">
      <c r="A188" s="99"/>
      <c r="B188" s="98"/>
      <c r="C188" s="97"/>
      <c r="D188" s="101"/>
      <c r="E188" s="115"/>
      <c r="F188" s="115"/>
      <c r="G188" s="89"/>
      <c r="H188" s="18" t="s">
        <v>720</v>
      </c>
      <c r="I188" s="8">
        <v>27</v>
      </c>
      <c r="J188" s="7">
        <v>5</v>
      </c>
      <c r="K188" s="7">
        <v>1</v>
      </c>
      <c r="L188" s="95" t="s">
        <v>282</v>
      </c>
      <c r="M188" s="96" t="s">
        <v>563</v>
      </c>
      <c r="N188" s="96" t="s">
        <v>817</v>
      </c>
      <c r="O188" s="96" t="s">
        <v>824</v>
      </c>
      <c r="P188" s="6">
        <v>240</v>
      </c>
      <c r="Q188" s="216">
        <v>700</v>
      </c>
      <c r="R188" s="216">
        <v>1000</v>
      </c>
      <c r="S188" s="216">
        <v>1000</v>
      </c>
    </row>
    <row r="189" spans="1:19" ht="24" customHeight="1">
      <c r="A189" s="99"/>
      <c r="B189" s="98"/>
      <c r="C189" s="97"/>
      <c r="D189" s="101"/>
      <c r="E189" s="115"/>
      <c r="F189" s="115"/>
      <c r="G189" s="89"/>
      <c r="H189" s="312" t="s">
        <v>739</v>
      </c>
      <c r="I189" s="27"/>
      <c r="J189" s="147">
        <v>5</v>
      </c>
      <c r="K189" s="139">
        <v>2</v>
      </c>
      <c r="L189" s="140"/>
      <c r="M189" s="141"/>
      <c r="N189" s="141"/>
      <c r="O189" s="141"/>
      <c r="P189" s="146"/>
      <c r="Q189" s="146"/>
      <c r="R189" s="220">
        <v>43275</v>
      </c>
      <c r="S189" s="220">
        <f>S190</f>
        <v>500</v>
      </c>
    </row>
    <row r="190" spans="1:19" ht="30" customHeight="1">
      <c r="A190" s="99"/>
      <c r="B190" s="98"/>
      <c r="C190" s="97"/>
      <c r="D190" s="101"/>
      <c r="E190" s="115"/>
      <c r="F190" s="115"/>
      <c r="G190" s="89"/>
      <c r="H190" s="18" t="s">
        <v>192</v>
      </c>
      <c r="I190" s="27"/>
      <c r="J190" s="19">
        <v>5</v>
      </c>
      <c r="K190" s="16">
        <v>2</v>
      </c>
      <c r="L190" s="95" t="s">
        <v>191</v>
      </c>
      <c r="M190" s="96" t="s">
        <v>563</v>
      </c>
      <c r="N190" s="96" t="s">
        <v>583</v>
      </c>
      <c r="O190" s="96" t="s">
        <v>620</v>
      </c>
      <c r="P190" s="6"/>
      <c r="Q190" s="6"/>
      <c r="R190" s="216">
        <f>R194</f>
        <v>43275</v>
      </c>
      <c r="S190" s="216">
        <f>S191</f>
        <v>500</v>
      </c>
    </row>
    <row r="191" spans="1:19" ht="30" customHeight="1">
      <c r="A191" s="99"/>
      <c r="B191" s="98"/>
      <c r="C191" s="97"/>
      <c r="D191" s="101"/>
      <c r="E191" s="115"/>
      <c r="F191" s="115"/>
      <c r="G191" s="89"/>
      <c r="H191" s="18" t="str">
        <f>'Приложение 10'!H180</f>
        <v>Основное мероприятие "Мероприятия по охране и комплексному использованию водных ресурсов, обеспечение населения качественной питьевой водой""</v>
      </c>
      <c r="I191" s="27">
        <f>'Приложение 10'!I180</f>
        <v>27</v>
      </c>
      <c r="J191" s="19">
        <f>'Приложение 10'!J180</f>
        <v>5</v>
      </c>
      <c r="K191" s="16">
        <f>'Приложение 10'!K180</f>
        <v>2</v>
      </c>
      <c r="L191" s="95" t="str">
        <f>'Приложение 10'!L180</f>
        <v>32</v>
      </c>
      <c r="M191" s="96" t="str">
        <f>'Приложение 10'!M180</f>
        <v>0</v>
      </c>
      <c r="N191" s="96" t="str">
        <f>'Приложение 10'!N180</f>
        <v>01</v>
      </c>
      <c r="O191" s="96" t="str">
        <f>'Приложение 10'!O180</f>
        <v>00000</v>
      </c>
      <c r="P191" s="6" t="s">
        <v>621</v>
      </c>
      <c r="Q191" s="6">
        <f>'Приложение 10'!Q180</f>
        <v>0</v>
      </c>
      <c r="R191" s="216">
        <v>0</v>
      </c>
      <c r="S191" s="216">
        <f>S192</f>
        <v>500</v>
      </c>
    </row>
    <row r="192" spans="1:19" ht="30" customHeight="1">
      <c r="A192" s="99"/>
      <c r="B192" s="98"/>
      <c r="C192" s="97"/>
      <c r="D192" s="101"/>
      <c r="E192" s="115"/>
      <c r="F192" s="115"/>
      <c r="G192" s="89"/>
      <c r="H192" s="18" t="str">
        <f>'Приложение 10'!H181</f>
        <v>Природоохранные мероприятия</v>
      </c>
      <c r="I192" s="27">
        <f>'Приложение 10'!I181</f>
        <v>27</v>
      </c>
      <c r="J192" s="19">
        <f>'Приложение 10'!J181</f>
        <v>5</v>
      </c>
      <c r="K192" s="16">
        <f>'Приложение 10'!K181</f>
        <v>2</v>
      </c>
      <c r="L192" s="95" t="str">
        <f>'Приложение 10'!L181</f>
        <v>32</v>
      </c>
      <c r="M192" s="96" t="str">
        <f>'Приложение 10'!M181</f>
        <v>0</v>
      </c>
      <c r="N192" s="96" t="str">
        <f>'Приложение 10'!N181</f>
        <v>01</v>
      </c>
      <c r="O192" s="96" t="str">
        <f>'Приложение 10'!O181</f>
        <v>20110</v>
      </c>
      <c r="P192" s="6" t="s">
        <v>621</v>
      </c>
      <c r="Q192" s="6">
        <f>'Приложение 10'!Q181</f>
        <v>0</v>
      </c>
      <c r="R192" s="216">
        <v>0</v>
      </c>
      <c r="S192" s="216">
        <f>S193</f>
        <v>500</v>
      </c>
    </row>
    <row r="193" spans="1:19" ht="30" customHeight="1">
      <c r="A193" s="99"/>
      <c r="B193" s="98"/>
      <c r="C193" s="97"/>
      <c r="D193" s="101"/>
      <c r="E193" s="115"/>
      <c r="F193" s="115"/>
      <c r="G193" s="89"/>
      <c r="H193" s="18" t="str">
        <f>'Приложение 10'!H182</f>
        <v>Иные закупки товаров, работ и услуг для обеспечения государственных (муниципальных) нужд</v>
      </c>
      <c r="I193" s="27">
        <f>'Приложение 10'!I182</f>
        <v>27</v>
      </c>
      <c r="J193" s="19">
        <f>'Приложение 10'!J182</f>
        <v>5</v>
      </c>
      <c r="K193" s="16">
        <f>'Приложение 10'!K182</f>
        <v>2</v>
      </c>
      <c r="L193" s="95" t="str">
        <f>'Приложение 10'!L182</f>
        <v>32</v>
      </c>
      <c r="M193" s="96" t="str">
        <f>'Приложение 10'!M182</f>
        <v>0</v>
      </c>
      <c r="N193" s="96" t="str">
        <f>'Приложение 10'!N182</f>
        <v>01</v>
      </c>
      <c r="O193" s="96" t="str">
        <f>'Приложение 10'!O182</f>
        <v>20110</v>
      </c>
      <c r="P193" s="6">
        <f>'Приложение 10'!P182</f>
        <v>240</v>
      </c>
      <c r="Q193" s="6">
        <f>'Приложение 10'!Q182</f>
        <v>0</v>
      </c>
      <c r="R193" s="216">
        <v>0</v>
      </c>
      <c r="S193" s="216">
        <f>'Приложение 10'!R182</f>
        <v>500</v>
      </c>
    </row>
    <row r="194" spans="1:19" ht="30" customHeight="1">
      <c r="A194" s="99"/>
      <c r="B194" s="98"/>
      <c r="C194" s="97"/>
      <c r="D194" s="101"/>
      <c r="E194" s="115"/>
      <c r="F194" s="115"/>
      <c r="G194" s="89"/>
      <c r="H194" s="18" t="str">
        <f>'Приложение 10'!H183</f>
        <v>Основное мероприятие "Строительство и реконструкция (модернизация) объектов питьевого водоснабжения в рамках федерального проекта "Чистая вода"</v>
      </c>
      <c r="I194" s="27">
        <f>'Приложение 10'!I183</f>
        <v>27</v>
      </c>
      <c r="J194" s="19">
        <f>'Приложение 10'!J183</f>
        <v>5</v>
      </c>
      <c r="K194" s="16">
        <f>'Приложение 10'!K183</f>
        <v>2</v>
      </c>
      <c r="L194" s="95" t="str">
        <f>'Приложение 10'!L183</f>
        <v>32</v>
      </c>
      <c r="M194" s="96" t="str">
        <f>'Приложение 10'!M183</f>
        <v>0</v>
      </c>
      <c r="N194" s="96" t="str">
        <f>'Приложение 10'!N183</f>
        <v>G5</v>
      </c>
      <c r="O194" s="96" t="str">
        <f>'Приложение 10'!O183</f>
        <v>00000</v>
      </c>
      <c r="P194" s="6" t="s">
        <v>621</v>
      </c>
      <c r="Q194" s="6">
        <f>'Приложение 10'!Q183</f>
        <v>43275</v>
      </c>
      <c r="R194" s="216">
        <f>R195</f>
        <v>43275</v>
      </c>
      <c r="S194" s="216">
        <f>S195</f>
        <v>0</v>
      </c>
    </row>
    <row r="195" spans="1:19" ht="24" customHeight="1">
      <c r="A195" s="99"/>
      <c r="B195" s="98"/>
      <c r="C195" s="97"/>
      <c r="D195" s="101"/>
      <c r="E195" s="115"/>
      <c r="F195" s="115"/>
      <c r="G195" s="89"/>
      <c r="H195" s="18" t="s">
        <v>664</v>
      </c>
      <c r="I195" s="27"/>
      <c r="J195" s="19">
        <v>5</v>
      </c>
      <c r="K195" s="16">
        <v>2</v>
      </c>
      <c r="L195" s="95" t="s">
        <v>191</v>
      </c>
      <c r="M195" s="96" t="s">
        <v>563</v>
      </c>
      <c r="N195" s="96" t="s">
        <v>663</v>
      </c>
      <c r="O195" s="96" t="s">
        <v>74</v>
      </c>
      <c r="P195" s="6">
        <v>244</v>
      </c>
      <c r="Q195" s="6">
        <v>244</v>
      </c>
      <c r="R195" s="216">
        <f>'Приложение 10'!Q184</f>
        <v>43275</v>
      </c>
      <c r="S195" s="216">
        <v>0</v>
      </c>
    </row>
    <row r="196" spans="1:19" s="179" customFormat="1" ht="26.25" customHeight="1">
      <c r="A196" s="142"/>
      <c r="B196" s="143"/>
      <c r="C196" s="142"/>
      <c r="D196" s="150"/>
      <c r="E196" s="151"/>
      <c r="F196" s="151"/>
      <c r="G196" s="136"/>
      <c r="H196" s="236" t="s">
        <v>281</v>
      </c>
      <c r="I196" s="248">
        <v>27</v>
      </c>
      <c r="J196" s="148">
        <v>5</v>
      </c>
      <c r="K196" s="148">
        <v>3</v>
      </c>
      <c r="L196" s="140"/>
      <c r="M196" s="141"/>
      <c r="N196" s="141"/>
      <c r="O196" s="141"/>
      <c r="P196" s="146"/>
      <c r="Q196" s="217">
        <f aca="true" t="shared" si="19" ref="Q196:S199">Q197</f>
        <v>124.1</v>
      </c>
      <c r="R196" s="217">
        <f t="shared" si="19"/>
        <v>284.3</v>
      </c>
      <c r="S196" s="217">
        <f t="shared" si="19"/>
        <v>225.7</v>
      </c>
    </row>
    <row r="197" spans="1:19" ht="34.5" customHeight="1">
      <c r="A197" s="97"/>
      <c r="B197" s="98"/>
      <c r="C197" s="97"/>
      <c r="D197" s="101"/>
      <c r="E197" s="115"/>
      <c r="F197" s="115"/>
      <c r="G197" s="89"/>
      <c r="H197" s="18" t="s">
        <v>800</v>
      </c>
      <c r="I197" s="6">
        <v>27</v>
      </c>
      <c r="J197" s="7">
        <v>5</v>
      </c>
      <c r="K197" s="7">
        <v>3</v>
      </c>
      <c r="L197" s="95" t="s">
        <v>798</v>
      </c>
      <c r="M197" s="96" t="s">
        <v>563</v>
      </c>
      <c r="N197" s="96" t="s">
        <v>583</v>
      </c>
      <c r="O197" s="96" t="s">
        <v>620</v>
      </c>
      <c r="P197" s="6"/>
      <c r="Q197" s="216">
        <f t="shared" si="19"/>
        <v>124.1</v>
      </c>
      <c r="R197" s="216">
        <f t="shared" si="19"/>
        <v>284.3</v>
      </c>
      <c r="S197" s="216">
        <f t="shared" si="19"/>
        <v>225.7</v>
      </c>
    </row>
    <row r="198" spans="1:19" ht="31.5" customHeight="1">
      <c r="A198" s="97"/>
      <c r="B198" s="98"/>
      <c r="C198" s="97"/>
      <c r="D198" s="101"/>
      <c r="E198" s="115"/>
      <c r="F198" s="115"/>
      <c r="G198" s="89"/>
      <c r="H198" s="128" t="s">
        <v>801</v>
      </c>
      <c r="I198" s="6">
        <v>27</v>
      </c>
      <c r="J198" s="7">
        <v>5</v>
      </c>
      <c r="K198" s="7">
        <v>3</v>
      </c>
      <c r="L198" s="95" t="s">
        <v>798</v>
      </c>
      <c r="M198" s="96" t="s">
        <v>563</v>
      </c>
      <c r="N198" s="96" t="s">
        <v>818</v>
      </c>
      <c r="O198" s="96" t="s">
        <v>620</v>
      </c>
      <c r="P198" s="6"/>
      <c r="Q198" s="216">
        <f t="shared" si="19"/>
        <v>124.1</v>
      </c>
      <c r="R198" s="216">
        <f t="shared" si="19"/>
        <v>284.3</v>
      </c>
      <c r="S198" s="216">
        <f t="shared" si="19"/>
        <v>225.7</v>
      </c>
    </row>
    <row r="199" spans="1:19" ht="33" customHeight="1">
      <c r="A199" s="97"/>
      <c r="B199" s="98"/>
      <c r="C199" s="97"/>
      <c r="D199" s="101"/>
      <c r="E199" s="115"/>
      <c r="F199" s="115"/>
      <c r="G199" s="89"/>
      <c r="H199" s="18" t="s">
        <v>799</v>
      </c>
      <c r="I199" s="6">
        <v>27</v>
      </c>
      <c r="J199" s="7">
        <v>5</v>
      </c>
      <c r="K199" s="7">
        <v>3</v>
      </c>
      <c r="L199" s="95" t="s">
        <v>798</v>
      </c>
      <c r="M199" s="96" t="s">
        <v>563</v>
      </c>
      <c r="N199" s="96" t="s">
        <v>818</v>
      </c>
      <c r="O199" s="96" t="s">
        <v>819</v>
      </c>
      <c r="P199" s="6"/>
      <c r="Q199" s="216">
        <f t="shared" si="19"/>
        <v>124.1</v>
      </c>
      <c r="R199" s="216">
        <f t="shared" si="19"/>
        <v>284.3</v>
      </c>
      <c r="S199" s="216">
        <f t="shared" si="19"/>
        <v>225.7</v>
      </c>
    </row>
    <row r="200" spans="1:19" ht="27" customHeight="1">
      <c r="A200" s="97"/>
      <c r="B200" s="98"/>
      <c r="C200" s="97"/>
      <c r="D200" s="101"/>
      <c r="E200" s="115"/>
      <c r="F200" s="115"/>
      <c r="G200" s="89"/>
      <c r="H200" s="18" t="s">
        <v>720</v>
      </c>
      <c r="I200" s="6">
        <v>27</v>
      </c>
      <c r="J200" s="7">
        <v>5</v>
      </c>
      <c r="K200" s="7">
        <v>3</v>
      </c>
      <c r="L200" s="95" t="s">
        <v>798</v>
      </c>
      <c r="M200" s="96" t="s">
        <v>563</v>
      </c>
      <c r="N200" s="96" t="s">
        <v>818</v>
      </c>
      <c r="O200" s="96" t="s">
        <v>819</v>
      </c>
      <c r="P200" s="6">
        <v>240</v>
      </c>
      <c r="Q200" s="216">
        <v>124.1</v>
      </c>
      <c r="R200" s="216">
        <v>284.3</v>
      </c>
      <c r="S200" s="216">
        <v>225.7</v>
      </c>
    </row>
    <row r="201" spans="1:19" s="179" customFormat="1" ht="24.75" customHeight="1">
      <c r="A201" s="142"/>
      <c r="B201" s="143"/>
      <c r="C201" s="142"/>
      <c r="D201" s="150"/>
      <c r="E201" s="151"/>
      <c r="F201" s="151"/>
      <c r="G201" s="136"/>
      <c r="H201" s="249" t="s">
        <v>646</v>
      </c>
      <c r="I201" s="250">
        <v>27</v>
      </c>
      <c r="J201" s="148">
        <v>5</v>
      </c>
      <c r="K201" s="148">
        <v>5</v>
      </c>
      <c r="L201" s="140"/>
      <c r="M201" s="141"/>
      <c r="N201" s="141"/>
      <c r="O201" s="141"/>
      <c r="P201" s="146"/>
      <c r="Q201" s="217" t="e">
        <f>#REF!+Q202</f>
        <v>#REF!</v>
      </c>
      <c r="R201" s="217">
        <f>R202</f>
        <v>400</v>
      </c>
      <c r="S201" s="217">
        <f>S202</f>
        <v>400</v>
      </c>
    </row>
    <row r="202" spans="1:19" ht="28.5" customHeight="1">
      <c r="A202" s="99"/>
      <c r="B202" s="98"/>
      <c r="C202" s="97"/>
      <c r="D202" s="101"/>
      <c r="E202" s="115"/>
      <c r="F202" s="115"/>
      <c r="G202" s="89"/>
      <c r="H202" s="5" t="s">
        <v>267</v>
      </c>
      <c r="I202" s="8">
        <v>27</v>
      </c>
      <c r="J202" s="7">
        <v>5</v>
      </c>
      <c r="K202" s="7">
        <v>5</v>
      </c>
      <c r="L202" s="95" t="s">
        <v>585</v>
      </c>
      <c r="M202" s="96" t="s">
        <v>565</v>
      </c>
      <c r="N202" s="96" t="s">
        <v>583</v>
      </c>
      <c r="O202" s="96" t="s">
        <v>354</v>
      </c>
      <c r="P202" s="6"/>
      <c r="Q202" s="216">
        <f>Q203</f>
        <v>366</v>
      </c>
      <c r="R202" s="216">
        <f>R203</f>
        <v>400</v>
      </c>
      <c r="S202" s="216">
        <f>S203</f>
        <v>400</v>
      </c>
    </row>
    <row r="203" spans="1:19" ht="28.5" customHeight="1">
      <c r="A203" s="99"/>
      <c r="B203" s="98"/>
      <c r="C203" s="97"/>
      <c r="D203" s="101"/>
      <c r="E203" s="115"/>
      <c r="F203" s="115"/>
      <c r="G203" s="89"/>
      <c r="H203" s="117" t="s">
        <v>720</v>
      </c>
      <c r="I203" s="6">
        <v>27</v>
      </c>
      <c r="J203" s="7">
        <v>5</v>
      </c>
      <c r="K203" s="7">
        <v>5</v>
      </c>
      <c r="L203" s="95" t="s">
        <v>585</v>
      </c>
      <c r="M203" s="96" t="s">
        <v>565</v>
      </c>
      <c r="N203" s="96" t="s">
        <v>583</v>
      </c>
      <c r="O203" s="96" t="s">
        <v>354</v>
      </c>
      <c r="P203" s="6">
        <v>240</v>
      </c>
      <c r="Q203" s="216">
        <v>366</v>
      </c>
      <c r="R203" s="216">
        <v>400</v>
      </c>
      <c r="S203" s="216">
        <v>400</v>
      </c>
    </row>
    <row r="204" spans="1:19" s="179" customFormat="1" ht="24" customHeight="1">
      <c r="A204" s="142"/>
      <c r="B204" s="143"/>
      <c r="C204" s="153"/>
      <c r="D204" s="150"/>
      <c r="E204" s="154"/>
      <c r="F204" s="154"/>
      <c r="G204" s="155">
        <v>611</v>
      </c>
      <c r="H204" s="149" t="s">
        <v>550</v>
      </c>
      <c r="I204" s="152">
        <v>27</v>
      </c>
      <c r="J204" s="148">
        <v>6</v>
      </c>
      <c r="K204" s="148"/>
      <c r="L204" s="140"/>
      <c r="M204" s="141"/>
      <c r="N204" s="141"/>
      <c r="O204" s="141"/>
      <c r="P204" s="146"/>
      <c r="Q204" s="217" t="e">
        <f>Q205+Q208</f>
        <v>#REF!</v>
      </c>
      <c r="R204" s="217">
        <f>R205+R208</f>
        <v>5336.9</v>
      </c>
      <c r="S204" s="217">
        <f>S205+S208</f>
        <v>636.8</v>
      </c>
    </row>
    <row r="205" spans="1:19" s="179" customFormat="1" ht="24" customHeight="1">
      <c r="A205" s="142"/>
      <c r="B205" s="143"/>
      <c r="C205" s="153"/>
      <c r="D205" s="150"/>
      <c r="E205" s="154"/>
      <c r="F205" s="154"/>
      <c r="G205" s="155"/>
      <c r="H205" s="149" t="s">
        <v>549</v>
      </c>
      <c r="I205" s="152">
        <v>27</v>
      </c>
      <c r="J205" s="148">
        <v>6</v>
      </c>
      <c r="K205" s="148">
        <v>3</v>
      </c>
      <c r="L205" s="140"/>
      <c r="M205" s="141"/>
      <c r="N205" s="141"/>
      <c r="O205" s="141"/>
      <c r="P205" s="146"/>
      <c r="Q205" s="217">
        <f aca="true" t="shared" si="20" ref="Q205:S206">Q206</f>
        <v>27.4</v>
      </c>
      <c r="R205" s="217">
        <f t="shared" si="20"/>
        <v>27.4</v>
      </c>
      <c r="S205" s="217">
        <f t="shared" si="20"/>
        <v>27.4</v>
      </c>
    </row>
    <row r="206" spans="1:19" ht="48" customHeight="1">
      <c r="A206" s="97"/>
      <c r="B206" s="98"/>
      <c r="C206" s="103"/>
      <c r="D206" s="101"/>
      <c r="E206" s="113"/>
      <c r="F206" s="113"/>
      <c r="G206" s="105"/>
      <c r="H206" s="5" t="s">
        <v>768</v>
      </c>
      <c r="I206" s="8">
        <v>27</v>
      </c>
      <c r="J206" s="7">
        <v>6</v>
      </c>
      <c r="K206" s="7">
        <v>3</v>
      </c>
      <c r="L206" s="95" t="s">
        <v>580</v>
      </c>
      <c r="M206" s="96" t="s">
        <v>563</v>
      </c>
      <c r="N206" s="96" t="s">
        <v>583</v>
      </c>
      <c r="O206" s="96" t="s">
        <v>767</v>
      </c>
      <c r="P206" s="6"/>
      <c r="Q206" s="216">
        <f t="shared" si="20"/>
        <v>27.4</v>
      </c>
      <c r="R206" s="216">
        <f t="shared" si="20"/>
        <v>27.4</v>
      </c>
      <c r="S206" s="216">
        <f t="shared" si="20"/>
        <v>27.4</v>
      </c>
    </row>
    <row r="207" spans="1:19" ht="24" customHeight="1">
      <c r="A207" s="97"/>
      <c r="B207" s="98"/>
      <c r="C207" s="103"/>
      <c r="D207" s="101"/>
      <c r="E207" s="113"/>
      <c r="F207" s="113"/>
      <c r="G207" s="105"/>
      <c r="H207" s="5" t="s">
        <v>720</v>
      </c>
      <c r="I207" s="8">
        <v>27</v>
      </c>
      <c r="J207" s="7">
        <v>6</v>
      </c>
      <c r="K207" s="7">
        <v>3</v>
      </c>
      <c r="L207" s="95" t="s">
        <v>580</v>
      </c>
      <c r="M207" s="96" t="s">
        <v>563</v>
      </c>
      <c r="N207" s="96" t="s">
        <v>583</v>
      </c>
      <c r="O207" s="96" t="s">
        <v>767</v>
      </c>
      <c r="P207" s="6">
        <v>240</v>
      </c>
      <c r="Q207" s="216">
        <v>27.4</v>
      </c>
      <c r="R207" s="216">
        <v>27.4</v>
      </c>
      <c r="S207" s="216">
        <v>27.4</v>
      </c>
    </row>
    <row r="208" spans="1:19" s="179" customFormat="1" ht="24.75" customHeight="1">
      <c r="A208" s="142"/>
      <c r="B208" s="143"/>
      <c r="C208" s="153"/>
      <c r="D208" s="150"/>
      <c r="E208" s="154"/>
      <c r="F208" s="154"/>
      <c r="G208" s="155">
        <v>621</v>
      </c>
      <c r="H208" s="149" t="s">
        <v>548</v>
      </c>
      <c r="I208" s="152">
        <v>27</v>
      </c>
      <c r="J208" s="148">
        <v>6</v>
      </c>
      <c r="K208" s="148">
        <v>5</v>
      </c>
      <c r="L208" s="140"/>
      <c r="M208" s="141"/>
      <c r="N208" s="141"/>
      <c r="O208" s="141"/>
      <c r="P208" s="146"/>
      <c r="Q208" s="217" t="e">
        <f>Q209+#REF!</f>
        <v>#REF!</v>
      </c>
      <c r="R208" s="217">
        <f>R209+R211</f>
        <v>5309.5</v>
      </c>
      <c r="S208" s="217">
        <f>S209+S211</f>
        <v>609.4</v>
      </c>
    </row>
    <row r="209" spans="1:19" ht="18.75" customHeight="1">
      <c r="A209" s="99"/>
      <c r="B209" s="98"/>
      <c r="C209" s="103"/>
      <c r="D209" s="107"/>
      <c r="E209" s="104"/>
      <c r="F209" s="104"/>
      <c r="G209" s="105"/>
      <c r="H209" s="172" t="s">
        <v>815</v>
      </c>
      <c r="I209" s="8">
        <v>27</v>
      </c>
      <c r="J209" s="7">
        <v>6</v>
      </c>
      <c r="K209" s="7">
        <v>5</v>
      </c>
      <c r="L209" s="95" t="s">
        <v>580</v>
      </c>
      <c r="M209" s="96" t="s">
        <v>563</v>
      </c>
      <c r="N209" s="96" t="s">
        <v>583</v>
      </c>
      <c r="O209" s="96" t="s">
        <v>814</v>
      </c>
      <c r="P209" s="6"/>
      <c r="Q209" s="216">
        <f>SUM(Q210:Q210)</f>
        <v>110</v>
      </c>
      <c r="R209" s="216">
        <f>SUM(R210:R210)</f>
        <v>109.5</v>
      </c>
      <c r="S209" s="216">
        <f>SUM(S210:S210)</f>
        <v>109.4</v>
      </c>
    </row>
    <row r="210" spans="1:19" ht="23.25" customHeight="1">
      <c r="A210" s="99"/>
      <c r="B210" s="98"/>
      <c r="C210" s="103"/>
      <c r="D210" s="107"/>
      <c r="E210" s="104"/>
      <c r="F210" s="104"/>
      <c r="G210" s="105"/>
      <c r="H210" s="3" t="s">
        <v>533</v>
      </c>
      <c r="I210" s="8">
        <v>27</v>
      </c>
      <c r="J210" s="7">
        <v>6</v>
      </c>
      <c r="K210" s="7">
        <v>5</v>
      </c>
      <c r="L210" s="95" t="s">
        <v>580</v>
      </c>
      <c r="M210" s="96" t="s">
        <v>563</v>
      </c>
      <c r="N210" s="96" t="s">
        <v>583</v>
      </c>
      <c r="O210" s="96" t="s">
        <v>814</v>
      </c>
      <c r="P210" s="6">
        <v>120</v>
      </c>
      <c r="Q210" s="216">
        <v>110</v>
      </c>
      <c r="R210" s="239">
        <v>109.5</v>
      </c>
      <c r="S210" s="239">
        <v>109.4</v>
      </c>
    </row>
    <row r="211" spans="1:19" ht="35.25" customHeight="1">
      <c r="A211" s="99"/>
      <c r="B211" s="98"/>
      <c r="C211" s="97"/>
      <c r="D211" s="107"/>
      <c r="E211" s="104"/>
      <c r="F211" s="104"/>
      <c r="G211" s="89"/>
      <c r="H211" s="320" t="str">
        <f>'Приложение 10'!H205</f>
        <v>Муниципальная программа охраны окружающей среды и рационального использования природных ресурсов на 2021-2025 годы</v>
      </c>
      <c r="I211" s="13">
        <f>'Приложение 10'!I205</f>
        <v>27</v>
      </c>
      <c r="J211" s="7">
        <f>'Приложение 10'!J205</f>
        <v>6</v>
      </c>
      <c r="K211" s="7">
        <f>'Приложение 10'!K205</f>
        <v>5</v>
      </c>
      <c r="L211" s="95" t="str">
        <f>'Приложение 10'!L205</f>
        <v>32</v>
      </c>
      <c r="M211" s="96" t="str">
        <f>'Приложение 10'!M205</f>
        <v>0</v>
      </c>
      <c r="N211" s="96" t="str">
        <f>'Приложение 10'!N205</f>
        <v>00</v>
      </c>
      <c r="O211" s="96" t="str">
        <f>'Приложение 10'!O205</f>
        <v>00000</v>
      </c>
      <c r="P211" s="10" t="s">
        <v>621</v>
      </c>
      <c r="Q211" s="216">
        <f>'Приложение 10'!Q205</f>
        <v>5200</v>
      </c>
      <c r="R211" s="215">
        <f aca="true" t="shared" si="21" ref="R211:S213">R212</f>
        <v>5200</v>
      </c>
      <c r="S211" s="239">
        <f t="shared" si="21"/>
        <v>500</v>
      </c>
    </row>
    <row r="212" spans="1:19" ht="23.25" customHeight="1">
      <c r="A212" s="99"/>
      <c r="B212" s="98"/>
      <c r="C212" s="97"/>
      <c r="D212" s="107"/>
      <c r="E212" s="104"/>
      <c r="F212" s="104"/>
      <c r="G212" s="89"/>
      <c r="H212" s="320" t="str">
        <f>'Приложение 10'!H206</f>
        <v>Основное мероприятие "Мероприятия по предотвращению загрязнения природной среды отходами производства и потребления"</v>
      </c>
      <c r="I212" s="13">
        <f>'Приложение 10'!I206</f>
        <v>27</v>
      </c>
      <c r="J212" s="7">
        <f>'Приложение 10'!J206</f>
        <v>6</v>
      </c>
      <c r="K212" s="7">
        <f>'Приложение 10'!K206</f>
        <v>5</v>
      </c>
      <c r="L212" s="95" t="str">
        <f>'Приложение 10'!L206</f>
        <v>32</v>
      </c>
      <c r="M212" s="96" t="str">
        <f>'Приложение 10'!M206</f>
        <v>0</v>
      </c>
      <c r="N212" s="96" t="str">
        <f>'Приложение 10'!N206</f>
        <v>02</v>
      </c>
      <c r="O212" s="96" t="str">
        <f>'Приложение 10'!O206</f>
        <v>00000</v>
      </c>
      <c r="P212" s="10" t="s">
        <v>621</v>
      </c>
      <c r="Q212" s="216">
        <f>'Приложение 10'!Q206</f>
        <v>5200</v>
      </c>
      <c r="R212" s="215">
        <f t="shared" si="21"/>
        <v>5200</v>
      </c>
      <c r="S212" s="239">
        <f t="shared" si="21"/>
        <v>500</v>
      </c>
    </row>
    <row r="213" spans="1:19" ht="23.25" customHeight="1">
      <c r="A213" s="99"/>
      <c r="B213" s="98"/>
      <c r="C213" s="97"/>
      <c r="D213" s="107"/>
      <c r="E213" s="104"/>
      <c r="F213" s="104"/>
      <c r="G213" s="89"/>
      <c r="H213" s="320" t="str">
        <f>'Приложение 10'!H207</f>
        <v>Природоохранные мероприятия</v>
      </c>
      <c r="I213" s="13">
        <f>'Приложение 10'!I207</f>
        <v>27</v>
      </c>
      <c r="J213" s="7">
        <f>'Приложение 10'!J207</f>
        <v>6</v>
      </c>
      <c r="K213" s="7">
        <f>'Приложение 10'!K207</f>
        <v>5</v>
      </c>
      <c r="L213" s="95" t="str">
        <f>'Приложение 10'!L207</f>
        <v>32</v>
      </c>
      <c r="M213" s="96" t="str">
        <f>'Приложение 10'!M207</f>
        <v>0</v>
      </c>
      <c r="N213" s="96" t="str">
        <f>'Приложение 10'!N207</f>
        <v>02</v>
      </c>
      <c r="O213" s="96" t="str">
        <f>'Приложение 10'!O207</f>
        <v>20110</v>
      </c>
      <c r="P213" s="10" t="s">
        <v>621</v>
      </c>
      <c r="Q213" s="216">
        <f>'Приложение 10'!Q207</f>
        <v>5200</v>
      </c>
      <c r="R213" s="215">
        <f t="shared" si="21"/>
        <v>5200</v>
      </c>
      <c r="S213" s="239">
        <f t="shared" si="21"/>
        <v>500</v>
      </c>
    </row>
    <row r="214" spans="1:19" ht="23.25" customHeight="1">
      <c r="A214" s="99"/>
      <c r="B214" s="98"/>
      <c r="C214" s="97"/>
      <c r="D214" s="107"/>
      <c r="E214" s="104"/>
      <c r="F214" s="104"/>
      <c r="G214" s="89"/>
      <c r="H214" s="320" t="str">
        <f>'Приложение 10'!H208</f>
        <v>Иные закупки товаров, работ и услуг для обеспечения государственных (муниципальных) нужд</v>
      </c>
      <c r="I214" s="13">
        <f>'Приложение 10'!I208</f>
        <v>27</v>
      </c>
      <c r="J214" s="7">
        <f>'Приложение 10'!J208</f>
        <v>6</v>
      </c>
      <c r="K214" s="7">
        <f>'Приложение 10'!K208</f>
        <v>5</v>
      </c>
      <c r="L214" s="95" t="str">
        <f>'Приложение 10'!L208</f>
        <v>32</v>
      </c>
      <c r="M214" s="96" t="str">
        <f>'Приложение 10'!M208</f>
        <v>0</v>
      </c>
      <c r="N214" s="96" t="str">
        <f>'Приложение 10'!N208</f>
        <v>02</v>
      </c>
      <c r="O214" s="96" t="str">
        <f>'Приложение 10'!O208</f>
        <v>20110</v>
      </c>
      <c r="P214" s="10">
        <f>'Приложение 10'!P208</f>
        <v>240</v>
      </c>
      <c r="Q214" s="216">
        <f>'Приложение 10'!Q208</f>
        <v>5200</v>
      </c>
      <c r="R214" s="215">
        <f>'Приложение 10'!Q208</f>
        <v>5200</v>
      </c>
      <c r="S214" s="239">
        <f>'Приложение 10'!R208</f>
        <v>500</v>
      </c>
    </row>
    <row r="215" spans="1:19" s="179" customFormat="1" ht="18" customHeight="1">
      <c r="A215" s="142"/>
      <c r="B215" s="143"/>
      <c r="C215" s="142"/>
      <c r="D215" s="380">
        <v>5550000</v>
      </c>
      <c r="E215" s="381"/>
      <c r="F215" s="381"/>
      <c r="G215" s="136">
        <v>314</v>
      </c>
      <c r="H215" s="137" t="s">
        <v>545</v>
      </c>
      <c r="I215" s="138">
        <v>663</v>
      </c>
      <c r="J215" s="148">
        <v>7</v>
      </c>
      <c r="K215" s="148" t="s">
        <v>621</v>
      </c>
      <c r="L215" s="140" t="s">
        <v>534</v>
      </c>
      <c r="M215" s="141" t="s">
        <v>534</v>
      </c>
      <c r="N215" s="141"/>
      <c r="O215" s="141" t="s">
        <v>534</v>
      </c>
      <c r="P215" s="138"/>
      <c r="Q215" s="213" t="e">
        <f>Q216+Q234+Q258+Q281+Q270</f>
        <v>#REF!</v>
      </c>
      <c r="R215" s="213">
        <f>R216+R234+R258+R281+R270</f>
        <v>268081.10000000003</v>
      </c>
      <c r="S215" s="213">
        <f>S216+S234+S258+S281+S270</f>
        <v>288284.5</v>
      </c>
    </row>
    <row r="216" spans="1:19" s="179" customFormat="1" ht="18.75" customHeight="1">
      <c r="A216" s="142"/>
      <c r="B216" s="143"/>
      <c r="C216" s="153"/>
      <c r="D216" s="150"/>
      <c r="E216" s="379">
        <v>5551700</v>
      </c>
      <c r="F216" s="379"/>
      <c r="G216" s="136">
        <v>314</v>
      </c>
      <c r="H216" s="137" t="s">
        <v>376</v>
      </c>
      <c r="I216" s="138">
        <v>663</v>
      </c>
      <c r="J216" s="148">
        <v>7</v>
      </c>
      <c r="K216" s="148">
        <v>1</v>
      </c>
      <c r="L216" s="140" t="s">
        <v>534</v>
      </c>
      <c r="M216" s="141" t="s">
        <v>534</v>
      </c>
      <c r="N216" s="141"/>
      <c r="O216" s="141" t="s">
        <v>534</v>
      </c>
      <c r="P216" s="138"/>
      <c r="Q216" s="213" t="e">
        <f>#REF!+Q217+Q227</f>
        <v>#REF!</v>
      </c>
      <c r="R216" s="213">
        <f>R217+R227</f>
        <v>78520.2</v>
      </c>
      <c r="S216" s="213">
        <f>S217+S227</f>
        <v>81322.4</v>
      </c>
    </row>
    <row r="217" spans="1:19" ht="33" customHeight="1">
      <c r="A217" s="99"/>
      <c r="B217" s="98"/>
      <c r="C217" s="103"/>
      <c r="D217" s="101"/>
      <c r="E217" s="104"/>
      <c r="F217" s="104"/>
      <c r="G217" s="89"/>
      <c r="H217" s="5" t="s">
        <v>687</v>
      </c>
      <c r="I217" s="10">
        <v>663</v>
      </c>
      <c r="J217" s="7">
        <v>7</v>
      </c>
      <c r="K217" s="7">
        <v>1</v>
      </c>
      <c r="L217" s="95" t="s">
        <v>688</v>
      </c>
      <c r="M217" s="96" t="s">
        <v>563</v>
      </c>
      <c r="N217" s="96" t="s">
        <v>583</v>
      </c>
      <c r="O217" s="96" t="s">
        <v>620</v>
      </c>
      <c r="P217" s="10"/>
      <c r="Q217" s="214">
        <f>Q218+Q221+Q224</f>
        <v>149</v>
      </c>
      <c r="R217" s="214">
        <f>R218+R221+R224</f>
        <v>149</v>
      </c>
      <c r="S217" s="214">
        <f>S218+S221+S224</f>
        <v>149</v>
      </c>
    </row>
    <row r="218" spans="1:19" ht="33" customHeight="1">
      <c r="A218" s="99"/>
      <c r="B218" s="98"/>
      <c r="C218" s="103"/>
      <c r="D218" s="101"/>
      <c r="E218" s="104"/>
      <c r="F218" s="104"/>
      <c r="G218" s="89"/>
      <c r="H218" s="5" t="s">
        <v>324</v>
      </c>
      <c r="I218" s="10">
        <v>663</v>
      </c>
      <c r="J218" s="7">
        <v>7</v>
      </c>
      <c r="K218" s="7">
        <v>1</v>
      </c>
      <c r="L218" s="95" t="s">
        <v>688</v>
      </c>
      <c r="M218" s="96" t="s">
        <v>563</v>
      </c>
      <c r="N218" s="96" t="s">
        <v>592</v>
      </c>
      <c r="O218" s="96" t="s">
        <v>620</v>
      </c>
      <c r="P218" s="10"/>
      <c r="Q218" s="214">
        <f aca="true" t="shared" si="22" ref="Q218:S219">Q219</f>
        <v>131</v>
      </c>
      <c r="R218" s="214">
        <f t="shared" si="22"/>
        <v>131</v>
      </c>
      <c r="S218" s="214">
        <f t="shared" si="22"/>
        <v>131</v>
      </c>
    </row>
    <row r="219" spans="1:19" ht="24" customHeight="1">
      <c r="A219" s="99"/>
      <c r="B219" s="98"/>
      <c r="C219" s="103"/>
      <c r="D219" s="101"/>
      <c r="E219" s="104"/>
      <c r="F219" s="104"/>
      <c r="G219" s="89"/>
      <c r="H219" s="5" t="s">
        <v>331</v>
      </c>
      <c r="I219" s="10">
        <v>663</v>
      </c>
      <c r="J219" s="7">
        <v>7</v>
      </c>
      <c r="K219" s="7">
        <v>1</v>
      </c>
      <c r="L219" s="95" t="s">
        <v>688</v>
      </c>
      <c r="M219" s="96" t="s">
        <v>563</v>
      </c>
      <c r="N219" s="96" t="s">
        <v>592</v>
      </c>
      <c r="O219" s="96" t="s">
        <v>321</v>
      </c>
      <c r="P219" s="10"/>
      <c r="Q219" s="214">
        <f t="shared" si="22"/>
        <v>131</v>
      </c>
      <c r="R219" s="214">
        <f t="shared" si="22"/>
        <v>131</v>
      </c>
      <c r="S219" s="214">
        <f t="shared" si="22"/>
        <v>131</v>
      </c>
    </row>
    <row r="220" spans="1:19" ht="24" customHeight="1">
      <c r="A220" s="99"/>
      <c r="B220" s="98"/>
      <c r="C220" s="103"/>
      <c r="D220" s="101"/>
      <c r="E220" s="104"/>
      <c r="F220" s="104"/>
      <c r="G220" s="89"/>
      <c r="H220" s="5" t="s">
        <v>722</v>
      </c>
      <c r="I220" s="10">
        <v>663</v>
      </c>
      <c r="J220" s="7">
        <v>7</v>
      </c>
      <c r="K220" s="7">
        <v>1</v>
      </c>
      <c r="L220" s="95" t="s">
        <v>688</v>
      </c>
      <c r="M220" s="96" t="s">
        <v>563</v>
      </c>
      <c r="N220" s="96" t="s">
        <v>592</v>
      </c>
      <c r="O220" s="96" t="s">
        <v>321</v>
      </c>
      <c r="P220" s="10">
        <v>610</v>
      </c>
      <c r="Q220" s="214">
        <v>131</v>
      </c>
      <c r="R220" s="214">
        <v>131</v>
      </c>
      <c r="S220" s="214">
        <v>131</v>
      </c>
    </row>
    <row r="221" spans="1:19" ht="26.25" customHeight="1">
      <c r="A221" s="99"/>
      <c r="B221" s="98"/>
      <c r="C221" s="103"/>
      <c r="D221" s="101"/>
      <c r="E221" s="104"/>
      <c r="F221" s="104"/>
      <c r="G221" s="89"/>
      <c r="H221" s="200" t="s">
        <v>320</v>
      </c>
      <c r="I221" s="10">
        <v>663</v>
      </c>
      <c r="J221" s="7">
        <v>7</v>
      </c>
      <c r="K221" s="7">
        <v>1</v>
      </c>
      <c r="L221" s="95" t="s">
        <v>688</v>
      </c>
      <c r="M221" s="96" t="s">
        <v>563</v>
      </c>
      <c r="N221" s="96" t="s">
        <v>593</v>
      </c>
      <c r="O221" s="96" t="s">
        <v>620</v>
      </c>
      <c r="P221" s="10"/>
      <c r="Q221" s="214">
        <f aca="true" t="shared" si="23" ref="Q221:S222">Q222</f>
        <v>9</v>
      </c>
      <c r="R221" s="214">
        <f t="shared" si="23"/>
        <v>9</v>
      </c>
      <c r="S221" s="214">
        <f t="shared" si="23"/>
        <v>9</v>
      </c>
    </row>
    <row r="222" spans="1:19" ht="22.5" customHeight="1">
      <c r="A222" s="99"/>
      <c r="B222" s="98"/>
      <c r="C222" s="103"/>
      <c r="D222" s="101"/>
      <c r="E222" s="104"/>
      <c r="F222" s="104"/>
      <c r="G222" s="89"/>
      <c r="H222" s="18" t="s">
        <v>322</v>
      </c>
      <c r="I222" s="10">
        <v>663</v>
      </c>
      <c r="J222" s="7">
        <v>7</v>
      </c>
      <c r="K222" s="7">
        <v>1</v>
      </c>
      <c r="L222" s="95" t="s">
        <v>688</v>
      </c>
      <c r="M222" s="96" t="s">
        <v>563</v>
      </c>
      <c r="N222" s="96" t="s">
        <v>593</v>
      </c>
      <c r="O222" s="96" t="s">
        <v>321</v>
      </c>
      <c r="P222" s="10"/>
      <c r="Q222" s="214">
        <f t="shared" si="23"/>
        <v>9</v>
      </c>
      <c r="R222" s="214">
        <f t="shared" si="23"/>
        <v>9</v>
      </c>
      <c r="S222" s="214">
        <f t="shared" si="23"/>
        <v>9</v>
      </c>
    </row>
    <row r="223" spans="1:19" ht="22.5" customHeight="1">
      <c r="A223" s="99"/>
      <c r="B223" s="98"/>
      <c r="C223" s="103"/>
      <c r="D223" s="101"/>
      <c r="E223" s="104"/>
      <c r="F223" s="104"/>
      <c r="G223" s="89"/>
      <c r="H223" s="18" t="s">
        <v>722</v>
      </c>
      <c r="I223" s="10">
        <v>663</v>
      </c>
      <c r="J223" s="7">
        <v>7</v>
      </c>
      <c r="K223" s="7">
        <v>1</v>
      </c>
      <c r="L223" s="95" t="s">
        <v>688</v>
      </c>
      <c r="M223" s="96" t="s">
        <v>563</v>
      </c>
      <c r="N223" s="96" t="s">
        <v>593</v>
      </c>
      <c r="O223" s="96" t="s">
        <v>321</v>
      </c>
      <c r="P223" s="10">
        <v>610</v>
      </c>
      <c r="Q223" s="214">
        <v>9</v>
      </c>
      <c r="R223" s="214">
        <v>9</v>
      </c>
      <c r="S223" s="214">
        <v>9</v>
      </c>
    </row>
    <row r="224" spans="1:19" ht="44.25" customHeight="1">
      <c r="A224" s="99"/>
      <c r="B224" s="98"/>
      <c r="C224" s="103"/>
      <c r="D224" s="101"/>
      <c r="E224" s="104"/>
      <c r="F224" s="104"/>
      <c r="G224" s="89"/>
      <c r="H224" s="18" t="s">
        <v>686</v>
      </c>
      <c r="I224" s="10">
        <v>663</v>
      </c>
      <c r="J224" s="7">
        <v>7</v>
      </c>
      <c r="K224" s="7">
        <v>1</v>
      </c>
      <c r="L224" s="95" t="s">
        <v>688</v>
      </c>
      <c r="M224" s="96" t="s">
        <v>563</v>
      </c>
      <c r="N224" s="96" t="s">
        <v>588</v>
      </c>
      <c r="O224" s="96" t="s">
        <v>620</v>
      </c>
      <c r="P224" s="10"/>
      <c r="Q224" s="214">
        <f aca="true" t="shared" si="24" ref="Q224:S225">Q225</f>
        <v>9</v>
      </c>
      <c r="R224" s="214">
        <f t="shared" si="24"/>
        <v>9</v>
      </c>
      <c r="S224" s="214">
        <f t="shared" si="24"/>
        <v>9</v>
      </c>
    </row>
    <row r="225" spans="1:19" ht="29.25" customHeight="1">
      <c r="A225" s="99"/>
      <c r="B225" s="98"/>
      <c r="C225" s="103"/>
      <c r="D225" s="101"/>
      <c r="E225" s="104"/>
      <c r="F225" s="104"/>
      <c r="G225" s="89"/>
      <c r="H225" s="18" t="s">
        <v>331</v>
      </c>
      <c r="I225" s="10">
        <v>663</v>
      </c>
      <c r="J225" s="7">
        <v>7</v>
      </c>
      <c r="K225" s="7">
        <v>1</v>
      </c>
      <c r="L225" s="95" t="s">
        <v>688</v>
      </c>
      <c r="M225" s="96" t="s">
        <v>563</v>
      </c>
      <c r="N225" s="96" t="s">
        <v>588</v>
      </c>
      <c r="O225" s="96" t="s">
        <v>321</v>
      </c>
      <c r="P225" s="10"/>
      <c r="Q225" s="214">
        <f t="shared" si="24"/>
        <v>9</v>
      </c>
      <c r="R225" s="214">
        <f t="shared" si="24"/>
        <v>9</v>
      </c>
      <c r="S225" s="214">
        <f t="shared" si="24"/>
        <v>9</v>
      </c>
    </row>
    <row r="226" spans="1:19" ht="32.25" customHeight="1">
      <c r="A226" s="99"/>
      <c r="B226" s="98"/>
      <c r="C226" s="103"/>
      <c r="D226" s="101"/>
      <c r="E226" s="104"/>
      <c r="F226" s="104"/>
      <c r="G226" s="89"/>
      <c r="H226" s="18" t="s">
        <v>722</v>
      </c>
      <c r="I226" s="10">
        <v>663</v>
      </c>
      <c r="J226" s="7">
        <v>7</v>
      </c>
      <c r="K226" s="7">
        <v>1</v>
      </c>
      <c r="L226" s="95" t="s">
        <v>688</v>
      </c>
      <c r="M226" s="96" t="s">
        <v>563</v>
      </c>
      <c r="N226" s="96" t="s">
        <v>588</v>
      </c>
      <c r="O226" s="96" t="s">
        <v>321</v>
      </c>
      <c r="P226" s="10">
        <v>610</v>
      </c>
      <c r="Q226" s="214">
        <v>9</v>
      </c>
      <c r="R226" s="214">
        <v>9</v>
      </c>
      <c r="S226" s="214">
        <v>9</v>
      </c>
    </row>
    <row r="227" spans="1:19" ht="30" customHeight="1">
      <c r="A227" s="99"/>
      <c r="B227" s="98"/>
      <c r="C227" s="103"/>
      <c r="D227" s="101"/>
      <c r="E227" s="104"/>
      <c r="F227" s="104"/>
      <c r="G227" s="89"/>
      <c r="H227" s="3" t="s">
        <v>299</v>
      </c>
      <c r="I227" s="10">
        <v>663</v>
      </c>
      <c r="J227" s="7">
        <v>7</v>
      </c>
      <c r="K227" s="7">
        <v>1</v>
      </c>
      <c r="L227" s="95" t="s">
        <v>580</v>
      </c>
      <c r="M227" s="96" t="s">
        <v>563</v>
      </c>
      <c r="N227" s="96" t="s">
        <v>583</v>
      </c>
      <c r="O227" s="96" t="s">
        <v>620</v>
      </c>
      <c r="P227" s="10"/>
      <c r="Q227" s="260">
        <f>Q228+Q232</f>
        <v>0</v>
      </c>
      <c r="R227" s="260">
        <f>R228+R232+R230</f>
        <v>78371.2</v>
      </c>
      <c r="S227" s="260">
        <f>S228+S232+S230</f>
        <v>81173.4</v>
      </c>
    </row>
    <row r="228" spans="1:19" ht="30" customHeight="1">
      <c r="A228" s="99"/>
      <c r="B228" s="98"/>
      <c r="C228" s="103"/>
      <c r="D228" s="101"/>
      <c r="E228" s="104"/>
      <c r="F228" s="104"/>
      <c r="G228" s="89"/>
      <c r="H228" s="3" t="s">
        <v>331</v>
      </c>
      <c r="I228" s="10">
        <v>663</v>
      </c>
      <c r="J228" s="7">
        <v>7</v>
      </c>
      <c r="K228" s="7">
        <v>1</v>
      </c>
      <c r="L228" s="95" t="s">
        <v>580</v>
      </c>
      <c r="M228" s="96" t="s">
        <v>563</v>
      </c>
      <c r="N228" s="96" t="s">
        <v>583</v>
      </c>
      <c r="O228" s="96" t="s">
        <v>321</v>
      </c>
      <c r="P228" s="10"/>
      <c r="Q228" s="260">
        <f>Q229</f>
        <v>0</v>
      </c>
      <c r="R228" s="260">
        <f>R229</f>
        <v>15039.5</v>
      </c>
      <c r="S228" s="260">
        <f>S229</f>
        <v>15039.5</v>
      </c>
    </row>
    <row r="229" spans="1:19" ht="30" customHeight="1">
      <c r="A229" s="99"/>
      <c r="B229" s="98"/>
      <c r="C229" s="103"/>
      <c r="D229" s="101"/>
      <c r="E229" s="104"/>
      <c r="F229" s="104"/>
      <c r="G229" s="89"/>
      <c r="H229" s="3" t="s">
        <v>722</v>
      </c>
      <c r="I229" s="10">
        <v>663</v>
      </c>
      <c r="J229" s="7">
        <v>7</v>
      </c>
      <c r="K229" s="7">
        <v>1</v>
      </c>
      <c r="L229" s="95" t="s">
        <v>580</v>
      </c>
      <c r="M229" s="96" t="s">
        <v>563</v>
      </c>
      <c r="N229" s="96" t="s">
        <v>583</v>
      </c>
      <c r="O229" s="96" t="s">
        <v>321</v>
      </c>
      <c r="P229" s="10">
        <v>610</v>
      </c>
      <c r="Q229" s="260">
        <v>0</v>
      </c>
      <c r="R229" s="214">
        <f>'Приложение 10'!Q419</f>
        <v>15039.5</v>
      </c>
      <c r="S229" s="214">
        <f>'Приложение 10'!R419</f>
        <v>15039.5</v>
      </c>
    </row>
    <row r="230" spans="1:19" ht="30" customHeight="1">
      <c r="A230" s="99"/>
      <c r="B230" s="98"/>
      <c r="C230" s="103"/>
      <c r="D230" s="101"/>
      <c r="E230" s="104"/>
      <c r="F230" s="104"/>
      <c r="G230" s="89"/>
      <c r="H230" s="3" t="str">
        <f>'Приложение 10'!H420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30" s="10">
        <f>'Приложение 10'!I420</f>
        <v>663</v>
      </c>
      <c r="J230" s="7">
        <f>'Приложение 10'!J420</f>
        <v>7</v>
      </c>
      <c r="K230" s="7">
        <f>'Приложение 10'!K420</f>
        <v>1</v>
      </c>
      <c r="L230" s="95" t="str">
        <f>'Приложение 10'!L420</f>
        <v>91</v>
      </c>
      <c r="M230" s="96" t="str">
        <f>'Приложение 10'!M420</f>
        <v>0</v>
      </c>
      <c r="N230" s="96" t="str">
        <f>'Приложение 10'!N420</f>
        <v>00</v>
      </c>
      <c r="O230" s="96" t="str">
        <f>'Приложение 10'!O420</f>
        <v>70030</v>
      </c>
      <c r="P230" s="10" t="s">
        <v>621</v>
      </c>
      <c r="Q230" s="260">
        <f>'Приложение 10'!Q420</f>
        <v>3304</v>
      </c>
      <c r="R230" s="214">
        <f>R231</f>
        <v>3304</v>
      </c>
      <c r="S230" s="214">
        <f>S231</f>
        <v>3304</v>
      </c>
    </row>
    <row r="231" spans="1:19" ht="30" customHeight="1">
      <c r="A231" s="99"/>
      <c r="B231" s="98"/>
      <c r="C231" s="103"/>
      <c r="D231" s="101"/>
      <c r="E231" s="104"/>
      <c r="F231" s="104"/>
      <c r="G231" s="89"/>
      <c r="H231" s="3" t="str">
        <f>'Приложение 10'!H421</f>
        <v>Субсидии бюджетным учреждениям</v>
      </c>
      <c r="I231" s="10">
        <f>'Приложение 10'!I421</f>
        <v>663</v>
      </c>
      <c r="J231" s="7">
        <f>'Приложение 10'!J421</f>
        <v>7</v>
      </c>
      <c r="K231" s="7">
        <f>'Приложение 10'!K421</f>
        <v>1</v>
      </c>
      <c r="L231" s="95" t="str">
        <f>'Приложение 10'!L421</f>
        <v>91</v>
      </c>
      <c r="M231" s="96" t="str">
        <f>'Приложение 10'!M421</f>
        <v>0</v>
      </c>
      <c r="N231" s="96" t="str">
        <f>'Приложение 10'!N421</f>
        <v>00</v>
      </c>
      <c r="O231" s="96" t="str">
        <f>'Приложение 10'!O421</f>
        <v>70030</v>
      </c>
      <c r="P231" s="10">
        <f>'Приложение 10'!P421</f>
        <v>610</v>
      </c>
      <c r="Q231" s="260">
        <f>'Приложение 10'!Q421</f>
        <v>3304</v>
      </c>
      <c r="R231" s="214">
        <f>'Приложение 10'!Q421</f>
        <v>3304</v>
      </c>
      <c r="S231" s="214">
        <f>'Приложение 10'!R421</f>
        <v>3304</v>
      </c>
    </row>
    <row r="232" spans="1:19" ht="36.75" customHeight="1">
      <c r="A232" s="99"/>
      <c r="B232" s="98"/>
      <c r="C232" s="103"/>
      <c r="D232" s="101"/>
      <c r="E232" s="104"/>
      <c r="F232" s="104"/>
      <c r="G232" s="89"/>
      <c r="H232" s="3" t="s">
        <v>333</v>
      </c>
      <c r="I232" s="10">
        <v>663</v>
      </c>
      <c r="J232" s="7">
        <v>7</v>
      </c>
      <c r="K232" s="7">
        <v>1</v>
      </c>
      <c r="L232" s="95" t="s">
        <v>580</v>
      </c>
      <c r="M232" s="96" t="s">
        <v>563</v>
      </c>
      <c r="N232" s="96" t="s">
        <v>583</v>
      </c>
      <c r="O232" s="96" t="s">
        <v>332</v>
      </c>
      <c r="P232" s="10"/>
      <c r="Q232" s="260">
        <f>Q233</f>
        <v>0</v>
      </c>
      <c r="R232" s="260">
        <f>R233</f>
        <v>60027.7</v>
      </c>
      <c r="S232" s="260">
        <f>S233</f>
        <v>62829.9</v>
      </c>
    </row>
    <row r="233" spans="1:19" ht="30" customHeight="1">
      <c r="A233" s="99"/>
      <c r="B233" s="98"/>
      <c r="C233" s="103"/>
      <c r="D233" s="101"/>
      <c r="E233" s="104"/>
      <c r="F233" s="104"/>
      <c r="G233" s="89"/>
      <c r="H233" s="3" t="s">
        <v>722</v>
      </c>
      <c r="I233" s="10">
        <v>663</v>
      </c>
      <c r="J233" s="7">
        <v>7</v>
      </c>
      <c r="K233" s="7">
        <v>1</v>
      </c>
      <c r="L233" s="95" t="s">
        <v>580</v>
      </c>
      <c r="M233" s="96" t="s">
        <v>563</v>
      </c>
      <c r="N233" s="96" t="s">
        <v>583</v>
      </c>
      <c r="O233" s="96" t="s">
        <v>332</v>
      </c>
      <c r="P233" s="10">
        <v>610</v>
      </c>
      <c r="Q233" s="260">
        <v>0</v>
      </c>
      <c r="R233" s="214">
        <v>60027.7</v>
      </c>
      <c r="S233" s="214">
        <v>62829.9</v>
      </c>
    </row>
    <row r="234" spans="1:19" s="179" customFormat="1" ht="27" customHeight="1">
      <c r="A234" s="142"/>
      <c r="B234" s="143"/>
      <c r="C234" s="153"/>
      <c r="D234" s="150"/>
      <c r="E234" s="145"/>
      <c r="F234" s="145"/>
      <c r="G234" s="136"/>
      <c r="H234" s="149" t="s">
        <v>544</v>
      </c>
      <c r="I234" s="138">
        <v>663</v>
      </c>
      <c r="J234" s="148">
        <v>7</v>
      </c>
      <c r="K234" s="148">
        <v>2</v>
      </c>
      <c r="L234" s="139"/>
      <c r="M234" s="141" t="s">
        <v>621</v>
      </c>
      <c r="N234" s="141"/>
      <c r="O234" s="141"/>
      <c r="P234" s="138"/>
      <c r="Q234" s="256" t="e">
        <f>#REF!+Q235+Q248</f>
        <v>#REF!</v>
      </c>
      <c r="R234" s="256">
        <f>R235+R248</f>
        <v>158333.90000000002</v>
      </c>
      <c r="S234" s="256">
        <f>S235+S248</f>
        <v>164603.90000000002</v>
      </c>
    </row>
    <row r="235" spans="1:19" ht="30.75" customHeight="1">
      <c r="A235" s="99"/>
      <c r="B235" s="98"/>
      <c r="C235" s="103"/>
      <c r="D235" s="101"/>
      <c r="E235" s="104"/>
      <c r="F235" s="104"/>
      <c r="G235" s="89"/>
      <c r="H235" s="5" t="s">
        <v>687</v>
      </c>
      <c r="I235" s="10">
        <v>663</v>
      </c>
      <c r="J235" s="7">
        <v>7</v>
      </c>
      <c r="K235" s="7">
        <v>2</v>
      </c>
      <c r="L235" s="95" t="s">
        <v>688</v>
      </c>
      <c r="M235" s="96" t="s">
        <v>563</v>
      </c>
      <c r="N235" s="96" t="s">
        <v>583</v>
      </c>
      <c r="O235" s="96" t="s">
        <v>620</v>
      </c>
      <c r="P235" s="10"/>
      <c r="Q235" s="214">
        <f>Q236+Q239+Q242+Q245</f>
        <v>239</v>
      </c>
      <c r="R235" s="214">
        <f>R236+R239+R242+R245</f>
        <v>239</v>
      </c>
      <c r="S235" s="214">
        <f>S236+S239+S242+S245</f>
        <v>239</v>
      </c>
    </row>
    <row r="236" spans="1:19" ht="34.5" customHeight="1">
      <c r="A236" s="99"/>
      <c r="B236" s="98"/>
      <c r="C236" s="103"/>
      <c r="D236" s="101"/>
      <c r="E236" s="104"/>
      <c r="F236" s="104"/>
      <c r="G236" s="89"/>
      <c r="H236" s="18" t="s">
        <v>324</v>
      </c>
      <c r="I236" s="10">
        <v>663</v>
      </c>
      <c r="J236" s="7">
        <v>7</v>
      </c>
      <c r="K236" s="7">
        <v>2</v>
      </c>
      <c r="L236" s="95" t="s">
        <v>688</v>
      </c>
      <c r="M236" s="96" t="s">
        <v>563</v>
      </c>
      <c r="N236" s="96" t="s">
        <v>592</v>
      </c>
      <c r="O236" s="96" t="s">
        <v>620</v>
      </c>
      <c r="P236" s="10"/>
      <c r="Q236" s="214">
        <f aca="true" t="shared" si="25" ref="Q236:S237">Q237</f>
        <v>9</v>
      </c>
      <c r="R236" s="214">
        <f t="shared" si="25"/>
        <v>9</v>
      </c>
      <c r="S236" s="214">
        <f t="shared" si="25"/>
        <v>9</v>
      </c>
    </row>
    <row r="237" spans="1:19" ht="24.75" customHeight="1">
      <c r="A237" s="99"/>
      <c r="B237" s="98"/>
      <c r="C237" s="103"/>
      <c r="D237" s="101"/>
      <c r="E237" s="104"/>
      <c r="F237" s="104"/>
      <c r="G237" s="89"/>
      <c r="H237" s="18" t="s">
        <v>325</v>
      </c>
      <c r="I237" s="10">
        <v>663</v>
      </c>
      <c r="J237" s="7">
        <v>7</v>
      </c>
      <c r="K237" s="7">
        <v>2</v>
      </c>
      <c r="L237" s="95" t="s">
        <v>688</v>
      </c>
      <c r="M237" s="96" t="s">
        <v>563</v>
      </c>
      <c r="N237" s="96" t="s">
        <v>592</v>
      </c>
      <c r="O237" s="96" t="s">
        <v>323</v>
      </c>
      <c r="P237" s="10"/>
      <c r="Q237" s="214">
        <f t="shared" si="25"/>
        <v>9</v>
      </c>
      <c r="R237" s="214">
        <f t="shared" si="25"/>
        <v>9</v>
      </c>
      <c r="S237" s="214">
        <f t="shared" si="25"/>
        <v>9</v>
      </c>
    </row>
    <row r="238" spans="1:19" ht="24.75" customHeight="1">
      <c r="A238" s="99"/>
      <c r="B238" s="98"/>
      <c r="C238" s="103"/>
      <c r="D238" s="101"/>
      <c r="E238" s="104"/>
      <c r="F238" s="104"/>
      <c r="G238" s="89"/>
      <c r="H238" s="18" t="s">
        <v>722</v>
      </c>
      <c r="I238" s="10">
        <v>663</v>
      </c>
      <c r="J238" s="7">
        <v>7</v>
      </c>
      <c r="K238" s="7">
        <v>2</v>
      </c>
      <c r="L238" s="95" t="s">
        <v>688</v>
      </c>
      <c r="M238" s="96" t="s">
        <v>563</v>
      </c>
      <c r="N238" s="96" t="s">
        <v>592</v>
      </c>
      <c r="O238" s="96" t="s">
        <v>323</v>
      </c>
      <c r="P238" s="10">
        <v>610</v>
      </c>
      <c r="Q238" s="214">
        <v>9</v>
      </c>
      <c r="R238" s="214">
        <v>9</v>
      </c>
      <c r="S238" s="214">
        <v>9</v>
      </c>
    </row>
    <row r="239" spans="1:19" ht="30" customHeight="1">
      <c r="A239" s="99"/>
      <c r="B239" s="98"/>
      <c r="C239" s="103"/>
      <c r="D239" s="101"/>
      <c r="E239" s="104"/>
      <c r="F239" s="104"/>
      <c r="G239" s="89"/>
      <c r="H239" s="5" t="s">
        <v>326</v>
      </c>
      <c r="I239" s="10">
        <v>663</v>
      </c>
      <c r="J239" s="7">
        <v>7</v>
      </c>
      <c r="K239" s="7">
        <v>2</v>
      </c>
      <c r="L239" s="95" t="s">
        <v>688</v>
      </c>
      <c r="M239" s="96" t="s">
        <v>563</v>
      </c>
      <c r="N239" s="96" t="s">
        <v>593</v>
      </c>
      <c r="O239" s="96" t="s">
        <v>620</v>
      </c>
      <c r="P239" s="10"/>
      <c r="Q239" s="214">
        <f aca="true" t="shared" si="26" ref="Q239:S240">Q240</f>
        <v>25</v>
      </c>
      <c r="R239" s="214">
        <f t="shared" si="26"/>
        <v>25</v>
      </c>
      <c r="S239" s="214">
        <f t="shared" si="26"/>
        <v>25</v>
      </c>
    </row>
    <row r="240" spans="1:19" ht="30" customHeight="1">
      <c r="A240" s="99"/>
      <c r="B240" s="98"/>
      <c r="C240" s="103"/>
      <c r="D240" s="101"/>
      <c r="E240" s="104"/>
      <c r="F240" s="104"/>
      <c r="G240" s="89"/>
      <c r="H240" s="5" t="s">
        <v>325</v>
      </c>
      <c r="I240" s="10">
        <v>663</v>
      </c>
      <c r="J240" s="7">
        <v>7</v>
      </c>
      <c r="K240" s="7">
        <v>2</v>
      </c>
      <c r="L240" s="95" t="s">
        <v>688</v>
      </c>
      <c r="M240" s="96" t="s">
        <v>563</v>
      </c>
      <c r="N240" s="96" t="s">
        <v>593</v>
      </c>
      <c r="O240" s="96" t="s">
        <v>323</v>
      </c>
      <c r="P240" s="10"/>
      <c r="Q240" s="214">
        <f t="shared" si="26"/>
        <v>25</v>
      </c>
      <c r="R240" s="214">
        <f t="shared" si="26"/>
        <v>25</v>
      </c>
      <c r="S240" s="214">
        <f t="shared" si="26"/>
        <v>25</v>
      </c>
    </row>
    <row r="241" spans="1:19" ht="30" customHeight="1">
      <c r="A241" s="99"/>
      <c r="B241" s="98"/>
      <c r="C241" s="103"/>
      <c r="D241" s="101"/>
      <c r="E241" s="104"/>
      <c r="F241" s="104"/>
      <c r="G241" s="89"/>
      <c r="H241" s="5" t="s">
        <v>722</v>
      </c>
      <c r="I241" s="10">
        <v>663</v>
      </c>
      <c r="J241" s="7">
        <v>7</v>
      </c>
      <c r="K241" s="7">
        <v>2</v>
      </c>
      <c r="L241" s="95" t="s">
        <v>688</v>
      </c>
      <c r="M241" s="96" t="s">
        <v>563</v>
      </c>
      <c r="N241" s="96" t="s">
        <v>593</v>
      </c>
      <c r="O241" s="96" t="s">
        <v>323</v>
      </c>
      <c r="P241" s="10">
        <v>610</v>
      </c>
      <c r="Q241" s="214">
        <v>25</v>
      </c>
      <c r="R241" s="214">
        <v>25</v>
      </c>
      <c r="S241" s="214">
        <v>25</v>
      </c>
    </row>
    <row r="242" spans="1:19" ht="41.25" customHeight="1">
      <c r="A242" s="99"/>
      <c r="B242" s="98"/>
      <c r="C242" s="103"/>
      <c r="D242" s="101"/>
      <c r="E242" s="104"/>
      <c r="F242" s="104"/>
      <c r="G242" s="89"/>
      <c r="H242" s="5" t="s">
        <v>686</v>
      </c>
      <c r="I242" s="10">
        <v>663</v>
      </c>
      <c r="J242" s="7">
        <v>7</v>
      </c>
      <c r="K242" s="7">
        <v>2</v>
      </c>
      <c r="L242" s="95" t="s">
        <v>688</v>
      </c>
      <c r="M242" s="96" t="s">
        <v>563</v>
      </c>
      <c r="N242" s="96" t="s">
        <v>588</v>
      </c>
      <c r="O242" s="96" t="s">
        <v>620</v>
      </c>
      <c r="P242" s="10"/>
      <c r="Q242" s="214">
        <f aca="true" t="shared" si="27" ref="Q242:S243">Q243</f>
        <v>80</v>
      </c>
      <c r="R242" s="214">
        <f t="shared" si="27"/>
        <v>80</v>
      </c>
      <c r="S242" s="214">
        <f t="shared" si="27"/>
        <v>80</v>
      </c>
    </row>
    <row r="243" spans="1:19" ht="28.5" customHeight="1">
      <c r="A243" s="99"/>
      <c r="B243" s="98"/>
      <c r="C243" s="103"/>
      <c r="D243" s="101"/>
      <c r="E243" s="104"/>
      <c r="F243" s="104"/>
      <c r="G243" s="89"/>
      <c r="H243" s="5" t="s">
        <v>325</v>
      </c>
      <c r="I243" s="10">
        <v>663</v>
      </c>
      <c r="J243" s="7">
        <v>7</v>
      </c>
      <c r="K243" s="7">
        <v>2</v>
      </c>
      <c r="L243" s="95" t="s">
        <v>688</v>
      </c>
      <c r="M243" s="96" t="s">
        <v>563</v>
      </c>
      <c r="N243" s="96" t="s">
        <v>588</v>
      </c>
      <c r="O243" s="96" t="s">
        <v>323</v>
      </c>
      <c r="P243" s="10"/>
      <c r="Q243" s="214">
        <f t="shared" si="27"/>
        <v>80</v>
      </c>
      <c r="R243" s="214">
        <f t="shared" si="27"/>
        <v>80</v>
      </c>
      <c r="S243" s="214">
        <f t="shared" si="27"/>
        <v>80</v>
      </c>
    </row>
    <row r="244" spans="1:19" ht="30" customHeight="1">
      <c r="A244" s="99"/>
      <c r="B244" s="98"/>
      <c r="C244" s="103"/>
      <c r="D244" s="101"/>
      <c r="E244" s="104"/>
      <c r="F244" s="104"/>
      <c r="G244" s="89"/>
      <c r="H244" s="5" t="s">
        <v>722</v>
      </c>
      <c r="I244" s="10">
        <v>663</v>
      </c>
      <c r="J244" s="7">
        <v>7</v>
      </c>
      <c r="K244" s="7">
        <v>2</v>
      </c>
      <c r="L244" s="95" t="s">
        <v>688</v>
      </c>
      <c r="M244" s="96" t="s">
        <v>563</v>
      </c>
      <c r="N244" s="96" t="s">
        <v>588</v>
      </c>
      <c r="O244" s="96" t="s">
        <v>323</v>
      </c>
      <c r="P244" s="10">
        <v>610</v>
      </c>
      <c r="Q244" s="214">
        <v>80</v>
      </c>
      <c r="R244" s="214">
        <v>80</v>
      </c>
      <c r="S244" s="214">
        <v>80</v>
      </c>
    </row>
    <row r="245" spans="1:19" ht="41.25" customHeight="1">
      <c r="A245" s="99"/>
      <c r="B245" s="98"/>
      <c r="C245" s="103"/>
      <c r="D245" s="101"/>
      <c r="E245" s="104"/>
      <c r="F245" s="104"/>
      <c r="G245" s="89"/>
      <c r="H245" s="117" t="s">
        <v>253</v>
      </c>
      <c r="I245" s="10">
        <v>663</v>
      </c>
      <c r="J245" s="7">
        <v>7</v>
      </c>
      <c r="K245" s="7">
        <v>2</v>
      </c>
      <c r="L245" s="95" t="s">
        <v>688</v>
      </c>
      <c r="M245" s="96" t="s">
        <v>563</v>
      </c>
      <c r="N245" s="96" t="s">
        <v>566</v>
      </c>
      <c r="O245" s="96" t="s">
        <v>620</v>
      </c>
      <c r="P245" s="10"/>
      <c r="Q245" s="214">
        <f aca="true" t="shared" si="28" ref="Q245:S246">Q246</f>
        <v>125</v>
      </c>
      <c r="R245" s="214">
        <f t="shared" si="28"/>
        <v>125</v>
      </c>
      <c r="S245" s="214">
        <f t="shared" si="28"/>
        <v>125</v>
      </c>
    </row>
    <row r="246" spans="1:19" ht="25.5" customHeight="1">
      <c r="A246" s="99"/>
      <c r="B246" s="98"/>
      <c r="C246" s="103"/>
      <c r="D246" s="101"/>
      <c r="E246" s="104"/>
      <c r="F246" s="104"/>
      <c r="G246" s="89"/>
      <c r="H246" s="5" t="s">
        <v>325</v>
      </c>
      <c r="I246" s="10">
        <v>663</v>
      </c>
      <c r="J246" s="7">
        <v>7</v>
      </c>
      <c r="K246" s="7">
        <v>2</v>
      </c>
      <c r="L246" s="95" t="s">
        <v>688</v>
      </c>
      <c r="M246" s="96" t="s">
        <v>563</v>
      </c>
      <c r="N246" s="96" t="s">
        <v>566</v>
      </c>
      <c r="O246" s="96" t="s">
        <v>323</v>
      </c>
      <c r="P246" s="10"/>
      <c r="Q246" s="214">
        <f t="shared" si="28"/>
        <v>125</v>
      </c>
      <c r="R246" s="214">
        <f t="shared" si="28"/>
        <v>125</v>
      </c>
      <c r="S246" s="214">
        <f t="shared" si="28"/>
        <v>125</v>
      </c>
    </row>
    <row r="247" spans="1:19" ht="27" customHeight="1">
      <c r="A247" s="99"/>
      <c r="B247" s="98"/>
      <c r="C247" s="103"/>
      <c r="D247" s="101"/>
      <c r="E247" s="104"/>
      <c r="F247" s="104"/>
      <c r="G247" s="89"/>
      <c r="H247" s="5" t="s">
        <v>722</v>
      </c>
      <c r="I247" s="10">
        <v>663</v>
      </c>
      <c r="J247" s="7">
        <v>7</v>
      </c>
      <c r="K247" s="7">
        <v>2</v>
      </c>
      <c r="L247" s="95" t="s">
        <v>688</v>
      </c>
      <c r="M247" s="96" t="s">
        <v>563</v>
      </c>
      <c r="N247" s="96" t="s">
        <v>566</v>
      </c>
      <c r="O247" s="96" t="s">
        <v>323</v>
      </c>
      <c r="P247" s="10">
        <v>610</v>
      </c>
      <c r="Q247" s="214">
        <v>125</v>
      </c>
      <c r="R247" s="214">
        <v>125</v>
      </c>
      <c r="S247" s="214">
        <v>125</v>
      </c>
    </row>
    <row r="248" spans="1:19" ht="33" customHeight="1">
      <c r="A248" s="99"/>
      <c r="B248" s="98"/>
      <c r="C248" s="103"/>
      <c r="D248" s="101"/>
      <c r="E248" s="113"/>
      <c r="F248" s="113"/>
      <c r="G248" s="89"/>
      <c r="H248" s="5" t="s">
        <v>299</v>
      </c>
      <c r="I248" s="8">
        <v>663</v>
      </c>
      <c r="J248" s="7">
        <v>7</v>
      </c>
      <c r="K248" s="7">
        <v>2</v>
      </c>
      <c r="L248" s="16">
        <v>91</v>
      </c>
      <c r="M248" s="96" t="s">
        <v>563</v>
      </c>
      <c r="N248" s="96" t="s">
        <v>583</v>
      </c>
      <c r="O248" s="96" t="s">
        <v>620</v>
      </c>
      <c r="P248" s="10"/>
      <c r="Q248" s="214">
        <f>Q249+Q256</f>
        <v>0</v>
      </c>
      <c r="R248" s="214">
        <f>R249+R256+R254+R252</f>
        <v>158094.90000000002</v>
      </c>
      <c r="S248" s="214">
        <f>S249+S256+S254+S252</f>
        <v>164364.90000000002</v>
      </c>
    </row>
    <row r="249" spans="1:19" ht="33" customHeight="1">
      <c r="A249" s="99"/>
      <c r="B249" s="98"/>
      <c r="C249" s="103"/>
      <c r="D249" s="101"/>
      <c r="E249" s="113"/>
      <c r="F249" s="113"/>
      <c r="G249" s="89"/>
      <c r="H249" s="5" t="s">
        <v>334</v>
      </c>
      <c r="I249" s="8">
        <v>663</v>
      </c>
      <c r="J249" s="7">
        <v>7</v>
      </c>
      <c r="K249" s="7">
        <v>2</v>
      </c>
      <c r="L249" s="16">
        <v>91</v>
      </c>
      <c r="M249" s="96" t="s">
        <v>563</v>
      </c>
      <c r="N249" s="96" t="s">
        <v>583</v>
      </c>
      <c r="O249" s="96" t="s">
        <v>323</v>
      </c>
      <c r="P249" s="10"/>
      <c r="Q249" s="214">
        <f>SUM(Q250:Q251)</f>
        <v>0</v>
      </c>
      <c r="R249" s="214">
        <f>SUM(R250:R251)</f>
        <v>34860.6</v>
      </c>
      <c r="S249" s="214">
        <f>SUM(S250:S251)</f>
        <v>34860.6</v>
      </c>
    </row>
    <row r="250" spans="1:19" ht="33" customHeight="1">
      <c r="A250" s="99"/>
      <c r="B250" s="98"/>
      <c r="C250" s="103"/>
      <c r="D250" s="101"/>
      <c r="E250" s="113"/>
      <c r="F250" s="113"/>
      <c r="G250" s="89"/>
      <c r="H250" s="5" t="s">
        <v>720</v>
      </c>
      <c r="I250" s="8">
        <v>663</v>
      </c>
      <c r="J250" s="7">
        <v>7</v>
      </c>
      <c r="K250" s="7">
        <v>2</v>
      </c>
      <c r="L250" s="16">
        <v>91</v>
      </c>
      <c r="M250" s="96" t="s">
        <v>563</v>
      </c>
      <c r="N250" s="96" t="s">
        <v>583</v>
      </c>
      <c r="O250" s="96" t="s">
        <v>323</v>
      </c>
      <c r="P250" s="10">
        <v>240</v>
      </c>
      <c r="Q250" s="214">
        <v>0</v>
      </c>
      <c r="R250" s="214">
        <v>13.5</v>
      </c>
      <c r="S250" s="214">
        <v>13.5</v>
      </c>
    </row>
    <row r="251" spans="1:19" ht="33" customHeight="1">
      <c r="A251" s="99"/>
      <c r="B251" s="98"/>
      <c r="C251" s="103"/>
      <c r="D251" s="101"/>
      <c r="E251" s="113"/>
      <c r="F251" s="113"/>
      <c r="G251" s="89"/>
      <c r="H251" s="5" t="s">
        <v>722</v>
      </c>
      <c r="I251" s="8">
        <v>663</v>
      </c>
      <c r="J251" s="7">
        <v>7</v>
      </c>
      <c r="K251" s="7">
        <v>2</v>
      </c>
      <c r="L251" s="16">
        <v>91</v>
      </c>
      <c r="M251" s="96" t="s">
        <v>563</v>
      </c>
      <c r="N251" s="96" t="s">
        <v>583</v>
      </c>
      <c r="O251" s="96" t="s">
        <v>323</v>
      </c>
      <c r="P251" s="10">
        <v>610</v>
      </c>
      <c r="Q251" s="214">
        <v>0</v>
      </c>
      <c r="R251" s="214">
        <f>'Приложение 10'!Q459</f>
        <v>34847.1</v>
      </c>
      <c r="S251" s="214">
        <f>'Приложение 10'!R459</f>
        <v>34847.1</v>
      </c>
    </row>
    <row r="252" spans="1:19" ht="33" customHeight="1">
      <c r="A252" s="99"/>
      <c r="B252" s="98"/>
      <c r="C252" s="103"/>
      <c r="D252" s="101"/>
      <c r="E252" s="113"/>
      <c r="F252" s="113"/>
      <c r="G252" s="89"/>
      <c r="H252" s="5" t="str">
        <f>'Приложение 10'!H460</f>
        <v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v>
      </c>
      <c r="I252" s="8">
        <f>'Приложение 10'!I460</f>
        <v>663</v>
      </c>
      <c r="J252" s="7">
        <f>'Приложение 10'!J460</f>
        <v>7</v>
      </c>
      <c r="K252" s="7">
        <f>'Приложение 10'!K460</f>
        <v>2</v>
      </c>
      <c r="L252" s="16">
        <f>'Приложение 10'!L460</f>
        <v>91</v>
      </c>
      <c r="M252" s="96" t="str">
        <f>'Приложение 10'!M460</f>
        <v>0</v>
      </c>
      <c r="N252" s="96" t="str">
        <f>'Приложение 10'!N460</f>
        <v>00</v>
      </c>
      <c r="O252" s="96" t="str">
        <f>'Приложение 10'!O460</f>
        <v>53031</v>
      </c>
      <c r="P252" s="10" t="s">
        <v>621</v>
      </c>
      <c r="Q252" s="214">
        <f>'Приложение 10'!Q460</f>
        <v>9343.2</v>
      </c>
      <c r="R252" s="214">
        <f>'Приложение 10'!R460</f>
        <v>9343.2</v>
      </c>
      <c r="S252" s="214">
        <f>S253</f>
        <v>9343.2</v>
      </c>
    </row>
    <row r="253" spans="1:19" ht="33" customHeight="1">
      <c r="A253" s="99"/>
      <c r="B253" s="98"/>
      <c r="C253" s="103"/>
      <c r="D253" s="101"/>
      <c r="E253" s="113"/>
      <c r="F253" s="113"/>
      <c r="G253" s="89"/>
      <c r="H253" s="5" t="str">
        <f>'Приложение 10'!H461</f>
        <v>Субсидии бюджетным учреждениям</v>
      </c>
      <c r="I253" s="8">
        <f>'Приложение 10'!I461</f>
        <v>663</v>
      </c>
      <c r="J253" s="7">
        <f>'Приложение 10'!J461</f>
        <v>7</v>
      </c>
      <c r="K253" s="7">
        <f>'Приложение 10'!K461</f>
        <v>2</v>
      </c>
      <c r="L253" s="16">
        <f>'Приложение 10'!L461</f>
        <v>91</v>
      </c>
      <c r="M253" s="96" t="str">
        <f>'Приложение 10'!M461</f>
        <v>0</v>
      </c>
      <c r="N253" s="96" t="str">
        <f>'Приложение 10'!N461</f>
        <v>00</v>
      </c>
      <c r="O253" s="96" t="str">
        <f>'Приложение 10'!O461</f>
        <v>53031</v>
      </c>
      <c r="P253" s="10">
        <f>'Приложение 10'!P461</f>
        <v>610</v>
      </c>
      <c r="Q253" s="214">
        <f>'Приложение 10'!Q461</f>
        <v>9343.2</v>
      </c>
      <c r="R253" s="214">
        <f>'Приложение 10'!Q461</f>
        <v>9343.2</v>
      </c>
      <c r="S253" s="214">
        <f>'Приложение 10'!R461</f>
        <v>9343.2</v>
      </c>
    </row>
    <row r="254" spans="1:19" ht="33" customHeight="1">
      <c r="A254" s="99"/>
      <c r="B254" s="98"/>
      <c r="C254" s="103"/>
      <c r="D254" s="101"/>
      <c r="E254" s="113"/>
      <c r="F254" s="113"/>
      <c r="G254" s="89"/>
      <c r="H254" s="5" t="str">
        <f>'Приложение 10'!H462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54" s="8">
        <f>'Приложение 10'!I462</f>
        <v>663</v>
      </c>
      <c r="J254" s="7">
        <f>'Приложение 10'!J462</f>
        <v>7</v>
      </c>
      <c r="K254" s="7">
        <f>'Приложение 10'!K462</f>
        <v>2</v>
      </c>
      <c r="L254" s="16">
        <f>'Приложение 10'!L462</f>
        <v>91</v>
      </c>
      <c r="M254" s="96" t="str">
        <f>'Приложение 10'!M462</f>
        <v>0</v>
      </c>
      <c r="N254" s="96" t="str">
        <f>'Приложение 10'!N462</f>
        <v>00</v>
      </c>
      <c r="O254" s="96" t="str">
        <f>'Приложение 10'!O462</f>
        <v>70030</v>
      </c>
      <c r="P254" s="10" t="s">
        <v>621</v>
      </c>
      <c r="Q254" s="214">
        <f>'Приложение 10'!Q462</f>
        <v>7879.7</v>
      </c>
      <c r="R254" s="214">
        <f>R255</f>
        <v>7879.7</v>
      </c>
      <c r="S254" s="214">
        <f>S255</f>
        <v>7879.7</v>
      </c>
    </row>
    <row r="255" spans="1:19" ht="33" customHeight="1">
      <c r="A255" s="99"/>
      <c r="B255" s="98"/>
      <c r="C255" s="103"/>
      <c r="D255" s="101"/>
      <c r="E255" s="113"/>
      <c r="F255" s="113"/>
      <c r="G255" s="89"/>
      <c r="H255" s="5" t="str">
        <f>'Приложение 10'!H463</f>
        <v>Субсидии бюджетным учреждениям</v>
      </c>
      <c r="I255" s="8">
        <f>'Приложение 10'!I463</f>
        <v>663</v>
      </c>
      <c r="J255" s="7">
        <f>'Приложение 10'!J463</f>
        <v>7</v>
      </c>
      <c r="K255" s="7">
        <f>'Приложение 10'!K463</f>
        <v>2</v>
      </c>
      <c r="L255" s="16">
        <f>'Приложение 10'!L463</f>
        <v>91</v>
      </c>
      <c r="M255" s="96" t="str">
        <f>'Приложение 10'!M463</f>
        <v>0</v>
      </c>
      <c r="N255" s="96" t="str">
        <f>'Приложение 10'!N463</f>
        <v>00</v>
      </c>
      <c r="O255" s="96" t="str">
        <f>'Приложение 10'!O463</f>
        <v>70030</v>
      </c>
      <c r="P255" s="10">
        <f>'Приложение 10'!P463</f>
        <v>610</v>
      </c>
      <c r="Q255" s="214">
        <f>'Приложение 10'!Q463</f>
        <v>7879.7</v>
      </c>
      <c r="R255" s="214">
        <f>'Приложение 10'!Q463</f>
        <v>7879.7</v>
      </c>
      <c r="S255" s="214">
        <f>'Приложение 10'!R463</f>
        <v>7879.7</v>
      </c>
    </row>
    <row r="256" spans="1:19" ht="33" customHeight="1">
      <c r="A256" s="99"/>
      <c r="B256" s="98"/>
      <c r="C256" s="103"/>
      <c r="D256" s="101"/>
      <c r="E256" s="113"/>
      <c r="F256" s="113"/>
      <c r="G256" s="89"/>
      <c r="H256" s="5" t="s">
        <v>333</v>
      </c>
      <c r="I256" s="8">
        <v>663</v>
      </c>
      <c r="J256" s="7">
        <v>7</v>
      </c>
      <c r="K256" s="7">
        <v>2</v>
      </c>
      <c r="L256" s="16">
        <v>91</v>
      </c>
      <c r="M256" s="96" t="s">
        <v>563</v>
      </c>
      <c r="N256" s="96" t="s">
        <v>583</v>
      </c>
      <c r="O256" s="96" t="s">
        <v>332</v>
      </c>
      <c r="P256" s="10"/>
      <c r="Q256" s="214">
        <f>Q257</f>
        <v>0</v>
      </c>
      <c r="R256" s="214">
        <f>R257</f>
        <v>106011.4</v>
      </c>
      <c r="S256" s="214">
        <f>S257</f>
        <v>112281.4</v>
      </c>
    </row>
    <row r="257" spans="1:19" ht="33" customHeight="1">
      <c r="A257" s="99"/>
      <c r="B257" s="98"/>
      <c r="C257" s="103"/>
      <c r="D257" s="101"/>
      <c r="E257" s="113"/>
      <c r="F257" s="113"/>
      <c r="G257" s="89"/>
      <c r="H257" s="5" t="s">
        <v>722</v>
      </c>
      <c r="I257" s="8">
        <v>663</v>
      </c>
      <c r="J257" s="7">
        <v>7</v>
      </c>
      <c r="K257" s="7">
        <v>2</v>
      </c>
      <c r="L257" s="16">
        <v>91</v>
      </c>
      <c r="M257" s="96" t="s">
        <v>563</v>
      </c>
      <c r="N257" s="96" t="s">
        <v>583</v>
      </c>
      <c r="O257" s="96" t="s">
        <v>332</v>
      </c>
      <c r="P257" s="10">
        <v>610</v>
      </c>
      <c r="Q257" s="214">
        <v>0</v>
      </c>
      <c r="R257" s="214">
        <v>106011.4</v>
      </c>
      <c r="S257" s="214">
        <v>112281.4</v>
      </c>
    </row>
    <row r="258" spans="1:19" s="179" customFormat="1" ht="25.5" customHeight="1">
      <c r="A258" s="142"/>
      <c r="B258" s="143"/>
      <c r="C258" s="153"/>
      <c r="D258" s="150"/>
      <c r="E258" s="154"/>
      <c r="F258" s="154"/>
      <c r="G258" s="136"/>
      <c r="H258" s="149" t="s">
        <v>347</v>
      </c>
      <c r="I258" s="152">
        <v>663</v>
      </c>
      <c r="J258" s="148">
        <v>7</v>
      </c>
      <c r="K258" s="148">
        <v>3</v>
      </c>
      <c r="L258" s="139"/>
      <c r="M258" s="141"/>
      <c r="N258" s="141"/>
      <c r="O258" s="141"/>
      <c r="P258" s="138"/>
      <c r="Q258" s="213" t="e">
        <f>#REF!+Q265+Q259</f>
        <v>#REF!</v>
      </c>
      <c r="R258" s="213">
        <f>R265+R259</f>
        <v>12805.6</v>
      </c>
      <c r="S258" s="213">
        <f>S265+S259</f>
        <v>12805.6</v>
      </c>
    </row>
    <row r="259" spans="1:19" s="179" customFormat="1" ht="29.25" customHeight="1">
      <c r="A259" s="142"/>
      <c r="B259" s="143"/>
      <c r="C259" s="153"/>
      <c r="D259" s="235"/>
      <c r="E259" s="166"/>
      <c r="F259" s="166"/>
      <c r="G259" s="136"/>
      <c r="H259" s="257" t="s">
        <v>665</v>
      </c>
      <c r="I259" s="10">
        <v>27</v>
      </c>
      <c r="J259" s="7">
        <v>7</v>
      </c>
      <c r="K259" s="7">
        <v>3</v>
      </c>
      <c r="L259" s="95" t="s">
        <v>666</v>
      </c>
      <c r="M259" s="96" t="s">
        <v>563</v>
      </c>
      <c r="N259" s="96" t="s">
        <v>583</v>
      </c>
      <c r="O259" s="96" t="s">
        <v>620</v>
      </c>
      <c r="P259" s="6"/>
      <c r="Q259" s="216">
        <f aca="true" t="shared" si="29" ref="Q259:S261">Q260</f>
        <v>6945</v>
      </c>
      <c r="R259" s="216">
        <f t="shared" si="29"/>
        <v>8000</v>
      </c>
      <c r="S259" s="216">
        <f t="shared" si="29"/>
        <v>8000</v>
      </c>
    </row>
    <row r="260" spans="1:19" s="179" customFormat="1" ht="35.25" customHeight="1">
      <c r="A260" s="142"/>
      <c r="B260" s="143"/>
      <c r="C260" s="153"/>
      <c r="D260" s="235"/>
      <c r="E260" s="166"/>
      <c r="F260" s="166"/>
      <c r="G260" s="136"/>
      <c r="H260" s="257" t="s">
        <v>667</v>
      </c>
      <c r="I260" s="10">
        <v>27</v>
      </c>
      <c r="J260" s="7">
        <v>7</v>
      </c>
      <c r="K260" s="7">
        <v>3</v>
      </c>
      <c r="L260" s="95" t="s">
        <v>666</v>
      </c>
      <c r="M260" s="96" t="s">
        <v>563</v>
      </c>
      <c r="N260" s="96" t="s">
        <v>588</v>
      </c>
      <c r="O260" s="96" t="s">
        <v>620</v>
      </c>
      <c r="P260" s="6"/>
      <c r="Q260" s="216">
        <f t="shared" si="29"/>
        <v>6945</v>
      </c>
      <c r="R260" s="216">
        <f>R261+R263</f>
        <v>8000</v>
      </c>
      <c r="S260" s="216">
        <f>S261+S263</f>
        <v>8000</v>
      </c>
    </row>
    <row r="261" spans="1:19" s="179" customFormat="1" ht="20.25" customHeight="1">
      <c r="A261" s="142"/>
      <c r="B261" s="143"/>
      <c r="C261" s="153"/>
      <c r="D261" s="235"/>
      <c r="E261" s="166"/>
      <c r="F261" s="166"/>
      <c r="G261" s="136"/>
      <c r="H261" s="257" t="s">
        <v>335</v>
      </c>
      <c r="I261" s="10">
        <v>27</v>
      </c>
      <c r="J261" s="7">
        <v>7</v>
      </c>
      <c r="K261" s="7">
        <v>3</v>
      </c>
      <c r="L261" s="95" t="s">
        <v>666</v>
      </c>
      <c r="M261" s="96" t="s">
        <v>563</v>
      </c>
      <c r="N261" s="96" t="s">
        <v>588</v>
      </c>
      <c r="O261" s="96" t="s">
        <v>270</v>
      </c>
      <c r="P261" s="6"/>
      <c r="Q261" s="216">
        <f t="shared" si="29"/>
        <v>6945</v>
      </c>
      <c r="R261" s="216">
        <f t="shared" si="29"/>
        <v>6506.6</v>
      </c>
      <c r="S261" s="216">
        <f t="shared" si="29"/>
        <v>6179.4</v>
      </c>
    </row>
    <row r="262" spans="1:19" s="179" customFormat="1" ht="20.25" customHeight="1">
      <c r="A262" s="142"/>
      <c r="B262" s="143"/>
      <c r="C262" s="153"/>
      <c r="D262" s="235"/>
      <c r="E262" s="166"/>
      <c r="F262" s="166"/>
      <c r="G262" s="136"/>
      <c r="H262" s="257" t="s">
        <v>722</v>
      </c>
      <c r="I262" s="10">
        <v>27</v>
      </c>
      <c r="J262" s="7">
        <v>7</v>
      </c>
      <c r="K262" s="7">
        <v>3</v>
      </c>
      <c r="L262" s="95" t="s">
        <v>666</v>
      </c>
      <c r="M262" s="96" t="s">
        <v>563</v>
      </c>
      <c r="N262" s="96" t="s">
        <v>588</v>
      </c>
      <c r="O262" s="96" t="s">
        <v>270</v>
      </c>
      <c r="P262" s="6">
        <v>610</v>
      </c>
      <c r="Q262" s="216">
        <v>6945</v>
      </c>
      <c r="R262" s="216">
        <f>'Приложение 10'!Q214</f>
        <v>6506.6</v>
      </c>
      <c r="S262" s="216">
        <f>'Приложение 10'!R214</f>
        <v>6179.4</v>
      </c>
    </row>
    <row r="263" spans="1:19" s="179" customFormat="1" ht="20.25" customHeight="1">
      <c r="A263" s="142"/>
      <c r="B263" s="143"/>
      <c r="C263" s="153"/>
      <c r="D263" s="235"/>
      <c r="E263" s="166"/>
      <c r="F263" s="166"/>
      <c r="G263" s="136"/>
      <c r="H263" s="257" t="str">
        <f>'Приложение 10'!H215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63" s="13">
        <f>'Приложение 10'!I215</f>
        <v>27</v>
      </c>
      <c r="J263" s="7">
        <f>'Приложение 10'!J215</f>
        <v>7</v>
      </c>
      <c r="K263" s="7">
        <f>'Приложение 10'!K215</f>
        <v>3</v>
      </c>
      <c r="L263" s="95" t="str">
        <f>'Приложение 10'!L215</f>
        <v>34</v>
      </c>
      <c r="M263" s="96" t="str">
        <f>'Приложение 10'!M215</f>
        <v>0</v>
      </c>
      <c r="N263" s="96" t="str">
        <f>'Приложение 10'!N215</f>
        <v>04</v>
      </c>
      <c r="O263" s="96" t="str">
        <f>'Приложение 10'!O215</f>
        <v>70030</v>
      </c>
      <c r="P263" s="10" t="s">
        <v>621</v>
      </c>
      <c r="Q263" s="216">
        <f>'Приложение 10'!Q215</f>
        <v>1493.4</v>
      </c>
      <c r="R263" s="214">
        <f>R264</f>
        <v>1493.4</v>
      </c>
      <c r="S263" s="216">
        <f>S264</f>
        <v>1820.6</v>
      </c>
    </row>
    <row r="264" spans="1:19" s="179" customFormat="1" ht="20.25" customHeight="1">
      <c r="A264" s="142"/>
      <c r="B264" s="143"/>
      <c r="C264" s="153"/>
      <c r="D264" s="235"/>
      <c r="E264" s="166"/>
      <c r="F264" s="166"/>
      <c r="G264" s="136"/>
      <c r="H264" s="257" t="str">
        <f>'Приложение 10'!H216</f>
        <v>Субсидии бюджетным учреждениям</v>
      </c>
      <c r="I264" s="13">
        <f>'Приложение 10'!I216</f>
        <v>27</v>
      </c>
      <c r="J264" s="7">
        <f>'Приложение 10'!J216</f>
        <v>7</v>
      </c>
      <c r="K264" s="7">
        <f>'Приложение 10'!K216</f>
        <v>3</v>
      </c>
      <c r="L264" s="95" t="str">
        <f>'Приложение 10'!L216</f>
        <v>34</v>
      </c>
      <c r="M264" s="96" t="str">
        <f>'Приложение 10'!M216</f>
        <v>0</v>
      </c>
      <c r="N264" s="96" t="str">
        <f>'Приложение 10'!N216</f>
        <v>04</v>
      </c>
      <c r="O264" s="96" t="str">
        <f>'Приложение 10'!O216</f>
        <v>70030</v>
      </c>
      <c r="P264" s="10">
        <f>'Приложение 10'!P216</f>
        <v>610</v>
      </c>
      <c r="Q264" s="216">
        <f>'Приложение 10'!Q216</f>
        <v>1493.4</v>
      </c>
      <c r="R264" s="214">
        <f>'Приложение 10'!Q216</f>
        <v>1493.4</v>
      </c>
      <c r="S264" s="216">
        <f>'Приложение 10'!R216</f>
        <v>1820.6</v>
      </c>
    </row>
    <row r="265" spans="1:19" ht="26.25" customHeight="1">
      <c r="A265" s="99"/>
      <c r="B265" s="98"/>
      <c r="C265" s="103"/>
      <c r="D265" s="101"/>
      <c r="E265" s="113"/>
      <c r="F265" s="113"/>
      <c r="G265" s="89"/>
      <c r="H265" s="5" t="s">
        <v>299</v>
      </c>
      <c r="I265" s="8">
        <v>663</v>
      </c>
      <c r="J265" s="7">
        <v>7</v>
      </c>
      <c r="K265" s="7">
        <v>3</v>
      </c>
      <c r="L265" s="16">
        <v>91</v>
      </c>
      <c r="M265" s="96" t="s">
        <v>563</v>
      </c>
      <c r="N265" s="96" t="s">
        <v>583</v>
      </c>
      <c r="O265" s="96" t="s">
        <v>620</v>
      </c>
      <c r="P265" s="10"/>
      <c r="Q265" s="214">
        <f aca="true" t="shared" si="30" ref="Q265:S266">Q266</f>
        <v>0</v>
      </c>
      <c r="R265" s="214">
        <f>R266+R268</f>
        <v>4805.6</v>
      </c>
      <c r="S265" s="214">
        <f>S266+S268</f>
        <v>4805.6</v>
      </c>
    </row>
    <row r="266" spans="1:19" ht="27" customHeight="1">
      <c r="A266" s="99"/>
      <c r="B266" s="98"/>
      <c r="C266" s="103"/>
      <c r="D266" s="101"/>
      <c r="E266" s="113"/>
      <c r="F266" s="113"/>
      <c r="G266" s="89"/>
      <c r="H266" s="5" t="s">
        <v>335</v>
      </c>
      <c r="I266" s="8">
        <v>663</v>
      </c>
      <c r="J266" s="7">
        <v>7</v>
      </c>
      <c r="K266" s="7">
        <v>3</v>
      </c>
      <c r="L266" s="16">
        <v>91</v>
      </c>
      <c r="M266" s="96" t="s">
        <v>563</v>
      </c>
      <c r="N266" s="96" t="s">
        <v>583</v>
      </c>
      <c r="O266" s="96" t="s">
        <v>270</v>
      </c>
      <c r="P266" s="10"/>
      <c r="Q266" s="214">
        <f t="shared" si="30"/>
        <v>0</v>
      </c>
      <c r="R266" s="214">
        <f t="shared" si="30"/>
        <v>3680.3</v>
      </c>
      <c r="S266" s="214">
        <f t="shared" si="30"/>
        <v>3434.9</v>
      </c>
    </row>
    <row r="267" spans="1:19" ht="21" customHeight="1">
      <c r="A267" s="99"/>
      <c r="B267" s="98"/>
      <c r="C267" s="103"/>
      <c r="D267" s="101"/>
      <c r="E267" s="113"/>
      <c r="F267" s="113"/>
      <c r="G267" s="89"/>
      <c r="H267" s="5" t="s">
        <v>722</v>
      </c>
      <c r="I267" s="8">
        <v>663</v>
      </c>
      <c r="J267" s="7">
        <v>7</v>
      </c>
      <c r="K267" s="7">
        <v>3</v>
      </c>
      <c r="L267" s="16">
        <v>91</v>
      </c>
      <c r="M267" s="96" t="s">
        <v>563</v>
      </c>
      <c r="N267" s="96" t="s">
        <v>583</v>
      </c>
      <c r="O267" s="96" t="s">
        <v>270</v>
      </c>
      <c r="P267" s="10">
        <v>610</v>
      </c>
      <c r="Q267" s="214">
        <v>0</v>
      </c>
      <c r="R267" s="214">
        <f>'Приложение 10'!Q473</f>
        <v>3680.3</v>
      </c>
      <c r="S267" s="216">
        <f>'Приложение 10'!R473</f>
        <v>3434.9</v>
      </c>
    </row>
    <row r="268" spans="1:19" ht="21" customHeight="1">
      <c r="A268" s="99"/>
      <c r="B268" s="98"/>
      <c r="C268" s="97"/>
      <c r="D268" s="107"/>
      <c r="E268" s="104"/>
      <c r="F268" s="104"/>
      <c r="G268" s="89"/>
      <c r="H268" s="5" t="str">
        <f>'Приложение 10'!H474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68" s="8">
        <f>'Приложение 10'!I474</f>
        <v>663</v>
      </c>
      <c r="J268" s="7">
        <f>'Приложение 10'!J474</f>
        <v>7</v>
      </c>
      <c r="K268" s="7">
        <f>'Приложение 10'!K474</f>
        <v>3</v>
      </c>
      <c r="L268" s="16">
        <f>'Приложение 10'!L474</f>
        <v>91</v>
      </c>
      <c r="M268" s="96" t="str">
        <f>'Приложение 10'!M474</f>
        <v>0</v>
      </c>
      <c r="N268" s="96" t="str">
        <f>'Приложение 10'!N474</f>
        <v>00</v>
      </c>
      <c r="O268" s="96" t="str">
        <f>'Приложение 10'!O474</f>
        <v>70030</v>
      </c>
      <c r="P268" s="10" t="s">
        <v>621</v>
      </c>
      <c r="Q268" s="214">
        <f>'Приложение 10'!Q474</f>
        <v>1125.3</v>
      </c>
      <c r="R268" s="214">
        <f>R269</f>
        <v>1125.3</v>
      </c>
      <c r="S268" s="216">
        <f>S269</f>
        <v>1370.7</v>
      </c>
    </row>
    <row r="269" spans="1:19" ht="21" customHeight="1">
      <c r="A269" s="99"/>
      <c r="B269" s="98"/>
      <c r="C269" s="97"/>
      <c r="D269" s="107"/>
      <c r="E269" s="104"/>
      <c r="F269" s="104"/>
      <c r="G269" s="89"/>
      <c r="H269" s="5" t="str">
        <f>'Приложение 10'!H475</f>
        <v>Субсидии бюджетным учреждениям</v>
      </c>
      <c r="I269" s="8">
        <f>'Приложение 10'!I475</f>
        <v>663</v>
      </c>
      <c r="J269" s="7">
        <f>'Приложение 10'!J475</f>
        <v>7</v>
      </c>
      <c r="K269" s="7">
        <f>'Приложение 10'!K475</f>
        <v>3</v>
      </c>
      <c r="L269" s="16">
        <f>'Приложение 10'!L475</f>
        <v>91</v>
      </c>
      <c r="M269" s="96" t="str">
        <f>'Приложение 10'!M475</f>
        <v>0</v>
      </c>
      <c r="N269" s="96" t="str">
        <f>'Приложение 10'!N475</f>
        <v>00</v>
      </c>
      <c r="O269" s="96" t="str">
        <f>'Приложение 10'!O475</f>
        <v>70030</v>
      </c>
      <c r="P269" s="10">
        <f>'Приложение 10'!P475</f>
        <v>610</v>
      </c>
      <c r="Q269" s="214">
        <f>'Приложение 10'!Q475</f>
        <v>1125.3</v>
      </c>
      <c r="R269" s="214">
        <f>'Приложение 10'!Q475</f>
        <v>1125.3</v>
      </c>
      <c r="S269" s="216">
        <f>'Приложение 10'!R475</f>
        <v>1370.7</v>
      </c>
    </row>
    <row r="270" spans="1:19" ht="21" customHeight="1">
      <c r="A270" s="99"/>
      <c r="B270" s="98"/>
      <c r="C270" s="97"/>
      <c r="D270" s="107"/>
      <c r="E270" s="104"/>
      <c r="F270" s="104"/>
      <c r="G270" s="89"/>
      <c r="H270" s="149" t="s">
        <v>338</v>
      </c>
      <c r="I270" s="152"/>
      <c r="J270" s="148">
        <v>7</v>
      </c>
      <c r="K270" s="148">
        <v>7</v>
      </c>
      <c r="L270" s="139"/>
      <c r="M270" s="141"/>
      <c r="N270" s="141"/>
      <c r="O270" s="141"/>
      <c r="P270" s="138"/>
      <c r="Q270" s="213" t="e">
        <f>Q271</f>
        <v>#REF!</v>
      </c>
      <c r="R270" s="213">
        <f>R271</f>
        <v>550</v>
      </c>
      <c r="S270" s="217">
        <f>S271</f>
        <v>550</v>
      </c>
    </row>
    <row r="271" spans="1:19" ht="18.75" customHeight="1">
      <c r="A271" s="99"/>
      <c r="B271" s="98"/>
      <c r="C271" s="97"/>
      <c r="D271" s="94"/>
      <c r="E271" s="94"/>
      <c r="F271" s="94"/>
      <c r="G271" s="89"/>
      <c r="H271" s="5" t="s">
        <v>669</v>
      </c>
      <c r="I271" s="6">
        <v>27</v>
      </c>
      <c r="J271" s="7">
        <v>7</v>
      </c>
      <c r="K271" s="7">
        <v>7</v>
      </c>
      <c r="L271" s="95" t="s">
        <v>668</v>
      </c>
      <c r="M271" s="96" t="s">
        <v>563</v>
      </c>
      <c r="N271" s="96" t="s">
        <v>583</v>
      </c>
      <c r="O271" s="96" t="s">
        <v>620</v>
      </c>
      <c r="P271" s="10"/>
      <c r="Q271" s="214" t="e">
        <f>Q272+Q275+Q278</f>
        <v>#REF!</v>
      </c>
      <c r="R271" s="214">
        <f>R272+R275+R278</f>
        <v>550</v>
      </c>
      <c r="S271" s="214">
        <f>S272+S275+S278</f>
        <v>550</v>
      </c>
    </row>
    <row r="272" spans="1:19" ht="38.25" customHeight="1">
      <c r="A272" s="99"/>
      <c r="B272" s="98"/>
      <c r="C272" s="97"/>
      <c r="D272" s="363">
        <v>4270000</v>
      </c>
      <c r="E272" s="363"/>
      <c r="F272" s="363"/>
      <c r="G272" s="89">
        <v>622</v>
      </c>
      <c r="H272" s="18" t="s">
        <v>671</v>
      </c>
      <c r="I272" s="6">
        <v>27</v>
      </c>
      <c r="J272" s="7">
        <v>7</v>
      </c>
      <c r="K272" s="7">
        <v>7</v>
      </c>
      <c r="L272" s="95" t="s">
        <v>668</v>
      </c>
      <c r="M272" s="96" t="s">
        <v>563</v>
      </c>
      <c r="N272" s="96" t="s">
        <v>564</v>
      </c>
      <c r="O272" s="96" t="s">
        <v>620</v>
      </c>
      <c r="P272" s="10"/>
      <c r="Q272" s="214" t="e">
        <f>Q273+#REF!</f>
        <v>#REF!</v>
      </c>
      <c r="R272" s="214">
        <f>R273</f>
        <v>200</v>
      </c>
      <c r="S272" s="214">
        <f>S273</f>
        <v>200</v>
      </c>
    </row>
    <row r="273" spans="1:19" ht="28.5" customHeight="1">
      <c r="A273" s="99"/>
      <c r="B273" s="98"/>
      <c r="C273" s="97"/>
      <c r="D273" s="101"/>
      <c r="E273" s="115"/>
      <c r="F273" s="115"/>
      <c r="G273" s="89"/>
      <c r="H273" s="18" t="s">
        <v>262</v>
      </c>
      <c r="I273" s="6">
        <v>27</v>
      </c>
      <c r="J273" s="7">
        <v>7</v>
      </c>
      <c r="K273" s="7">
        <v>7</v>
      </c>
      <c r="L273" s="95" t="s">
        <v>668</v>
      </c>
      <c r="M273" s="96" t="s">
        <v>563</v>
      </c>
      <c r="N273" s="96" t="s">
        <v>564</v>
      </c>
      <c r="O273" s="96" t="s">
        <v>263</v>
      </c>
      <c r="P273" s="6"/>
      <c r="Q273" s="216">
        <f>Q274</f>
        <v>200</v>
      </c>
      <c r="R273" s="216">
        <f>R274</f>
        <v>200</v>
      </c>
      <c r="S273" s="216">
        <f>S274</f>
        <v>200</v>
      </c>
    </row>
    <row r="274" spans="1:19" ht="21.75" customHeight="1">
      <c r="A274" s="99"/>
      <c r="B274" s="98"/>
      <c r="C274" s="97"/>
      <c r="D274" s="101"/>
      <c r="E274" s="115"/>
      <c r="F274" s="115"/>
      <c r="G274" s="89"/>
      <c r="H274" s="257" t="s">
        <v>722</v>
      </c>
      <c r="I274" s="6">
        <v>27</v>
      </c>
      <c r="J274" s="7">
        <v>7</v>
      </c>
      <c r="K274" s="7">
        <v>7</v>
      </c>
      <c r="L274" s="95" t="s">
        <v>668</v>
      </c>
      <c r="M274" s="96" t="s">
        <v>563</v>
      </c>
      <c r="N274" s="96" t="s">
        <v>564</v>
      </c>
      <c r="O274" s="96" t="s">
        <v>263</v>
      </c>
      <c r="P274" s="6">
        <v>610</v>
      </c>
      <c r="Q274" s="216">
        <v>200</v>
      </c>
      <c r="R274" s="216">
        <v>200</v>
      </c>
      <c r="S274" s="216">
        <v>200</v>
      </c>
    </row>
    <row r="275" spans="1:19" ht="33.75" customHeight="1">
      <c r="A275" s="99"/>
      <c r="B275" s="98"/>
      <c r="C275" s="103"/>
      <c r="D275" s="101"/>
      <c r="E275" s="113"/>
      <c r="F275" s="113"/>
      <c r="G275" s="105"/>
      <c r="H275" s="129" t="s">
        <v>672</v>
      </c>
      <c r="I275" s="6">
        <v>27</v>
      </c>
      <c r="J275" s="7">
        <v>7</v>
      </c>
      <c r="K275" s="7">
        <v>7</v>
      </c>
      <c r="L275" s="95" t="s">
        <v>668</v>
      </c>
      <c r="M275" s="96" t="s">
        <v>563</v>
      </c>
      <c r="N275" s="96" t="s">
        <v>592</v>
      </c>
      <c r="O275" s="96" t="s">
        <v>620</v>
      </c>
      <c r="P275" s="6"/>
      <c r="Q275" s="216">
        <f aca="true" t="shared" si="31" ref="Q275:S276">Q276</f>
        <v>100</v>
      </c>
      <c r="R275" s="216">
        <f t="shared" si="31"/>
        <v>200</v>
      </c>
      <c r="S275" s="216">
        <f t="shared" si="31"/>
        <v>200</v>
      </c>
    </row>
    <row r="276" spans="1:19" ht="27" customHeight="1">
      <c r="A276" s="99"/>
      <c r="B276" s="98"/>
      <c r="C276" s="103"/>
      <c r="D276" s="101"/>
      <c r="E276" s="113"/>
      <c r="F276" s="113"/>
      <c r="G276" s="105"/>
      <c r="H276" s="129" t="s">
        <v>262</v>
      </c>
      <c r="I276" s="6">
        <v>27</v>
      </c>
      <c r="J276" s="7">
        <v>7</v>
      </c>
      <c r="K276" s="7">
        <v>7</v>
      </c>
      <c r="L276" s="95" t="s">
        <v>668</v>
      </c>
      <c r="M276" s="96" t="s">
        <v>563</v>
      </c>
      <c r="N276" s="96" t="s">
        <v>592</v>
      </c>
      <c r="O276" s="96" t="s">
        <v>263</v>
      </c>
      <c r="P276" s="6"/>
      <c r="Q276" s="216">
        <f t="shared" si="31"/>
        <v>100</v>
      </c>
      <c r="R276" s="216">
        <f t="shared" si="31"/>
        <v>200</v>
      </c>
      <c r="S276" s="216">
        <f t="shared" si="31"/>
        <v>200</v>
      </c>
    </row>
    <row r="277" spans="1:19" ht="27" customHeight="1">
      <c r="A277" s="99"/>
      <c r="B277" s="98"/>
      <c r="C277" s="103"/>
      <c r="D277" s="101"/>
      <c r="E277" s="113"/>
      <c r="F277" s="113"/>
      <c r="G277" s="105"/>
      <c r="H277" s="257" t="s">
        <v>722</v>
      </c>
      <c r="I277" s="6">
        <v>27</v>
      </c>
      <c r="J277" s="7">
        <v>7</v>
      </c>
      <c r="K277" s="7">
        <v>7</v>
      </c>
      <c r="L277" s="95" t="s">
        <v>668</v>
      </c>
      <c r="M277" s="96" t="s">
        <v>563</v>
      </c>
      <c r="N277" s="96" t="s">
        <v>592</v>
      </c>
      <c r="O277" s="96" t="s">
        <v>263</v>
      </c>
      <c r="P277" s="6">
        <v>610</v>
      </c>
      <c r="Q277" s="216">
        <v>100</v>
      </c>
      <c r="R277" s="216">
        <v>200</v>
      </c>
      <c r="S277" s="216">
        <v>200</v>
      </c>
    </row>
    <row r="278" spans="1:19" ht="33" customHeight="1">
      <c r="A278" s="99"/>
      <c r="B278" s="98"/>
      <c r="C278" s="103"/>
      <c r="D278" s="101"/>
      <c r="E278" s="113"/>
      <c r="F278" s="113"/>
      <c r="G278" s="105"/>
      <c r="H278" s="129" t="s">
        <v>673</v>
      </c>
      <c r="I278" s="6">
        <v>27</v>
      </c>
      <c r="J278" s="7">
        <v>7</v>
      </c>
      <c r="K278" s="7">
        <v>7</v>
      </c>
      <c r="L278" s="95" t="s">
        <v>668</v>
      </c>
      <c r="M278" s="96" t="s">
        <v>563</v>
      </c>
      <c r="N278" s="96" t="s">
        <v>593</v>
      </c>
      <c r="O278" s="96" t="s">
        <v>620</v>
      </c>
      <c r="P278" s="6"/>
      <c r="Q278" s="216">
        <f aca="true" t="shared" si="32" ref="Q278:S279">Q279</f>
        <v>100</v>
      </c>
      <c r="R278" s="216">
        <f t="shared" si="32"/>
        <v>150</v>
      </c>
      <c r="S278" s="216">
        <f t="shared" si="32"/>
        <v>150</v>
      </c>
    </row>
    <row r="279" spans="1:19" ht="27" customHeight="1">
      <c r="A279" s="99"/>
      <c r="B279" s="98"/>
      <c r="C279" s="103"/>
      <c r="D279" s="101"/>
      <c r="E279" s="113"/>
      <c r="F279" s="113"/>
      <c r="G279" s="105"/>
      <c r="H279" s="129" t="s">
        <v>262</v>
      </c>
      <c r="I279" s="6">
        <v>27</v>
      </c>
      <c r="J279" s="7">
        <v>7</v>
      </c>
      <c r="K279" s="7">
        <v>7</v>
      </c>
      <c r="L279" s="95" t="s">
        <v>668</v>
      </c>
      <c r="M279" s="96" t="s">
        <v>563</v>
      </c>
      <c r="N279" s="96" t="s">
        <v>593</v>
      </c>
      <c r="O279" s="96" t="s">
        <v>263</v>
      </c>
      <c r="P279" s="6"/>
      <c r="Q279" s="216">
        <f t="shared" si="32"/>
        <v>100</v>
      </c>
      <c r="R279" s="216">
        <f t="shared" si="32"/>
        <v>150</v>
      </c>
      <c r="S279" s="216">
        <f t="shared" si="32"/>
        <v>150</v>
      </c>
    </row>
    <row r="280" spans="1:19" ht="27" customHeight="1">
      <c r="A280" s="99"/>
      <c r="B280" s="98"/>
      <c r="C280" s="103"/>
      <c r="D280" s="101"/>
      <c r="E280" s="113"/>
      <c r="F280" s="113"/>
      <c r="G280" s="105"/>
      <c r="H280" s="257" t="s">
        <v>722</v>
      </c>
      <c r="I280" s="6">
        <v>27</v>
      </c>
      <c r="J280" s="7">
        <v>7</v>
      </c>
      <c r="K280" s="7">
        <v>7</v>
      </c>
      <c r="L280" s="95" t="s">
        <v>668</v>
      </c>
      <c r="M280" s="96" t="s">
        <v>563</v>
      </c>
      <c r="N280" s="96" t="s">
        <v>593</v>
      </c>
      <c r="O280" s="96" t="s">
        <v>263</v>
      </c>
      <c r="P280" s="6">
        <v>610</v>
      </c>
      <c r="Q280" s="216">
        <v>100</v>
      </c>
      <c r="R280" s="216">
        <v>150</v>
      </c>
      <c r="S280" s="216">
        <v>150</v>
      </c>
    </row>
    <row r="281" spans="1:19" s="179" customFormat="1" ht="24.75" customHeight="1">
      <c r="A281" s="142"/>
      <c r="B281" s="143"/>
      <c r="C281" s="153"/>
      <c r="D281" s="150"/>
      <c r="E281" s="154"/>
      <c r="F281" s="154"/>
      <c r="G281" s="136"/>
      <c r="H281" s="149" t="s">
        <v>543</v>
      </c>
      <c r="I281" s="152">
        <v>663</v>
      </c>
      <c r="J281" s="148">
        <v>7</v>
      </c>
      <c r="K281" s="148">
        <v>9</v>
      </c>
      <c r="L281" s="140"/>
      <c r="M281" s="141"/>
      <c r="N281" s="141"/>
      <c r="O281" s="141"/>
      <c r="P281" s="146"/>
      <c r="Q281" s="217" t="e">
        <f>#REF!+Q282+Q293</f>
        <v>#REF!</v>
      </c>
      <c r="R281" s="217">
        <f>R282+R293</f>
        <v>17871.4</v>
      </c>
      <c r="S281" s="217">
        <f>S282+S293</f>
        <v>29002.600000000002</v>
      </c>
    </row>
    <row r="282" spans="1:19" ht="39.75" customHeight="1">
      <c r="A282" s="99"/>
      <c r="B282" s="98"/>
      <c r="C282" s="103"/>
      <c r="D282" s="101"/>
      <c r="E282" s="104"/>
      <c r="F282" s="104"/>
      <c r="G282" s="89"/>
      <c r="H282" s="5" t="s">
        <v>687</v>
      </c>
      <c r="I282" s="10">
        <v>663</v>
      </c>
      <c r="J282" s="7">
        <v>7</v>
      </c>
      <c r="K282" s="7">
        <v>9</v>
      </c>
      <c r="L282" s="95" t="s">
        <v>688</v>
      </c>
      <c r="M282" s="96" t="s">
        <v>563</v>
      </c>
      <c r="N282" s="96" t="s">
        <v>583</v>
      </c>
      <c r="O282" s="96" t="s">
        <v>620</v>
      </c>
      <c r="P282" s="10"/>
      <c r="Q282" s="214">
        <f>Q283+Q286+Q290</f>
        <v>162</v>
      </c>
      <c r="R282" s="214">
        <f>R283+R286+R290</f>
        <v>162</v>
      </c>
      <c r="S282" s="214">
        <f>S283+S286+S290</f>
        <v>162</v>
      </c>
    </row>
    <row r="283" spans="1:19" ht="33.75" customHeight="1">
      <c r="A283" s="99"/>
      <c r="B283" s="98"/>
      <c r="C283" s="103"/>
      <c r="D283" s="101"/>
      <c r="E283" s="104"/>
      <c r="F283" s="104"/>
      <c r="G283" s="89"/>
      <c r="H283" s="5" t="s">
        <v>328</v>
      </c>
      <c r="I283" s="10">
        <v>663</v>
      </c>
      <c r="J283" s="7">
        <v>7</v>
      </c>
      <c r="K283" s="7">
        <v>9</v>
      </c>
      <c r="L283" s="95" t="s">
        <v>688</v>
      </c>
      <c r="M283" s="96" t="s">
        <v>563</v>
      </c>
      <c r="N283" s="96" t="s">
        <v>564</v>
      </c>
      <c r="O283" s="96" t="s">
        <v>620</v>
      </c>
      <c r="P283" s="10"/>
      <c r="Q283" s="214">
        <f aca="true" t="shared" si="33" ref="Q283:S284">Q284</f>
        <v>10</v>
      </c>
      <c r="R283" s="214">
        <f t="shared" si="33"/>
        <v>10</v>
      </c>
      <c r="S283" s="214">
        <f t="shared" si="33"/>
        <v>10</v>
      </c>
    </row>
    <row r="284" spans="1:19" ht="42" customHeight="1">
      <c r="A284" s="99"/>
      <c r="B284" s="98"/>
      <c r="C284" s="103"/>
      <c r="D284" s="101"/>
      <c r="E284" s="104"/>
      <c r="F284" s="104"/>
      <c r="G284" s="89"/>
      <c r="H284" s="5" t="s">
        <v>327</v>
      </c>
      <c r="I284" s="10">
        <v>663</v>
      </c>
      <c r="J284" s="7">
        <v>7</v>
      </c>
      <c r="K284" s="7">
        <v>9</v>
      </c>
      <c r="L284" s="95" t="s">
        <v>688</v>
      </c>
      <c r="M284" s="96" t="s">
        <v>563</v>
      </c>
      <c r="N284" s="96" t="s">
        <v>564</v>
      </c>
      <c r="O284" s="96" t="s">
        <v>300</v>
      </c>
      <c r="P284" s="10"/>
      <c r="Q284" s="214">
        <f t="shared" si="33"/>
        <v>10</v>
      </c>
      <c r="R284" s="214">
        <f t="shared" si="33"/>
        <v>10</v>
      </c>
      <c r="S284" s="214">
        <f t="shared" si="33"/>
        <v>10</v>
      </c>
    </row>
    <row r="285" spans="1:19" ht="28.5" customHeight="1">
      <c r="A285" s="99"/>
      <c r="B285" s="98"/>
      <c r="C285" s="103"/>
      <c r="D285" s="101"/>
      <c r="E285" s="104"/>
      <c r="F285" s="104"/>
      <c r="G285" s="89"/>
      <c r="H285" s="5" t="s">
        <v>720</v>
      </c>
      <c r="I285" s="10">
        <v>663</v>
      </c>
      <c r="J285" s="7">
        <v>7</v>
      </c>
      <c r="K285" s="7">
        <v>9</v>
      </c>
      <c r="L285" s="95" t="s">
        <v>688</v>
      </c>
      <c r="M285" s="96" t="s">
        <v>563</v>
      </c>
      <c r="N285" s="96" t="s">
        <v>564</v>
      </c>
      <c r="O285" s="96" t="s">
        <v>300</v>
      </c>
      <c r="P285" s="10">
        <v>240</v>
      </c>
      <c r="Q285" s="214">
        <v>10</v>
      </c>
      <c r="R285" s="214">
        <v>10</v>
      </c>
      <c r="S285" s="214">
        <v>10</v>
      </c>
    </row>
    <row r="286" spans="1:19" ht="37.5" customHeight="1">
      <c r="A286" s="99"/>
      <c r="B286" s="98"/>
      <c r="C286" s="103"/>
      <c r="D286" s="101"/>
      <c r="E286" s="104"/>
      <c r="F286" s="104"/>
      <c r="G286" s="89"/>
      <c r="H286" s="5" t="s">
        <v>686</v>
      </c>
      <c r="I286" s="10">
        <v>663</v>
      </c>
      <c r="J286" s="7">
        <v>7</v>
      </c>
      <c r="K286" s="7">
        <v>9</v>
      </c>
      <c r="L286" s="95" t="s">
        <v>688</v>
      </c>
      <c r="M286" s="96" t="s">
        <v>563</v>
      </c>
      <c r="N286" s="96" t="s">
        <v>588</v>
      </c>
      <c r="O286" s="96" t="s">
        <v>620</v>
      </c>
      <c r="P286" s="10"/>
      <c r="Q286" s="214">
        <f>Q287</f>
        <v>77</v>
      </c>
      <c r="R286" s="214">
        <f>R287</f>
        <v>77</v>
      </c>
      <c r="S286" s="214">
        <f>S287</f>
        <v>77</v>
      </c>
    </row>
    <row r="287" spans="1:19" ht="37.5" customHeight="1">
      <c r="A287" s="99"/>
      <c r="B287" s="98"/>
      <c r="C287" s="103"/>
      <c r="D287" s="101"/>
      <c r="E287" s="104"/>
      <c r="F287" s="104"/>
      <c r="G287" s="89"/>
      <c r="H287" s="5" t="s">
        <v>327</v>
      </c>
      <c r="I287" s="10">
        <v>663</v>
      </c>
      <c r="J287" s="7">
        <v>7</v>
      </c>
      <c r="K287" s="7">
        <v>9</v>
      </c>
      <c r="L287" s="95" t="s">
        <v>688</v>
      </c>
      <c r="M287" s="96" t="s">
        <v>563</v>
      </c>
      <c r="N287" s="96" t="s">
        <v>588</v>
      </c>
      <c r="O287" s="96" t="s">
        <v>300</v>
      </c>
      <c r="P287" s="10"/>
      <c r="Q287" s="214">
        <f>SUM(Q288:Q289)</f>
        <v>77</v>
      </c>
      <c r="R287" s="214">
        <f>SUM(R288:R289)</f>
        <v>77</v>
      </c>
      <c r="S287" s="214">
        <f>SUM(S288:S289)</f>
        <v>77</v>
      </c>
    </row>
    <row r="288" spans="1:19" ht="30" customHeight="1">
      <c r="A288" s="99"/>
      <c r="B288" s="98"/>
      <c r="C288" s="103"/>
      <c r="D288" s="101"/>
      <c r="E288" s="104"/>
      <c r="F288" s="104"/>
      <c r="G288" s="89"/>
      <c r="H288" s="5" t="s">
        <v>720</v>
      </c>
      <c r="I288" s="10">
        <v>663</v>
      </c>
      <c r="J288" s="7">
        <v>7</v>
      </c>
      <c r="K288" s="7">
        <v>9</v>
      </c>
      <c r="L288" s="95" t="s">
        <v>688</v>
      </c>
      <c r="M288" s="96" t="s">
        <v>563</v>
      </c>
      <c r="N288" s="96" t="s">
        <v>588</v>
      </c>
      <c r="O288" s="96" t="s">
        <v>300</v>
      </c>
      <c r="P288" s="10">
        <v>240</v>
      </c>
      <c r="Q288" s="214">
        <v>7</v>
      </c>
      <c r="R288" s="214">
        <v>7</v>
      </c>
      <c r="S288" s="214">
        <v>7</v>
      </c>
    </row>
    <row r="289" spans="1:19" ht="27" customHeight="1">
      <c r="A289" s="99"/>
      <c r="B289" s="98"/>
      <c r="C289" s="103"/>
      <c r="D289" s="101"/>
      <c r="E289" s="104"/>
      <c r="F289" s="104"/>
      <c r="G289" s="89"/>
      <c r="H289" s="5" t="s">
        <v>725</v>
      </c>
      <c r="I289" s="10">
        <v>663</v>
      </c>
      <c r="J289" s="7">
        <v>7</v>
      </c>
      <c r="K289" s="7">
        <v>9</v>
      </c>
      <c r="L289" s="95" t="s">
        <v>688</v>
      </c>
      <c r="M289" s="96" t="s">
        <v>563</v>
      </c>
      <c r="N289" s="96" t="s">
        <v>588</v>
      </c>
      <c r="O289" s="96" t="s">
        <v>300</v>
      </c>
      <c r="P289" s="10">
        <v>320</v>
      </c>
      <c r="Q289" s="214">
        <v>70</v>
      </c>
      <c r="R289" s="214">
        <v>70</v>
      </c>
      <c r="S289" s="214">
        <v>70</v>
      </c>
    </row>
    <row r="290" spans="1:19" ht="30" customHeight="1">
      <c r="A290" s="99"/>
      <c r="B290" s="98"/>
      <c r="C290" s="103"/>
      <c r="D290" s="101"/>
      <c r="E290" s="104"/>
      <c r="F290" s="104"/>
      <c r="G290" s="89"/>
      <c r="H290" s="5" t="s">
        <v>253</v>
      </c>
      <c r="I290" s="10">
        <v>663</v>
      </c>
      <c r="J290" s="7">
        <v>7</v>
      </c>
      <c r="K290" s="7">
        <v>9</v>
      </c>
      <c r="L290" s="95" t="s">
        <v>688</v>
      </c>
      <c r="M290" s="96" t="s">
        <v>563</v>
      </c>
      <c r="N290" s="96" t="s">
        <v>566</v>
      </c>
      <c r="O290" s="96" t="s">
        <v>620</v>
      </c>
      <c r="P290" s="10"/>
      <c r="Q290" s="214">
        <f aca="true" t="shared" si="34" ref="Q290:S291">Q291</f>
        <v>75</v>
      </c>
      <c r="R290" s="214">
        <f t="shared" si="34"/>
        <v>75</v>
      </c>
      <c r="S290" s="214">
        <f t="shared" si="34"/>
        <v>75</v>
      </c>
    </row>
    <row r="291" spans="1:19" ht="33" customHeight="1">
      <c r="A291" s="99"/>
      <c r="B291" s="98"/>
      <c r="C291" s="103"/>
      <c r="D291" s="101"/>
      <c r="E291" s="104"/>
      <c r="F291" s="104"/>
      <c r="G291" s="89"/>
      <c r="H291" s="5" t="s">
        <v>327</v>
      </c>
      <c r="I291" s="10">
        <v>663</v>
      </c>
      <c r="J291" s="7">
        <v>7</v>
      </c>
      <c r="K291" s="7">
        <v>9</v>
      </c>
      <c r="L291" s="95" t="s">
        <v>688</v>
      </c>
      <c r="M291" s="96" t="s">
        <v>563</v>
      </c>
      <c r="N291" s="96" t="s">
        <v>566</v>
      </c>
      <c r="O291" s="96" t="s">
        <v>300</v>
      </c>
      <c r="P291" s="10"/>
      <c r="Q291" s="214">
        <f t="shared" si="34"/>
        <v>75</v>
      </c>
      <c r="R291" s="214">
        <f t="shared" si="34"/>
        <v>75</v>
      </c>
      <c r="S291" s="214">
        <f t="shared" si="34"/>
        <v>75</v>
      </c>
    </row>
    <row r="292" spans="1:19" ht="30" customHeight="1">
      <c r="A292" s="99"/>
      <c r="B292" s="98"/>
      <c r="C292" s="103"/>
      <c r="D292" s="101"/>
      <c r="E292" s="104"/>
      <c r="F292" s="104"/>
      <c r="G292" s="89"/>
      <c r="H292" s="5" t="s">
        <v>725</v>
      </c>
      <c r="I292" s="10">
        <v>663</v>
      </c>
      <c r="J292" s="7">
        <v>7</v>
      </c>
      <c r="K292" s="7">
        <v>9</v>
      </c>
      <c r="L292" s="95" t="s">
        <v>688</v>
      </c>
      <c r="M292" s="96" t="s">
        <v>563</v>
      </c>
      <c r="N292" s="96" t="s">
        <v>566</v>
      </c>
      <c r="O292" s="96" t="s">
        <v>300</v>
      </c>
      <c r="P292" s="10">
        <v>320</v>
      </c>
      <c r="Q292" s="214">
        <v>75</v>
      </c>
      <c r="R292" s="214">
        <v>75</v>
      </c>
      <c r="S292" s="214">
        <v>75</v>
      </c>
    </row>
    <row r="293" spans="1:19" ht="23.25" customHeight="1">
      <c r="A293" s="99"/>
      <c r="B293" s="98"/>
      <c r="C293" s="103"/>
      <c r="D293" s="101"/>
      <c r="E293" s="104"/>
      <c r="F293" s="104"/>
      <c r="G293" s="89"/>
      <c r="H293" s="22" t="s">
        <v>299</v>
      </c>
      <c r="I293" s="10">
        <v>663</v>
      </c>
      <c r="J293" s="7">
        <v>7</v>
      </c>
      <c r="K293" s="7">
        <v>9</v>
      </c>
      <c r="L293" s="95" t="s">
        <v>580</v>
      </c>
      <c r="M293" s="96" t="s">
        <v>563</v>
      </c>
      <c r="N293" s="96" t="s">
        <v>583</v>
      </c>
      <c r="O293" s="96" t="s">
        <v>620</v>
      </c>
      <c r="P293" s="10"/>
      <c r="Q293" s="214">
        <f>Q294+Q297+Q300+Q304+Q307</f>
        <v>0</v>
      </c>
      <c r="R293" s="214">
        <f>R294+R297+R300+R303+R306</f>
        <v>17709.4</v>
      </c>
      <c r="S293" s="214">
        <f>S294+S297+S300+S303+S306</f>
        <v>28840.600000000002</v>
      </c>
    </row>
    <row r="294" spans="1:19" ht="24" customHeight="1">
      <c r="A294" s="99"/>
      <c r="B294" s="98"/>
      <c r="C294" s="103"/>
      <c r="D294" s="101"/>
      <c r="E294" s="104"/>
      <c r="F294" s="104"/>
      <c r="G294" s="89"/>
      <c r="H294" s="22" t="s">
        <v>533</v>
      </c>
      <c r="I294" s="10">
        <v>663</v>
      </c>
      <c r="J294" s="7">
        <v>7</v>
      </c>
      <c r="K294" s="7">
        <v>9</v>
      </c>
      <c r="L294" s="95" t="s">
        <v>580</v>
      </c>
      <c r="M294" s="96" t="s">
        <v>563</v>
      </c>
      <c r="N294" s="96" t="s">
        <v>583</v>
      </c>
      <c r="O294" s="96" t="s">
        <v>648</v>
      </c>
      <c r="P294" s="10"/>
      <c r="Q294" s="214">
        <f>SUM(Q295:Q296)</f>
        <v>0</v>
      </c>
      <c r="R294" s="214">
        <f>SUM(R295:R296)</f>
        <v>4970.2</v>
      </c>
      <c r="S294" s="214">
        <f>SUM(S295:S296)</f>
        <v>4970.2</v>
      </c>
    </row>
    <row r="295" spans="1:19" ht="24.75" customHeight="1">
      <c r="A295" s="99"/>
      <c r="B295" s="98"/>
      <c r="C295" s="103"/>
      <c r="D295" s="101"/>
      <c r="E295" s="104"/>
      <c r="F295" s="104"/>
      <c r="G295" s="89"/>
      <c r="H295" s="22" t="s">
        <v>533</v>
      </c>
      <c r="I295" s="10">
        <v>663</v>
      </c>
      <c r="J295" s="7">
        <v>7</v>
      </c>
      <c r="K295" s="7">
        <v>9</v>
      </c>
      <c r="L295" s="95" t="s">
        <v>580</v>
      </c>
      <c r="M295" s="96" t="s">
        <v>563</v>
      </c>
      <c r="N295" s="96" t="s">
        <v>583</v>
      </c>
      <c r="O295" s="96" t="s">
        <v>648</v>
      </c>
      <c r="P295" s="10">
        <v>120</v>
      </c>
      <c r="Q295" s="214">
        <v>0</v>
      </c>
      <c r="R295" s="214">
        <f>1916.7+344</f>
        <v>2260.7</v>
      </c>
      <c r="S295" s="214">
        <f>1916.7+344</f>
        <v>2260.7</v>
      </c>
    </row>
    <row r="296" spans="1:19" ht="24.75" customHeight="1">
      <c r="A296" s="99"/>
      <c r="B296" s="98"/>
      <c r="C296" s="103"/>
      <c r="D296" s="101"/>
      <c r="E296" s="104"/>
      <c r="F296" s="104"/>
      <c r="G296" s="89"/>
      <c r="H296" s="22" t="s">
        <v>720</v>
      </c>
      <c r="I296" s="10">
        <v>663</v>
      </c>
      <c r="J296" s="7">
        <v>7</v>
      </c>
      <c r="K296" s="7">
        <v>9</v>
      </c>
      <c r="L296" s="95" t="s">
        <v>580</v>
      </c>
      <c r="M296" s="96" t="s">
        <v>563</v>
      </c>
      <c r="N296" s="96" t="s">
        <v>583</v>
      </c>
      <c r="O296" s="96" t="s">
        <v>648</v>
      </c>
      <c r="P296" s="10">
        <v>240</v>
      </c>
      <c r="Q296" s="214">
        <v>0</v>
      </c>
      <c r="R296" s="214">
        <f>3053.5-344</f>
        <v>2709.5</v>
      </c>
      <c r="S296" s="214">
        <f>3053.5-344</f>
        <v>2709.5</v>
      </c>
    </row>
    <row r="297" spans="1:19" ht="33" customHeight="1" hidden="1">
      <c r="A297" s="99"/>
      <c r="B297" s="98"/>
      <c r="C297" s="103"/>
      <c r="D297" s="101"/>
      <c r="E297" s="104"/>
      <c r="F297" s="104"/>
      <c r="G297" s="89"/>
      <c r="H297" s="22" t="s">
        <v>501</v>
      </c>
      <c r="I297" s="10">
        <v>663</v>
      </c>
      <c r="J297" s="7">
        <v>7</v>
      </c>
      <c r="K297" s="7">
        <v>9</v>
      </c>
      <c r="L297" s="95" t="s">
        <v>580</v>
      </c>
      <c r="M297" s="96" t="s">
        <v>563</v>
      </c>
      <c r="N297" s="96" t="s">
        <v>583</v>
      </c>
      <c r="O297" s="96" t="s">
        <v>300</v>
      </c>
      <c r="P297" s="10"/>
      <c r="Q297" s="214">
        <f>SUM(Q298:Q299)</f>
        <v>0</v>
      </c>
      <c r="R297" s="214">
        <f>SUM(R298:R299)</f>
        <v>0</v>
      </c>
      <c r="S297" s="214">
        <f>SUM(S298:S299)</f>
        <v>0</v>
      </c>
    </row>
    <row r="298" spans="1:19" ht="33" customHeight="1" hidden="1">
      <c r="A298" s="99"/>
      <c r="B298" s="98"/>
      <c r="C298" s="103"/>
      <c r="D298" s="101"/>
      <c r="E298" s="104"/>
      <c r="F298" s="104"/>
      <c r="G298" s="89"/>
      <c r="H298" s="22" t="s">
        <v>723</v>
      </c>
      <c r="I298" s="10">
        <v>663</v>
      </c>
      <c r="J298" s="7">
        <v>7</v>
      </c>
      <c r="K298" s="7">
        <v>9</v>
      </c>
      <c r="L298" s="95" t="s">
        <v>580</v>
      </c>
      <c r="M298" s="96" t="s">
        <v>563</v>
      </c>
      <c r="N298" s="96" t="s">
        <v>583</v>
      </c>
      <c r="O298" s="96" t="s">
        <v>300</v>
      </c>
      <c r="P298" s="10">
        <v>110</v>
      </c>
      <c r="Q298" s="214">
        <v>0</v>
      </c>
      <c r="R298" s="214">
        <v>0</v>
      </c>
      <c r="S298" s="214">
        <v>0</v>
      </c>
    </row>
    <row r="299" spans="1:19" ht="33" customHeight="1" hidden="1">
      <c r="A299" s="99"/>
      <c r="B299" s="98"/>
      <c r="C299" s="103"/>
      <c r="D299" s="101"/>
      <c r="E299" s="104"/>
      <c r="F299" s="104"/>
      <c r="G299" s="89"/>
      <c r="H299" s="22" t="s">
        <v>720</v>
      </c>
      <c r="I299" s="10">
        <v>663</v>
      </c>
      <c r="J299" s="7">
        <v>7</v>
      </c>
      <c r="K299" s="7">
        <v>9</v>
      </c>
      <c r="L299" s="95" t="s">
        <v>580</v>
      </c>
      <c r="M299" s="96" t="s">
        <v>563</v>
      </c>
      <c r="N299" s="96" t="s">
        <v>583</v>
      </c>
      <c r="O299" s="96" t="s">
        <v>300</v>
      </c>
      <c r="P299" s="10">
        <v>240</v>
      </c>
      <c r="Q299" s="214">
        <v>0</v>
      </c>
      <c r="R299" s="214">
        <v>0</v>
      </c>
      <c r="S299" s="214">
        <v>0</v>
      </c>
    </row>
    <row r="300" spans="1:19" ht="48" customHeight="1">
      <c r="A300" s="99"/>
      <c r="B300" s="98"/>
      <c r="C300" s="103"/>
      <c r="D300" s="101"/>
      <c r="E300" s="104"/>
      <c r="F300" s="104"/>
      <c r="G300" s="89"/>
      <c r="H300" s="22" t="s">
        <v>330</v>
      </c>
      <c r="I300" s="10">
        <v>663</v>
      </c>
      <c r="J300" s="7">
        <v>7</v>
      </c>
      <c r="K300" s="7">
        <v>9</v>
      </c>
      <c r="L300" s="95" t="s">
        <v>580</v>
      </c>
      <c r="M300" s="96" t="s">
        <v>563</v>
      </c>
      <c r="N300" s="96" t="s">
        <v>583</v>
      </c>
      <c r="O300" s="96" t="s">
        <v>329</v>
      </c>
      <c r="P300" s="10"/>
      <c r="Q300" s="214">
        <f>Q301+Q302</f>
        <v>0</v>
      </c>
      <c r="R300" s="214">
        <f>R301+R302</f>
        <v>9357.7</v>
      </c>
      <c r="S300" s="214">
        <f>S301+S302</f>
        <v>9357.7</v>
      </c>
    </row>
    <row r="301" spans="1:19" ht="33" customHeight="1">
      <c r="A301" s="99"/>
      <c r="B301" s="98"/>
      <c r="C301" s="103"/>
      <c r="D301" s="101"/>
      <c r="E301" s="104"/>
      <c r="F301" s="104"/>
      <c r="G301" s="89"/>
      <c r="H301" s="22" t="s">
        <v>725</v>
      </c>
      <c r="I301" s="10">
        <v>663</v>
      </c>
      <c r="J301" s="7">
        <v>7</v>
      </c>
      <c r="K301" s="7">
        <v>9</v>
      </c>
      <c r="L301" s="95" t="s">
        <v>580</v>
      </c>
      <c r="M301" s="96" t="s">
        <v>563</v>
      </c>
      <c r="N301" s="96" t="s">
        <v>583</v>
      </c>
      <c r="O301" s="96" t="s">
        <v>329</v>
      </c>
      <c r="P301" s="10">
        <v>320</v>
      </c>
      <c r="Q301" s="214">
        <v>0</v>
      </c>
      <c r="R301" s="214">
        <v>1956.6</v>
      </c>
      <c r="S301" s="214">
        <v>1956.6</v>
      </c>
    </row>
    <row r="302" spans="1:19" ht="33" customHeight="1">
      <c r="A302" s="99"/>
      <c r="B302" s="98"/>
      <c r="C302" s="103"/>
      <c r="D302" s="101"/>
      <c r="E302" s="104"/>
      <c r="F302" s="104"/>
      <c r="G302" s="89"/>
      <c r="H302" s="5" t="s">
        <v>722</v>
      </c>
      <c r="I302" s="10">
        <v>663</v>
      </c>
      <c r="J302" s="7">
        <v>7</v>
      </c>
      <c r="K302" s="7">
        <v>9</v>
      </c>
      <c r="L302" s="95" t="s">
        <v>580</v>
      </c>
      <c r="M302" s="96" t="s">
        <v>563</v>
      </c>
      <c r="N302" s="96" t="s">
        <v>583</v>
      </c>
      <c r="O302" s="96" t="s">
        <v>329</v>
      </c>
      <c r="P302" s="10">
        <v>610</v>
      </c>
      <c r="Q302" s="214"/>
      <c r="R302" s="214">
        <v>7401.1</v>
      </c>
      <c r="S302" s="214">
        <v>7401.1</v>
      </c>
    </row>
    <row r="303" spans="1:19" ht="33" customHeight="1">
      <c r="A303" s="99"/>
      <c r="B303" s="98"/>
      <c r="C303" s="103"/>
      <c r="D303" s="101"/>
      <c r="E303" s="104"/>
      <c r="F303" s="104"/>
      <c r="G303" s="89"/>
      <c r="H303" s="11" t="str">
        <f>'Приложение 10'!H529</f>
        <v>Основное мероприятие "Реализация регионального проекта "Современная школа"</v>
      </c>
      <c r="I303" s="10">
        <f>'Приложение 10'!I529</f>
        <v>663</v>
      </c>
      <c r="J303" s="7">
        <f>'Приложение 10'!J529</f>
        <v>7</v>
      </c>
      <c r="K303" s="7">
        <f>'Приложение 10'!K529</f>
        <v>9</v>
      </c>
      <c r="L303" s="95" t="str">
        <f>'Приложение 10'!L529</f>
        <v>91</v>
      </c>
      <c r="M303" s="96" t="str">
        <f>'Приложение 10'!M529</f>
        <v>0</v>
      </c>
      <c r="N303" s="96" t="str">
        <f>'Приложение 10'!N529</f>
        <v>E1</v>
      </c>
      <c r="O303" s="96" t="str">
        <f>'Приложение 10'!O529</f>
        <v>00000</v>
      </c>
      <c r="P303" s="10" t="s">
        <v>621</v>
      </c>
      <c r="Q303" s="214">
        <f>'Приложение 10'!Q529</f>
        <v>1127</v>
      </c>
      <c r="R303" s="214">
        <f>R304</f>
        <v>1127</v>
      </c>
      <c r="S303" s="214">
        <f>S304</f>
        <v>5627.9</v>
      </c>
    </row>
    <row r="304" spans="1:19" ht="51.75" customHeight="1">
      <c r="A304" s="99"/>
      <c r="B304" s="98"/>
      <c r="C304" s="103"/>
      <c r="D304" s="101"/>
      <c r="E304" s="104"/>
      <c r="F304" s="104"/>
      <c r="G304" s="89"/>
      <c r="H304" s="11" t="s">
        <v>691</v>
      </c>
      <c r="I304" s="10">
        <v>663</v>
      </c>
      <c r="J304" s="7">
        <v>7</v>
      </c>
      <c r="K304" s="7">
        <v>9</v>
      </c>
      <c r="L304" s="95" t="s">
        <v>580</v>
      </c>
      <c r="M304" s="96" t="s">
        <v>563</v>
      </c>
      <c r="N304" s="96" t="s">
        <v>689</v>
      </c>
      <c r="O304" s="96" t="s">
        <v>72</v>
      </c>
      <c r="P304" s="10"/>
      <c r="Q304" s="214">
        <f>Q305</f>
        <v>0</v>
      </c>
      <c r="R304" s="214">
        <f>R305</f>
        <v>1127</v>
      </c>
      <c r="S304" s="214">
        <f>S305</f>
        <v>5627.9</v>
      </c>
    </row>
    <row r="305" spans="1:19" ht="24.75" customHeight="1">
      <c r="A305" s="99"/>
      <c r="B305" s="98"/>
      <c r="C305" s="103"/>
      <c r="D305" s="101"/>
      <c r="E305" s="104"/>
      <c r="F305" s="104"/>
      <c r="G305" s="89"/>
      <c r="H305" s="5" t="s">
        <v>722</v>
      </c>
      <c r="I305" s="10">
        <v>663</v>
      </c>
      <c r="J305" s="7">
        <v>7</v>
      </c>
      <c r="K305" s="7">
        <v>9</v>
      </c>
      <c r="L305" s="95" t="s">
        <v>580</v>
      </c>
      <c r="M305" s="96" t="s">
        <v>563</v>
      </c>
      <c r="N305" s="96" t="s">
        <v>689</v>
      </c>
      <c r="O305" s="96" t="s">
        <v>72</v>
      </c>
      <c r="P305" s="10">
        <v>610</v>
      </c>
      <c r="Q305" s="214"/>
      <c r="R305" s="214">
        <v>1127</v>
      </c>
      <c r="S305" s="214">
        <v>5627.9</v>
      </c>
    </row>
    <row r="306" spans="1:19" ht="24.75" customHeight="1">
      <c r="A306" s="99"/>
      <c r="B306" s="98"/>
      <c r="C306" s="103"/>
      <c r="D306" s="101"/>
      <c r="E306" s="104"/>
      <c r="F306" s="104"/>
      <c r="G306" s="89"/>
      <c r="H306" s="11" t="s">
        <v>130</v>
      </c>
      <c r="I306" s="10"/>
      <c r="J306" s="7">
        <v>7</v>
      </c>
      <c r="K306" s="7">
        <v>9</v>
      </c>
      <c r="L306" s="95" t="s">
        <v>580</v>
      </c>
      <c r="M306" s="96" t="s">
        <v>563</v>
      </c>
      <c r="N306" s="96" t="s">
        <v>692</v>
      </c>
      <c r="O306" s="96" t="s">
        <v>620</v>
      </c>
      <c r="P306" s="10"/>
      <c r="Q306" s="214"/>
      <c r="R306" s="214">
        <f>R307</f>
        <v>2254.5</v>
      </c>
      <c r="S306" s="214">
        <f>S307</f>
        <v>8884.8</v>
      </c>
    </row>
    <row r="307" spans="1:19" ht="33" customHeight="1">
      <c r="A307" s="99"/>
      <c r="B307" s="98"/>
      <c r="C307" s="103"/>
      <c r="D307" s="101"/>
      <c r="E307" s="104"/>
      <c r="F307" s="104"/>
      <c r="G307" s="89"/>
      <c r="H307" s="11" t="s">
        <v>694</v>
      </c>
      <c r="I307" s="10">
        <v>663</v>
      </c>
      <c r="J307" s="7">
        <v>7</v>
      </c>
      <c r="K307" s="7">
        <v>9</v>
      </c>
      <c r="L307" s="95" t="s">
        <v>580</v>
      </c>
      <c r="M307" s="96" t="s">
        <v>563</v>
      </c>
      <c r="N307" s="96" t="s">
        <v>692</v>
      </c>
      <c r="O307" s="96" t="s">
        <v>71</v>
      </c>
      <c r="P307" s="10"/>
      <c r="Q307" s="214">
        <f>Q308</f>
        <v>0</v>
      </c>
      <c r="R307" s="214">
        <f>R308</f>
        <v>2254.5</v>
      </c>
      <c r="S307" s="214">
        <f>S308</f>
        <v>8884.8</v>
      </c>
    </row>
    <row r="308" spans="1:19" ht="27" customHeight="1">
      <c r="A308" s="99"/>
      <c r="B308" s="98"/>
      <c r="C308" s="103"/>
      <c r="D308" s="101"/>
      <c r="E308" s="104"/>
      <c r="F308" s="104"/>
      <c r="G308" s="89"/>
      <c r="H308" s="5" t="s">
        <v>722</v>
      </c>
      <c r="I308" s="10">
        <v>663</v>
      </c>
      <c r="J308" s="7">
        <v>7</v>
      </c>
      <c r="K308" s="7">
        <v>9</v>
      </c>
      <c r="L308" s="95" t="s">
        <v>580</v>
      </c>
      <c r="M308" s="96" t="s">
        <v>563</v>
      </c>
      <c r="N308" s="96" t="s">
        <v>692</v>
      </c>
      <c r="O308" s="96" t="s">
        <v>71</v>
      </c>
      <c r="P308" s="10">
        <v>610</v>
      </c>
      <c r="Q308" s="214"/>
      <c r="R308" s="214">
        <v>2254.5</v>
      </c>
      <c r="S308" s="214">
        <v>8884.8</v>
      </c>
    </row>
    <row r="309" spans="1:19" s="179" customFormat="1" ht="24.75" customHeight="1">
      <c r="A309" s="142"/>
      <c r="B309" s="143"/>
      <c r="C309" s="142"/>
      <c r="D309" s="380">
        <v>10000</v>
      </c>
      <c r="E309" s="381"/>
      <c r="F309" s="381"/>
      <c r="G309" s="136">
        <v>240</v>
      </c>
      <c r="H309" s="137" t="s">
        <v>542</v>
      </c>
      <c r="I309" s="138">
        <v>27</v>
      </c>
      <c r="J309" s="148">
        <v>8</v>
      </c>
      <c r="K309" s="148"/>
      <c r="L309" s="140"/>
      <c r="M309" s="141"/>
      <c r="N309" s="141"/>
      <c r="O309" s="141"/>
      <c r="P309" s="138"/>
      <c r="Q309" s="213" t="e">
        <f aca="true" t="shared" si="35" ref="Q309:S310">Q310</f>
        <v>#REF!</v>
      </c>
      <c r="R309" s="213">
        <f t="shared" si="35"/>
        <v>28683.5</v>
      </c>
      <c r="S309" s="213">
        <f t="shared" si="35"/>
        <v>26972.6</v>
      </c>
    </row>
    <row r="310" spans="1:19" s="179" customFormat="1" ht="25.5" customHeight="1">
      <c r="A310" s="142"/>
      <c r="B310" s="143"/>
      <c r="C310" s="153"/>
      <c r="D310" s="150"/>
      <c r="E310" s="379">
        <v>15200</v>
      </c>
      <c r="F310" s="379"/>
      <c r="G310" s="136">
        <v>240</v>
      </c>
      <c r="H310" s="137" t="s">
        <v>381</v>
      </c>
      <c r="I310" s="138">
        <v>27</v>
      </c>
      <c r="J310" s="148">
        <v>8</v>
      </c>
      <c r="K310" s="148">
        <v>1</v>
      </c>
      <c r="L310" s="140"/>
      <c r="M310" s="141"/>
      <c r="N310" s="141"/>
      <c r="O310" s="141"/>
      <c r="P310" s="138"/>
      <c r="Q310" s="213" t="e">
        <f t="shared" si="35"/>
        <v>#REF!</v>
      </c>
      <c r="R310" s="213">
        <f t="shared" si="35"/>
        <v>28683.5</v>
      </c>
      <c r="S310" s="213">
        <f t="shared" si="35"/>
        <v>26972.6</v>
      </c>
    </row>
    <row r="311" spans="1:19" ht="25.5" customHeight="1">
      <c r="A311" s="99"/>
      <c r="B311" s="98"/>
      <c r="C311" s="103"/>
      <c r="D311" s="101"/>
      <c r="E311" s="367">
        <v>20400</v>
      </c>
      <c r="F311" s="367"/>
      <c r="G311" s="89">
        <v>850</v>
      </c>
      <c r="H311" s="5" t="s">
        <v>665</v>
      </c>
      <c r="I311" s="10">
        <v>27</v>
      </c>
      <c r="J311" s="7">
        <v>8</v>
      </c>
      <c r="K311" s="7">
        <v>1</v>
      </c>
      <c r="L311" s="95" t="s">
        <v>666</v>
      </c>
      <c r="M311" s="96" t="s">
        <v>563</v>
      </c>
      <c r="N311" s="96" t="s">
        <v>583</v>
      </c>
      <c r="O311" s="96" t="s">
        <v>620</v>
      </c>
      <c r="P311" s="10"/>
      <c r="Q311" s="214" t="e">
        <f>Q312+Q321+#REF!</f>
        <v>#REF!</v>
      </c>
      <c r="R311" s="214">
        <f>R312+R321</f>
        <v>28683.5</v>
      </c>
      <c r="S311" s="214">
        <f>S312+S321</f>
        <v>26972.6</v>
      </c>
    </row>
    <row r="312" spans="1:19" ht="39.75" customHeight="1">
      <c r="A312" s="99"/>
      <c r="B312" s="98"/>
      <c r="C312" s="103"/>
      <c r="D312" s="101"/>
      <c r="E312" s="113"/>
      <c r="F312" s="113"/>
      <c r="G312" s="105">
        <v>120</v>
      </c>
      <c r="H312" s="18" t="s">
        <v>301</v>
      </c>
      <c r="I312" s="6">
        <v>27</v>
      </c>
      <c r="J312" s="7">
        <v>8</v>
      </c>
      <c r="K312" s="7">
        <v>1</v>
      </c>
      <c r="L312" s="95" t="s">
        <v>666</v>
      </c>
      <c r="M312" s="96" t="s">
        <v>563</v>
      </c>
      <c r="N312" s="96" t="s">
        <v>564</v>
      </c>
      <c r="O312" s="96" t="s">
        <v>620</v>
      </c>
      <c r="P312" s="6"/>
      <c r="Q312" s="216">
        <f>Q313+Q317+Q319</f>
        <v>13023.3</v>
      </c>
      <c r="R312" s="216">
        <f>R313+R317+R319+R315</f>
        <v>14682.6</v>
      </c>
      <c r="S312" s="216">
        <f>S313+S317+S319+S315</f>
        <v>14521.6</v>
      </c>
    </row>
    <row r="313" spans="1:19" ht="25.5" customHeight="1">
      <c r="A313" s="99"/>
      <c r="B313" s="98"/>
      <c r="C313" s="103"/>
      <c r="D313" s="101"/>
      <c r="E313" s="113"/>
      <c r="F313" s="113"/>
      <c r="G313" s="105"/>
      <c r="H313" s="18" t="s">
        <v>303</v>
      </c>
      <c r="I313" s="10">
        <v>27</v>
      </c>
      <c r="J313" s="7">
        <v>8</v>
      </c>
      <c r="K313" s="7">
        <v>1</v>
      </c>
      <c r="L313" s="95" t="s">
        <v>666</v>
      </c>
      <c r="M313" s="96" t="s">
        <v>563</v>
      </c>
      <c r="N313" s="96" t="s">
        <v>564</v>
      </c>
      <c r="O313" s="96" t="s">
        <v>302</v>
      </c>
      <c r="P313" s="6"/>
      <c r="Q313" s="216">
        <f>Q314</f>
        <v>11111.3</v>
      </c>
      <c r="R313" s="216">
        <f>R314</f>
        <v>10261.7</v>
      </c>
      <c r="S313" s="216">
        <f>S314</f>
        <v>9638.6</v>
      </c>
    </row>
    <row r="314" spans="1:19" ht="24.75" customHeight="1">
      <c r="A314" s="99"/>
      <c r="B314" s="98"/>
      <c r="C314" s="103"/>
      <c r="D314" s="101"/>
      <c r="E314" s="113"/>
      <c r="F314" s="113"/>
      <c r="G314" s="105"/>
      <c r="H314" s="257" t="s">
        <v>722</v>
      </c>
      <c r="I314" s="10">
        <v>27</v>
      </c>
      <c r="J314" s="7">
        <v>8</v>
      </c>
      <c r="K314" s="7">
        <v>1</v>
      </c>
      <c r="L314" s="95" t="s">
        <v>666</v>
      </c>
      <c r="M314" s="96" t="s">
        <v>563</v>
      </c>
      <c r="N314" s="96" t="s">
        <v>564</v>
      </c>
      <c r="O314" s="96" t="s">
        <v>302</v>
      </c>
      <c r="P314" s="6">
        <v>610</v>
      </c>
      <c r="Q314" s="216">
        <v>11111.3</v>
      </c>
      <c r="R314" s="216">
        <f>'Приложение 10'!Q235</f>
        <v>10261.7</v>
      </c>
      <c r="S314" s="216">
        <f>'Приложение 10'!R235</f>
        <v>9638.6</v>
      </c>
    </row>
    <row r="315" spans="1:19" ht="31.5" customHeight="1">
      <c r="A315" s="99"/>
      <c r="B315" s="98"/>
      <c r="C315" s="103"/>
      <c r="D315" s="101"/>
      <c r="E315" s="113"/>
      <c r="F315" s="113"/>
      <c r="G315" s="105"/>
      <c r="H315" s="257" t="str">
        <f>'Приложение 10'!H236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15" s="10">
        <f>'Приложение 10'!I236</f>
        <v>27</v>
      </c>
      <c r="J315" s="7">
        <f>'Приложение 10'!J236</f>
        <v>8</v>
      </c>
      <c r="K315" s="7">
        <f>'Приложение 10'!K236</f>
        <v>1</v>
      </c>
      <c r="L315" s="95" t="str">
        <f>'Приложение 10'!L236</f>
        <v>34</v>
      </c>
      <c r="M315" s="96" t="str">
        <f>'Приложение 10'!M236</f>
        <v>0</v>
      </c>
      <c r="N315" s="96" t="str">
        <f>'Приложение 10'!N236</f>
        <v>01</v>
      </c>
      <c r="O315" s="96" t="str">
        <f>'Приложение 10'!O236</f>
        <v>70030</v>
      </c>
      <c r="P315" s="6" t="s">
        <v>621</v>
      </c>
      <c r="Q315" s="216">
        <f>'Приложение 10'!Q236</f>
        <v>1656.9</v>
      </c>
      <c r="R315" s="216">
        <f>R316</f>
        <v>1656.9</v>
      </c>
      <c r="S315" s="216">
        <f>S316</f>
        <v>2119</v>
      </c>
    </row>
    <row r="316" spans="1:19" ht="24.75" customHeight="1">
      <c r="A316" s="99"/>
      <c r="B316" s="98"/>
      <c r="C316" s="103"/>
      <c r="D316" s="101"/>
      <c r="E316" s="113"/>
      <c r="F316" s="113"/>
      <c r="G316" s="105"/>
      <c r="H316" s="257" t="str">
        <f>'Приложение 10'!H237</f>
        <v>Субсидии бюджетным учреждениям</v>
      </c>
      <c r="I316" s="10">
        <f>'Приложение 10'!I237</f>
        <v>27</v>
      </c>
      <c r="J316" s="7">
        <f>'Приложение 10'!J237</f>
        <v>8</v>
      </c>
      <c r="K316" s="7">
        <f>'Приложение 10'!K237</f>
        <v>1</v>
      </c>
      <c r="L316" s="95" t="str">
        <f>'Приложение 10'!L237</f>
        <v>34</v>
      </c>
      <c r="M316" s="96" t="str">
        <f>'Приложение 10'!M237</f>
        <v>0</v>
      </c>
      <c r="N316" s="96" t="str">
        <f>'Приложение 10'!N237</f>
        <v>01</v>
      </c>
      <c r="O316" s="96" t="str">
        <f>'Приложение 10'!O237</f>
        <v>70030</v>
      </c>
      <c r="P316" s="6">
        <f>'Приложение 10'!P237</f>
        <v>610</v>
      </c>
      <c r="Q316" s="216">
        <f>'Приложение 10'!Q237</f>
        <v>1656.9</v>
      </c>
      <c r="R316" s="216">
        <f>'Приложение 10'!Q237</f>
        <v>1656.9</v>
      </c>
      <c r="S316" s="216">
        <f>'Приложение 10'!R237</f>
        <v>2119</v>
      </c>
    </row>
    <row r="317" spans="1:19" ht="24.75" customHeight="1">
      <c r="A317" s="99"/>
      <c r="B317" s="98"/>
      <c r="C317" s="103"/>
      <c r="D317" s="101"/>
      <c r="E317" s="113"/>
      <c r="F317" s="113"/>
      <c r="G317" s="105"/>
      <c r="H317" s="5" t="s">
        <v>813</v>
      </c>
      <c r="I317" s="10">
        <v>27</v>
      </c>
      <c r="J317" s="7">
        <v>8</v>
      </c>
      <c r="K317" s="7">
        <v>1</v>
      </c>
      <c r="L317" s="95" t="s">
        <v>666</v>
      </c>
      <c r="M317" s="96" t="s">
        <v>563</v>
      </c>
      <c r="N317" s="96" t="s">
        <v>564</v>
      </c>
      <c r="O317" s="96" t="s">
        <v>812</v>
      </c>
      <c r="P317" s="6"/>
      <c r="Q317" s="216">
        <f>Q318</f>
        <v>340</v>
      </c>
      <c r="R317" s="216">
        <f>R318</f>
        <v>340</v>
      </c>
      <c r="S317" s="216">
        <f>S318</f>
        <v>340</v>
      </c>
    </row>
    <row r="318" spans="1:19" ht="24" customHeight="1">
      <c r="A318" s="99"/>
      <c r="B318" s="98"/>
      <c r="C318" s="103"/>
      <c r="D318" s="101"/>
      <c r="E318" s="113"/>
      <c r="F318" s="113"/>
      <c r="G318" s="105"/>
      <c r="H318" s="257" t="s">
        <v>722</v>
      </c>
      <c r="I318" s="10">
        <v>27</v>
      </c>
      <c r="J318" s="7">
        <v>8</v>
      </c>
      <c r="K318" s="7">
        <v>1</v>
      </c>
      <c r="L318" s="95" t="s">
        <v>666</v>
      </c>
      <c r="M318" s="96" t="s">
        <v>563</v>
      </c>
      <c r="N318" s="96" t="s">
        <v>564</v>
      </c>
      <c r="O318" s="96" t="s">
        <v>812</v>
      </c>
      <c r="P318" s="6">
        <v>610</v>
      </c>
      <c r="Q318" s="216">
        <v>340</v>
      </c>
      <c r="R318" s="216">
        <v>340</v>
      </c>
      <c r="S318" s="216">
        <v>340</v>
      </c>
    </row>
    <row r="319" spans="1:19" ht="27" customHeight="1">
      <c r="A319" s="99"/>
      <c r="B319" s="98"/>
      <c r="C319" s="103"/>
      <c r="D319" s="101"/>
      <c r="E319" s="113"/>
      <c r="F319" s="113"/>
      <c r="G319" s="105"/>
      <c r="H319" s="5" t="s">
        <v>675</v>
      </c>
      <c r="I319" s="10">
        <v>27</v>
      </c>
      <c r="J319" s="7">
        <v>8</v>
      </c>
      <c r="K319" s="7">
        <v>1</v>
      </c>
      <c r="L319" s="95" t="s">
        <v>666</v>
      </c>
      <c r="M319" s="96" t="s">
        <v>563</v>
      </c>
      <c r="N319" s="96" t="s">
        <v>564</v>
      </c>
      <c r="O319" s="96" t="s">
        <v>6</v>
      </c>
      <c r="P319" s="6"/>
      <c r="Q319" s="216">
        <f>Q320</f>
        <v>1572</v>
      </c>
      <c r="R319" s="216">
        <f>R320</f>
        <v>2424</v>
      </c>
      <c r="S319" s="216">
        <f>S320</f>
        <v>2424</v>
      </c>
    </row>
    <row r="320" spans="1:19" ht="30" customHeight="1">
      <c r="A320" s="99"/>
      <c r="B320" s="98"/>
      <c r="C320" s="103"/>
      <c r="D320" s="101"/>
      <c r="E320" s="113"/>
      <c r="F320" s="113"/>
      <c r="G320" s="105"/>
      <c r="H320" s="257" t="s">
        <v>722</v>
      </c>
      <c r="I320" s="10">
        <v>27</v>
      </c>
      <c r="J320" s="7">
        <v>8</v>
      </c>
      <c r="K320" s="7">
        <v>1</v>
      </c>
      <c r="L320" s="95" t="s">
        <v>666</v>
      </c>
      <c r="M320" s="96" t="s">
        <v>563</v>
      </c>
      <c r="N320" s="96" t="s">
        <v>564</v>
      </c>
      <c r="O320" s="96" t="s">
        <v>6</v>
      </c>
      <c r="P320" s="6">
        <v>610</v>
      </c>
      <c r="Q320" s="216">
        <v>1572</v>
      </c>
      <c r="R320" s="216">
        <f>'Приложение 10'!Q241</f>
        <v>2424</v>
      </c>
      <c r="S320" s="216">
        <f>'Приложение 10'!R241</f>
        <v>2424</v>
      </c>
    </row>
    <row r="321" spans="1:19" ht="32.25" customHeight="1">
      <c r="A321" s="99"/>
      <c r="B321" s="98"/>
      <c r="C321" s="103"/>
      <c r="D321" s="101"/>
      <c r="E321" s="113"/>
      <c r="F321" s="113"/>
      <c r="G321" s="105"/>
      <c r="H321" s="5" t="s">
        <v>676</v>
      </c>
      <c r="I321" s="10">
        <v>27</v>
      </c>
      <c r="J321" s="7">
        <v>8</v>
      </c>
      <c r="K321" s="7">
        <v>1</v>
      </c>
      <c r="L321" s="95" t="s">
        <v>666</v>
      </c>
      <c r="M321" s="96" t="s">
        <v>563</v>
      </c>
      <c r="N321" s="96" t="s">
        <v>592</v>
      </c>
      <c r="O321" s="96" t="s">
        <v>620</v>
      </c>
      <c r="P321" s="6"/>
      <c r="Q321" s="216">
        <f aca="true" t="shared" si="36" ref="Q321:S322">Q322</f>
        <v>13920.6</v>
      </c>
      <c r="R321" s="216">
        <f>R322+R324</f>
        <v>14000.900000000001</v>
      </c>
      <c r="S321" s="216">
        <f>S322+S324</f>
        <v>12451</v>
      </c>
    </row>
    <row r="322" spans="1:19" ht="33" customHeight="1">
      <c r="A322" s="99"/>
      <c r="B322" s="98"/>
      <c r="C322" s="103"/>
      <c r="D322" s="101"/>
      <c r="E322" s="113"/>
      <c r="F322" s="113"/>
      <c r="G322" s="105"/>
      <c r="H322" s="5" t="s">
        <v>262</v>
      </c>
      <c r="I322" s="10">
        <v>27</v>
      </c>
      <c r="J322" s="7">
        <v>8</v>
      </c>
      <c r="K322" s="7">
        <v>1</v>
      </c>
      <c r="L322" s="95" t="s">
        <v>666</v>
      </c>
      <c r="M322" s="96" t="s">
        <v>563</v>
      </c>
      <c r="N322" s="96" t="s">
        <v>592</v>
      </c>
      <c r="O322" s="96" t="s">
        <v>263</v>
      </c>
      <c r="P322" s="6"/>
      <c r="Q322" s="216">
        <f t="shared" si="36"/>
        <v>13920.6</v>
      </c>
      <c r="R322" s="216">
        <f t="shared" si="36"/>
        <v>10383.2</v>
      </c>
      <c r="S322" s="216">
        <f t="shared" si="36"/>
        <v>7824.2</v>
      </c>
    </row>
    <row r="323" spans="1:19" ht="27" customHeight="1">
      <c r="A323" s="99"/>
      <c r="B323" s="98"/>
      <c r="C323" s="103"/>
      <c r="D323" s="101"/>
      <c r="E323" s="113"/>
      <c r="F323" s="113"/>
      <c r="G323" s="105"/>
      <c r="H323" s="5" t="s">
        <v>722</v>
      </c>
      <c r="I323" s="10">
        <v>27</v>
      </c>
      <c r="J323" s="7">
        <v>8</v>
      </c>
      <c r="K323" s="7">
        <v>1</v>
      </c>
      <c r="L323" s="95" t="s">
        <v>666</v>
      </c>
      <c r="M323" s="96" t="s">
        <v>563</v>
      </c>
      <c r="N323" s="96" t="s">
        <v>592</v>
      </c>
      <c r="O323" s="96" t="s">
        <v>263</v>
      </c>
      <c r="P323" s="6">
        <v>610</v>
      </c>
      <c r="Q323" s="216">
        <v>13920.6</v>
      </c>
      <c r="R323" s="216">
        <f>'Приложение 10'!Q244</f>
        <v>10383.2</v>
      </c>
      <c r="S323" s="216">
        <f>'Приложение 10'!R244</f>
        <v>7824.2</v>
      </c>
    </row>
    <row r="324" spans="1:19" ht="35.25" customHeight="1">
      <c r="A324" s="99"/>
      <c r="B324" s="98"/>
      <c r="C324" s="103"/>
      <c r="D324" s="101"/>
      <c r="E324" s="113"/>
      <c r="F324" s="113"/>
      <c r="G324" s="105"/>
      <c r="H324" s="5" t="str">
        <f>'Приложение 10'!H245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24" s="10">
        <f>'Приложение 10'!I245</f>
        <v>27</v>
      </c>
      <c r="J324" s="7">
        <f>'Приложение 10'!J245</f>
        <v>8</v>
      </c>
      <c r="K324" s="7">
        <f>'Приложение 10'!K245</f>
        <v>1</v>
      </c>
      <c r="L324" s="95" t="str">
        <f>'Приложение 10'!L245</f>
        <v>34</v>
      </c>
      <c r="M324" s="96" t="str">
        <f>'Приложение 10'!M245</f>
        <v>0</v>
      </c>
      <c r="N324" s="96" t="str">
        <f>'Приложение 10'!N245</f>
        <v>02</v>
      </c>
      <c r="O324" s="96" t="str">
        <f>'Приложение 10'!O245</f>
        <v>70030</v>
      </c>
      <c r="P324" s="6" t="s">
        <v>621</v>
      </c>
      <c r="Q324" s="216">
        <f>'Приложение 10'!Q245</f>
        <v>3617.7</v>
      </c>
      <c r="R324" s="216">
        <f>R325</f>
        <v>3617.7</v>
      </c>
      <c r="S324" s="216">
        <f>S325</f>
        <v>4626.8</v>
      </c>
    </row>
    <row r="325" spans="1:19" ht="27" customHeight="1">
      <c r="A325" s="99"/>
      <c r="B325" s="98"/>
      <c r="C325" s="103"/>
      <c r="D325" s="101"/>
      <c r="E325" s="113"/>
      <c r="F325" s="113"/>
      <c r="G325" s="105"/>
      <c r="H325" s="5" t="str">
        <f>'Приложение 10'!H246</f>
        <v>Субсидии бюджетным учреждениям</v>
      </c>
      <c r="I325" s="10">
        <f>'Приложение 10'!I246</f>
        <v>27</v>
      </c>
      <c r="J325" s="7">
        <f>'Приложение 10'!J246</f>
        <v>8</v>
      </c>
      <c r="K325" s="7">
        <f>'Приложение 10'!K246</f>
        <v>1</v>
      </c>
      <c r="L325" s="95" t="str">
        <f>'Приложение 10'!L246</f>
        <v>34</v>
      </c>
      <c r="M325" s="96" t="str">
        <f>'Приложение 10'!M246</f>
        <v>0</v>
      </c>
      <c r="N325" s="96" t="str">
        <f>'Приложение 10'!N246</f>
        <v>02</v>
      </c>
      <c r="O325" s="96" t="str">
        <f>'Приложение 10'!O246</f>
        <v>70030</v>
      </c>
      <c r="P325" s="6">
        <f>'Приложение 10'!P246</f>
        <v>610</v>
      </c>
      <c r="Q325" s="216">
        <f>'Приложение 10'!Q246</f>
        <v>3617.7</v>
      </c>
      <c r="R325" s="216">
        <f>'Приложение 10'!Q246</f>
        <v>3617.7</v>
      </c>
      <c r="S325" s="216">
        <f>'Приложение 10'!R246</f>
        <v>4626.8</v>
      </c>
    </row>
    <row r="326" spans="1:19" s="179" customFormat="1" ht="21" customHeight="1">
      <c r="A326" s="142"/>
      <c r="B326" s="143"/>
      <c r="C326" s="153"/>
      <c r="D326" s="150"/>
      <c r="E326" s="154"/>
      <c r="F326" s="154"/>
      <c r="G326" s="155"/>
      <c r="H326" s="149" t="s">
        <v>622</v>
      </c>
      <c r="I326" s="138">
        <v>27</v>
      </c>
      <c r="J326" s="148">
        <v>9</v>
      </c>
      <c r="K326" s="148" t="s">
        <v>621</v>
      </c>
      <c r="L326" s="140"/>
      <c r="M326" s="141"/>
      <c r="N326" s="141"/>
      <c r="O326" s="141"/>
      <c r="P326" s="146"/>
      <c r="Q326" s="217">
        <f aca="true" t="shared" si="37" ref="Q326:S328">Q327</f>
        <v>74.5</v>
      </c>
      <c r="R326" s="217">
        <f t="shared" si="37"/>
        <v>81.3</v>
      </c>
      <c r="S326" s="217">
        <f t="shared" si="37"/>
        <v>81.3</v>
      </c>
    </row>
    <row r="327" spans="1:19" s="179" customFormat="1" ht="21" customHeight="1">
      <c r="A327" s="142"/>
      <c r="B327" s="143"/>
      <c r="C327" s="153"/>
      <c r="D327" s="150"/>
      <c r="E327" s="154"/>
      <c r="F327" s="154"/>
      <c r="G327" s="155"/>
      <c r="H327" s="149" t="s">
        <v>567</v>
      </c>
      <c r="I327" s="146">
        <v>27</v>
      </c>
      <c r="J327" s="148">
        <v>9</v>
      </c>
      <c r="K327" s="148">
        <v>7</v>
      </c>
      <c r="L327" s="139" t="s">
        <v>534</v>
      </c>
      <c r="M327" s="141" t="s">
        <v>534</v>
      </c>
      <c r="N327" s="141"/>
      <c r="O327" s="141" t="s">
        <v>534</v>
      </c>
      <c r="P327" s="146"/>
      <c r="Q327" s="213">
        <f t="shared" si="37"/>
        <v>74.5</v>
      </c>
      <c r="R327" s="213">
        <f t="shared" si="37"/>
        <v>81.3</v>
      </c>
      <c r="S327" s="213">
        <f t="shared" si="37"/>
        <v>81.3</v>
      </c>
    </row>
    <row r="328" spans="1:19" ht="48" customHeight="1">
      <c r="A328" s="99"/>
      <c r="B328" s="98"/>
      <c r="C328" s="103"/>
      <c r="D328" s="101"/>
      <c r="E328" s="113"/>
      <c r="F328" s="113"/>
      <c r="G328" s="105"/>
      <c r="H328" s="34" t="s">
        <v>719</v>
      </c>
      <c r="I328" s="6">
        <v>27</v>
      </c>
      <c r="J328" s="7">
        <v>9</v>
      </c>
      <c r="K328" s="7">
        <v>7</v>
      </c>
      <c r="L328" s="16">
        <v>91</v>
      </c>
      <c r="M328" s="96" t="s">
        <v>563</v>
      </c>
      <c r="N328" s="96" t="s">
        <v>583</v>
      </c>
      <c r="O328" s="96" t="s">
        <v>650</v>
      </c>
      <c r="P328" s="6"/>
      <c r="Q328" s="214">
        <f t="shared" si="37"/>
        <v>74.5</v>
      </c>
      <c r="R328" s="214">
        <f t="shared" si="37"/>
        <v>81.3</v>
      </c>
      <c r="S328" s="214">
        <f t="shared" si="37"/>
        <v>81.3</v>
      </c>
    </row>
    <row r="329" spans="1:19" ht="27" customHeight="1">
      <c r="A329" s="99"/>
      <c r="B329" s="98"/>
      <c r="C329" s="103"/>
      <c r="D329" s="101"/>
      <c r="E329" s="113"/>
      <c r="F329" s="113"/>
      <c r="G329" s="105"/>
      <c r="H329" s="34" t="s">
        <v>720</v>
      </c>
      <c r="I329" s="6">
        <v>27</v>
      </c>
      <c r="J329" s="7">
        <v>9</v>
      </c>
      <c r="K329" s="7">
        <v>7</v>
      </c>
      <c r="L329" s="16">
        <v>91</v>
      </c>
      <c r="M329" s="96" t="s">
        <v>563</v>
      </c>
      <c r="N329" s="96" t="s">
        <v>583</v>
      </c>
      <c r="O329" s="96" t="s">
        <v>650</v>
      </c>
      <c r="P329" s="6">
        <v>240</v>
      </c>
      <c r="Q329" s="214">
        <v>74.5</v>
      </c>
      <c r="R329" s="214">
        <v>81.3</v>
      </c>
      <c r="S329" s="214">
        <v>81.3</v>
      </c>
    </row>
    <row r="330" spans="1:19" s="179" customFormat="1" ht="24" customHeight="1">
      <c r="A330" s="142"/>
      <c r="B330" s="143"/>
      <c r="C330" s="153"/>
      <c r="D330" s="150"/>
      <c r="E330" s="154"/>
      <c r="F330" s="154"/>
      <c r="G330" s="155">
        <v>321</v>
      </c>
      <c r="H330" s="149" t="s">
        <v>541</v>
      </c>
      <c r="I330" s="152">
        <v>27</v>
      </c>
      <c r="J330" s="148">
        <v>10</v>
      </c>
      <c r="K330" s="148"/>
      <c r="L330" s="140"/>
      <c r="M330" s="141"/>
      <c r="N330" s="141"/>
      <c r="O330" s="141"/>
      <c r="P330" s="146"/>
      <c r="Q330" s="217" t="e">
        <f>Q331+Q334+Q356+Q352</f>
        <v>#REF!</v>
      </c>
      <c r="R330" s="217">
        <f>R331+R334+R356+R352</f>
        <v>14150.5</v>
      </c>
      <c r="S330" s="217">
        <f>S331+S334+S356+S352</f>
        <v>14149.900000000001</v>
      </c>
    </row>
    <row r="331" spans="1:19" s="179" customFormat="1" ht="18.75" customHeight="1">
      <c r="A331" s="142"/>
      <c r="B331" s="143"/>
      <c r="C331" s="153"/>
      <c r="D331" s="150"/>
      <c r="E331" s="154"/>
      <c r="F331" s="154"/>
      <c r="G331" s="155">
        <v>612</v>
      </c>
      <c r="H331" s="149" t="s">
        <v>380</v>
      </c>
      <c r="I331" s="152">
        <v>27</v>
      </c>
      <c r="J331" s="148">
        <v>10</v>
      </c>
      <c r="K331" s="148">
        <v>1</v>
      </c>
      <c r="L331" s="140"/>
      <c r="M331" s="141"/>
      <c r="N331" s="141"/>
      <c r="O331" s="141"/>
      <c r="P331" s="146"/>
      <c r="Q331" s="217">
        <f aca="true" t="shared" si="38" ref="Q331:S332">Q332</f>
        <v>2058</v>
      </c>
      <c r="R331" s="217">
        <f t="shared" si="38"/>
        <v>2100</v>
      </c>
      <c r="S331" s="217">
        <f t="shared" si="38"/>
        <v>2100</v>
      </c>
    </row>
    <row r="332" spans="1:19" ht="30.75" customHeight="1">
      <c r="A332" s="99"/>
      <c r="B332" s="98"/>
      <c r="C332" s="103"/>
      <c r="D332" s="101"/>
      <c r="E332" s="367">
        <v>4360400</v>
      </c>
      <c r="F332" s="367"/>
      <c r="G332" s="89">
        <v>340</v>
      </c>
      <c r="H332" s="11" t="s">
        <v>304</v>
      </c>
      <c r="I332" s="6">
        <v>27</v>
      </c>
      <c r="J332" s="7">
        <v>10</v>
      </c>
      <c r="K332" s="7">
        <v>1</v>
      </c>
      <c r="L332" s="95" t="s">
        <v>580</v>
      </c>
      <c r="M332" s="96" t="s">
        <v>563</v>
      </c>
      <c r="N332" s="96" t="s">
        <v>583</v>
      </c>
      <c r="O332" s="96" t="s">
        <v>305</v>
      </c>
      <c r="P332" s="10"/>
      <c r="Q332" s="214">
        <f t="shared" si="38"/>
        <v>2058</v>
      </c>
      <c r="R332" s="214">
        <f t="shared" si="38"/>
        <v>2100</v>
      </c>
      <c r="S332" s="214">
        <f t="shared" si="38"/>
        <v>2100</v>
      </c>
    </row>
    <row r="333" spans="1:19" ht="30.75" customHeight="1">
      <c r="A333" s="99"/>
      <c r="B333" s="98"/>
      <c r="C333" s="103"/>
      <c r="D333" s="107"/>
      <c r="E333" s="104"/>
      <c r="F333" s="104"/>
      <c r="G333" s="89"/>
      <c r="H333" s="11" t="s">
        <v>725</v>
      </c>
      <c r="I333" s="6">
        <v>27</v>
      </c>
      <c r="J333" s="7">
        <v>10</v>
      </c>
      <c r="K333" s="7">
        <v>1</v>
      </c>
      <c r="L333" s="119" t="s">
        <v>580</v>
      </c>
      <c r="M333" s="120" t="s">
        <v>563</v>
      </c>
      <c r="N333" s="120" t="s">
        <v>583</v>
      </c>
      <c r="O333" s="120" t="s">
        <v>305</v>
      </c>
      <c r="P333" s="10">
        <v>320</v>
      </c>
      <c r="Q333" s="214">
        <v>2058</v>
      </c>
      <c r="R333" s="214">
        <v>2100</v>
      </c>
      <c r="S333" s="214">
        <v>2100</v>
      </c>
    </row>
    <row r="334" spans="1:19" s="179" customFormat="1" ht="27" customHeight="1">
      <c r="A334" s="142"/>
      <c r="B334" s="143"/>
      <c r="C334" s="142"/>
      <c r="D334" s="380">
        <v>4520000</v>
      </c>
      <c r="E334" s="380"/>
      <c r="F334" s="380"/>
      <c r="G334" s="136">
        <v>612</v>
      </c>
      <c r="H334" s="314" t="s">
        <v>540</v>
      </c>
      <c r="I334" s="138">
        <v>27</v>
      </c>
      <c r="J334" s="148">
        <v>10</v>
      </c>
      <c r="K334" s="148">
        <v>3</v>
      </c>
      <c r="L334" s="140"/>
      <c r="M334" s="141"/>
      <c r="N334" s="141"/>
      <c r="O334" s="246"/>
      <c r="P334" s="152"/>
      <c r="Q334" s="218" t="e">
        <f>Q335+Q339+#REF!</f>
        <v>#REF!</v>
      </c>
      <c r="R334" s="218">
        <f>R335+R339+R346</f>
        <v>7463.3</v>
      </c>
      <c r="S334" s="218">
        <f>S335+S339+S346</f>
        <v>7462.700000000001</v>
      </c>
    </row>
    <row r="335" spans="1:19" ht="27" customHeight="1">
      <c r="A335" s="99"/>
      <c r="B335" s="98"/>
      <c r="C335" s="97"/>
      <c r="D335" s="107"/>
      <c r="E335" s="102"/>
      <c r="F335" s="102"/>
      <c r="G335" s="89"/>
      <c r="H335" s="191" t="s">
        <v>669</v>
      </c>
      <c r="I335" s="25">
        <v>27</v>
      </c>
      <c r="J335" s="7">
        <v>10</v>
      </c>
      <c r="K335" s="7">
        <v>3</v>
      </c>
      <c r="L335" s="122" t="s">
        <v>668</v>
      </c>
      <c r="M335" s="123" t="s">
        <v>563</v>
      </c>
      <c r="N335" s="123" t="s">
        <v>583</v>
      </c>
      <c r="O335" s="123" t="s">
        <v>620</v>
      </c>
      <c r="P335" s="6"/>
      <c r="Q335" s="214">
        <f aca="true" t="shared" si="39" ref="Q335:S337">Q336</f>
        <v>270.8</v>
      </c>
      <c r="R335" s="214">
        <f t="shared" si="39"/>
        <v>170.5</v>
      </c>
      <c r="S335" s="214">
        <f t="shared" si="39"/>
        <v>169.9</v>
      </c>
    </row>
    <row r="336" spans="1:19" ht="29.25" customHeight="1">
      <c r="A336" s="99"/>
      <c r="B336" s="98"/>
      <c r="C336" s="97"/>
      <c r="D336" s="107"/>
      <c r="E336" s="102"/>
      <c r="F336" s="102"/>
      <c r="G336" s="89"/>
      <c r="H336" s="191" t="s">
        <v>678</v>
      </c>
      <c r="I336" s="25">
        <v>27</v>
      </c>
      <c r="J336" s="7">
        <v>10</v>
      </c>
      <c r="K336" s="7">
        <v>3</v>
      </c>
      <c r="L336" s="122" t="s">
        <v>668</v>
      </c>
      <c r="M336" s="123" t="s">
        <v>563</v>
      </c>
      <c r="N336" s="123" t="s">
        <v>588</v>
      </c>
      <c r="O336" s="123" t="s">
        <v>620</v>
      </c>
      <c r="P336" s="6"/>
      <c r="Q336" s="214">
        <f t="shared" si="39"/>
        <v>270.8</v>
      </c>
      <c r="R336" s="214">
        <f t="shared" si="39"/>
        <v>170.5</v>
      </c>
      <c r="S336" s="214">
        <f t="shared" si="39"/>
        <v>169.9</v>
      </c>
    </row>
    <row r="337" spans="1:19" ht="21.75" customHeight="1">
      <c r="A337" s="99"/>
      <c r="B337" s="98"/>
      <c r="C337" s="97"/>
      <c r="D337" s="107"/>
      <c r="E337" s="102"/>
      <c r="F337" s="102"/>
      <c r="G337" s="89"/>
      <c r="H337" s="191" t="s">
        <v>679</v>
      </c>
      <c r="I337" s="25">
        <v>27</v>
      </c>
      <c r="J337" s="7">
        <v>10</v>
      </c>
      <c r="K337" s="7">
        <v>3</v>
      </c>
      <c r="L337" s="122" t="s">
        <v>668</v>
      </c>
      <c r="M337" s="123" t="s">
        <v>563</v>
      </c>
      <c r="N337" s="123" t="s">
        <v>588</v>
      </c>
      <c r="O337" s="123" t="s">
        <v>272</v>
      </c>
      <c r="P337" s="6"/>
      <c r="Q337" s="214">
        <f t="shared" si="39"/>
        <v>270.8</v>
      </c>
      <c r="R337" s="214">
        <f t="shared" si="39"/>
        <v>170.5</v>
      </c>
      <c r="S337" s="214">
        <f t="shared" si="39"/>
        <v>169.9</v>
      </c>
    </row>
    <row r="338" spans="1:19" ht="29.25" customHeight="1">
      <c r="A338" s="99"/>
      <c r="B338" s="98"/>
      <c r="C338" s="97"/>
      <c r="D338" s="107"/>
      <c r="E338" s="102"/>
      <c r="F338" s="102"/>
      <c r="G338" s="89"/>
      <c r="H338" s="34" t="s">
        <v>725</v>
      </c>
      <c r="I338" s="25">
        <v>27</v>
      </c>
      <c r="J338" s="7">
        <v>10</v>
      </c>
      <c r="K338" s="7">
        <v>3</v>
      </c>
      <c r="L338" s="122" t="s">
        <v>668</v>
      </c>
      <c r="M338" s="123" t="s">
        <v>563</v>
      </c>
      <c r="N338" s="123" t="s">
        <v>588</v>
      </c>
      <c r="O338" s="123" t="s">
        <v>272</v>
      </c>
      <c r="P338" s="6">
        <v>320</v>
      </c>
      <c r="Q338" s="214">
        <v>270.8</v>
      </c>
      <c r="R338" s="214">
        <v>170.5</v>
      </c>
      <c r="S338" s="214">
        <v>169.9</v>
      </c>
    </row>
    <row r="339" spans="1:19" ht="29.25" customHeight="1">
      <c r="A339" s="99"/>
      <c r="B339" s="98"/>
      <c r="C339" s="97"/>
      <c r="D339" s="107"/>
      <c r="E339" s="102"/>
      <c r="F339" s="102"/>
      <c r="G339" s="89"/>
      <c r="H339" s="34" t="s">
        <v>299</v>
      </c>
      <c r="I339" s="25">
        <v>27</v>
      </c>
      <c r="J339" s="7">
        <v>10</v>
      </c>
      <c r="K339" s="7">
        <v>3</v>
      </c>
      <c r="L339" s="122" t="s">
        <v>580</v>
      </c>
      <c r="M339" s="123" t="s">
        <v>563</v>
      </c>
      <c r="N339" s="123" t="s">
        <v>583</v>
      </c>
      <c r="O339" s="123" t="s">
        <v>620</v>
      </c>
      <c r="P339" s="6"/>
      <c r="Q339" s="216">
        <f>Q342+Q344+Q350+Q348</f>
        <v>7199.1</v>
      </c>
      <c r="R339" s="216">
        <f>R342+R344+R350+R340</f>
        <v>2378</v>
      </c>
      <c r="S339" s="216">
        <f>S342+S344+S350+S340</f>
        <v>2378</v>
      </c>
    </row>
    <row r="340" spans="1:19" ht="42" customHeight="1">
      <c r="A340" s="110"/>
      <c r="B340" s="111"/>
      <c r="C340" s="106"/>
      <c r="D340" s="107"/>
      <c r="E340" s="104"/>
      <c r="F340" s="104"/>
      <c r="G340" s="105"/>
      <c r="H340" s="11" t="s">
        <v>250</v>
      </c>
      <c r="I340" s="10">
        <v>28</v>
      </c>
      <c r="J340" s="7">
        <v>10</v>
      </c>
      <c r="K340" s="7">
        <v>3</v>
      </c>
      <c r="L340" s="122" t="s">
        <v>580</v>
      </c>
      <c r="M340" s="123" t="s">
        <v>563</v>
      </c>
      <c r="N340" s="123" t="s">
        <v>583</v>
      </c>
      <c r="O340" s="123" t="s">
        <v>251</v>
      </c>
      <c r="P340" s="10"/>
      <c r="Q340" s="214"/>
      <c r="R340" s="214">
        <f>R341</f>
        <v>72</v>
      </c>
      <c r="S340" s="216">
        <f>S341</f>
        <v>72</v>
      </c>
    </row>
    <row r="341" spans="1:19" ht="18" customHeight="1">
      <c r="A341" s="110"/>
      <c r="B341" s="111"/>
      <c r="C341" s="106"/>
      <c r="D341" s="107"/>
      <c r="E341" s="104"/>
      <c r="F341" s="104"/>
      <c r="G341" s="105"/>
      <c r="H341" s="11" t="s">
        <v>724</v>
      </c>
      <c r="I341" s="10">
        <v>28</v>
      </c>
      <c r="J341" s="7">
        <v>10</v>
      </c>
      <c r="K341" s="7">
        <v>3</v>
      </c>
      <c r="L341" s="122" t="s">
        <v>580</v>
      </c>
      <c r="M341" s="123" t="s">
        <v>563</v>
      </c>
      <c r="N341" s="123" t="s">
        <v>583</v>
      </c>
      <c r="O341" s="123" t="s">
        <v>251</v>
      </c>
      <c r="P341" s="10">
        <v>310</v>
      </c>
      <c r="Q341" s="214">
        <v>0</v>
      </c>
      <c r="R341" s="214">
        <v>72</v>
      </c>
      <c r="S341" s="216">
        <v>72</v>
      </c>
    </row>
    <row r="342" spans="1:19" ht="57.75" customHeight="1">
      <c r="A342" s="99"/>
      <c r="B342" s="98"/>
      <c r="C342" s="97"/>
      <c r="D342" s="363">
        <v>5220000</v>
      </c>
      <c r="E342" s="364"/>
      <c r="F342" s="364"/>
      <c r="G342" s="89">
        <v>612</v>
      </c>
      <c r="H342" s="11" t="s">
        <v>539</v>
      </c>
      <c r="I342" s="6">
        <v>27</v>
      </c>
      <c r="J342" s="7">
        <v>10</v>
      </c>
      <c r="K342" s="7">
        <v>3</v>
      </c>
      <c r="L342" s="95" t="s">
        <v>580</v>
      </c>
      <c r="M342" s="96" t="s">
        <v>563</v>
      </c>
      <c r="N342" s="96" t="s">
        <v>583</v>
      </c>
      <c r="O342" s="124" t="s">
        <v>651</v>
      </c>
      <c r="P342" s="8"/>
      <c r="Q342" s="216">
        <f>Q343</f>
        <v>1273.5</v>
      </c>
      <c r="R342" s="216">
        <f>R343</f>
        <v>1284</v>
      </c>
      <c r="S342" s="216">
        <f>S343</f>
        <v>1284</v>
      </c>
    </row>
    <row r="343" spans="1:19" ht="28.5" customHeight="1">
      <c r="A343" s="99"/>
      <c r="B343" s="98"/>
      <c r="C343" s="97"/>
      <c r="D343" s="101"/>
      <c r="E343" s="100"/>
      <c r="F343" s="100"/>
      <c r="G343" s="89"/>
      <c r="H343" s="11" t="s">
        <v>725</v>
      </c>
      <c r="I343" s="6">
        <v>27</v>
      </c>
      <c r="J343" s="7">
        <v>10</v>
      </c>
      <c r="K343" s="7">
        <v>3</v>
      </c>
      <c r="L343" s="95" t="s">
        <v>580</v>
      </c>
      <c r="M343" s="96" t="s">
        <v>563</v>
      </c>
      <c r="N343" s="96" t="s">
        <v>583</v>
      </c>
      <c r="O343" s="124" t="s">
        <v>651</v>
      </c>
      <c r="P343" s="13">
        <v>320</v>
      </c>
      <c r="Q343" s="214">
        <v>1273.5</v>
      </c>
      <c r="R343" s="214">
        <f>'Приложение 10'!Q269</f>
        <v>1284</v>
      </c>
      <c r="S343" s="214">
        <f>'Приложение 10'!R269</f>
        <v>1284</v>
      </c>
    </row>
    <row r="344" spans="1:19" ht="42" customHeight="1">
      <c r="A344" s="99"/>
      <c r="B344" s="98"/>
      <c r="C344" s="103"/>
      <c r="D344" s="101"/>
      <c r="E344" s="113"/>
      <c r="F344" s="113"/>
      <c r="G344" s="89"/>
      <c r="H344" s="11" t="s">
        <v>297</v>
      </c>
      <c r="I344" s="10">
        <v>27</v>
      </c>
      <c r="J344" s="7">
        <v>10</v>
      </c>
      <c r="K344" s="7">
        <v>3</v>
      </c>
      <c r="L344" s="95" t="s">
        <v>580</v>
      </c>
      <c r="M344" s="96" t="s">
        <v>563</v>
      </c>
      <c r="N344" s="96" t="s">
        <v>583</v>
      </c>
      <c r="O344" s="96" t="s">
        <v>296</v>
      </c>
      <c r="P344" s="10"/>
      <c r="Q344" s="214">
        <f>Q345</f>
        <v>636.8</v>
      </c>
      <c r="R344" s="214">
        <f>R345</f>
        <v>642</v>
      </c>
      <c r="S344" s="214">
        <f>S345</f>
        <v>642</v>
      </c>
    </row>
    <row r="345" spans="1:19" ht="32.25" customHeight="1">
      <c r="A345" s="99"/>
      <c r="B345" s="98"/>
      <c r="C345" s="103"/>
      <c r="D345" s="101"/>
      <c r="E345" s="113"/>
      <c r="F345" s="113"/>
      <c r="G345" s="89"/>
      <c r="H345" s="11" t="s">
        <v>725</v>
      </c>
      <c r="I345" s="10">
        <v>27</v>
      </c>
      <c r="J345" s="7">
        <v>10</v>
      </c>
      <c r="K345" s="7">
        <v>3</v>
      </c>
      <c r="L345" s="95" t="s">
        <v>580</v>
      </c>
      <c r="M345" s="96" t="s">
        <v>563</v>
      </c>
      <c r="N345" s="96" t="s">
        <v>583</v>
      </c>
      <c r="O345" s="96" t="s">
        <v>296</v>
      </c>
      <c r="P345" s="10">
        <v>320</v>
      </c>
      <c r="Q345" s="214">
        <v>636.8</v>
      </c>
      <c r="R345" s="215">
        <f>'Приложение 10'!Q271</f>
        <v>642</v>
      </c>
      <c r="S345" s="239">
        <f>'Приложение 10'!R271</f>
        <v>642</v>
      </c>
    </row>
    <row r="346" spans="1:19" ht="32.25" customHeight="1">
      <c r="A346" s="99"/>
      <c r="B346" s="98"/>
      <c r="C346" s="103"/>
      <c r="D346" s="101"/>
      <c r="E346" s="113"/>
      <c r="F346" s="113"/>
      <c r="G346" s="89"/>
      <c r="H346" s="11" t="str">
        <f>'Приложение 10'!H579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346" s="10">
        <f>'Приложение 10'!I579</f>
        <v>664</v>
      </c>
      <c r="J346" s="7">
        <f>'Приложение 10'!J579</f>
        <v>10</v>
      </c>
      <c r="K346" s="7">
        <f>'Приложение 10'!K579</f>
        <v>3</v>
      </c>
      <c r="L346" s="95" t="str">
        <f>'Приложение 10'!L579</f>
        <v>48</v>
      </c>
      <c r="M346" s="96" t="str">
        <f>'Приложение 10'!M579</f>
        <v>0</v>
      </c>
      <c r="N346" s="96" t="str">
        <f>'Приложение 10'!N579</f>
        <v>00</v>
      </c>
      <c r="O346" s="96" t="str">
        <f>'Приложение 10'!O579</f>
        <v>00000</v>
      </c>
      <c r="P346" s="10" t="s">
        <v>621</v>
      </c>
      <c r="Q346" s="214">
        <f>'Приложение 10'!Q579</f>
        <v>4914.8</v>
      </c>
      <c r="R346" s="215">
        <f aca="true" t="shared" si="40" ref="R346:S348">R347</f>
        <v>4914.8</v>
      </c>
      <c r="S346" s="215">
        <f t="shared" si="40"/>
        <v>4914.8</v>
      </c>
    </row>
    <row r="347" spans="1:19" ht="32.25" customHeight="1">
      <c r="A347" s="99"/>
      <c r="B347" s="98"/>
      <c r="C347" s="103"/>
      <c r="D347" s="101"/>
      <c r="E347" s="113"/>
      <c r="F347" s="113"/>
      <c r="G347" s="89"/>
      <c r="H347" s="11" t="str">
        <f>'Приложение 10'!H580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347" s="10">
        <f>'Приложение 10'!I580</f>
        <v>664</v>
      </c>
      <c r="J347" s="7">
        <f>'Приложение 10'!J580</f>
        <v>10</v>
      </c>
      <c r="K347" s="7">
        <f>'Приложение 10'!K580</f>
        <v>3</v>
      </c>
      <c r="L347" s="95" t="str">
        <f>'Приложение 10'!L580</f>
        <v>48</v>
      </c>
      <c r="M347" s="96" t="str">
        <f>'Приложение 10'!M580</f>
        <v>0</v>
      </c>
      <c r="N347" s="96" t="str">
        <f>'Приложение 10'!N580</f>
        <v>Р1</v>
      </c>
      <c r="O347" s="96" t="str">
        <f>'Приложение 10'!O580</f>
        <v>00000</v>
      </c>
      <c r="P347" s="10" t="s">
        <v>621</v>
      </c>
      <c r="Q347" s="214">
        <f>'Приложение 10'!Q580</f>
        <v>4914.8</v>
      </c>
      <c r="R347" s="215">
        <f t="shared" si="40"/>
        <v>4914.8</v>
      </c>
      <c r="S347" s="215">
        <f t="shared" si="40"/>
        <v>4914.8</v>
      </c>
    </row>
    <row r="348" spans="1:19" ht="51" customHeight="1">
      <c r="A348" s="99"/>
      <c r="B348" s="98"/>
      <c r="C348" s="103"/>
      <c r="D348" s="101"/>
      <c r="E348" s="113"/>
      <c r="F348" s="113"/>
      <c r="G348" s="89"/>
      <c r="H348" s="11" t="str">
        <f>'Приложение 10'!H581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348" s="10">
        <f>'Приложение 10'!I581</f>
        <v>664</v>
      </c>
      <c r="J348" s="7">
        <f>'Приложение 10'!J581</f>
        <v>10</v>
      </c>
      <c r="K348" s="7">
        <f>'Приложение 10'!K581</f>
        <v>3</v>
      </c>
      <c r="L348" s="95" t="str">
        <f>'Приложение 10'!L581</f>
        <v>48</v>
      </c>
      <c r="M348" s="96" t="str">
        <f>'Приложение 10'!M581</f>
        <v>0</v>
      </c>
      <c r="N348" s="96" t="str">
        <f>'Приложение 10'!N581</f>
        <v>P1</v>
      </c>
      <c r="O348" s="96" t="str">
        <f>'Приложение 10'!O581</f>
        <v>72300</v>
      </c>
      <c r="P348" s="10" t="s">
        <v>621</v>
      </c>
      <c r="Q348" s="214">
        <f>'Приложение 10'!Q581</f>
        <v>4914.8</v>
      </c>
      <c r="R348" s="214">
        <f t="shared" si="40"/>
        <v>4914.8</v>
      </c>
      <c r="S348" s="214">
        <f t="shared" si="40"/>
        <v>4914.8</v>
      </c>
    </row>
    <row r="349" spans="1:19" ht="27" customHeight="1">
      <c r="A349" s="99"/>
      <c r="B349" s="98"/>
      <c r="C349" s="103"/>
      <c r="D349" s="101"/>
      <c r="E349" s="113"/>
      <c r="F349" s="113"/>
      <c r="G349" s="89"/>
      <c r="H349" s="11" t="str">
        <f>'Приложение 10'!H582</f>
        <v>Социальные выплаты гражданам, кроме публичных нормативных социальных выплат</v>
      </c>
      <c r="I349" s="10">
        <f>'Приложение 10'!I582</f>
        <v>664</v>
      </c>
      <c r="J349" s="7">
        <f>'Приложение 10'!J582</f>
        <v>10</v>
      </c>
      <c r="K349" s="7">
        <f>'Приложение 10'!K582</f>
        <v>3</v>
      </c>
      <c r="L349" s="95" t="str">
        <f>'Приложение 10'!L582</f>
        <v>48</v>
      </c>
      <c r="M349" s="96" t="str">
        <f>'Приложение 10'!M582</f>
        <v>0</v>
      </c>
      <c r="N349" s="96" t="str">
        <f>'Приложение 10'!N582</f>
        <v>P1</v>
      </c>
      <c r="O349" s="96" t="str">
        <f>'Приложение 10'!O582</f>
        <v>72300</v>
      </c>
      <c r="P349" s="10">
        <f>'Приложение 10'!P582</f>
        <v>320</v>
      </c>
      <c r="Q349" s="214">
        <f>'Приложение 10'!Q582</f>
        <v>4914.8</v>
      </c>
      <c r="R349" s="215">
        <f>'Приложение 10'!Q582</f>
        <v>4914.8</v>
      </c>
      <c r="S349" s="239">
        <f>'Приложение 10'!R582</f>
        <v>4914.8</v>
      </c>
    </row>
    <row r="350" spans="1:19" ht="27" customHeight="1">
      <c r="A350" s="99"/>
      <c r="B350" s="98"/>
      <c r="C350" s="103"/>
      <c r="D350" s="101"/>
      <c r="E350" s="113"/>
      <c r="F350" s="113"/>
      <c r="G350" s="89"/>
      <c r="H350" s="5" t="s">
        <v>307</v>
      </c>
      <c r="I350" s="6">
        <v>27</v>
      </c>
      <c r="J350" s="7">
        <v>10</v>
      </c>
      <c r="K350" s="7">
        <v>3</v>
      </c>
      <c r="L350" s="95" t="s">
        <v>580</v>
      </c>
      <c r="M350" s="96" t="s">
        <v>563</v>
      </c>
      <c r="N350" s="96" t="s">
        <v>583</v>
      </c>
      <c r="O350" s="96" t="s">
        <v>306</v>
      </c>
      <c r="P350" s="6"/>
      <c r="Q350" s="214">
        <f>Q351</f>
        <v>374</v>
      </c>
      <c r="R350" s="214">
        <f>R351</f>
        <v>380</v>
      </c>
      <c r="S350" s="214">
        <f>S351</f>
        <v>380</v>
      </c>
    </row>
    <row r="351" spans="1:19" ht="27" customHeight="1">
      <c r="A351" s="99"/>
      <c r="B351" s="98"/>
      <c r="C351" s="103"/>
      <c r="D351" s="101"/>
      <c r="E351" s="113"/>
      <c r="F351" s="113"/>
      <c r="G351" s="89"/>
      <c r="H351" s="5" t="s">
        <v>724</v>
      </c>
      <c r="I351" s="8">
        <v>27</v>
      </c>
      <c r="J351" s="7">
        <v>10</v>
      </c>
      <c r="K351" s="7">
        <v>3</v>
      </c>
      <c r="L351" s="95" t="s">
        <v>580</v>
      </c>
      <c r="M351" s="96" t="s">
        <v>563</v>
      </c>
      <c r="N351" s="96" t="s">
        <v>583</v>
      </c>
      <c r="O351" s="96" t="s">
        <v>306</v>
      </c>
      <c r="P351" s="6">
        <v>310</v>
      </c>
      <c r="Q351" s="214">
        <v>374</v>
      </c>
      <c r="R351" s="214">
        <v>380</v>
      </c>
      <c r="S351" s="214">
        <v>380</v>
      </c>
    </row>
    <row r="352" spans="1:19" s="179" customFormat="1" ht="18.75" customHeight="1">
      <c r="A352" s="142"/>
      <c r="B352" s="143"/>
      <c r="C352" s="153"/>
      <c r="D352" s="150"/>
      <c r="E352" s="379">
        <v>3150300</v>
      </c>
      <c r="F352" s="379"/>
      <c r="G352" s="136">
        <v>850</v>
      </c>
      <c r="H352" s="137" t="s">
        <v>377</v>
      </c>
      <c r="I352" s="138">
        <v>663</v>
      </c>
      <c r="J352" s="148">
        <v>10</v>
      </c>
      <c r="K352" s="148">
        <v>4</v>
      </c>
      <c r="L352" s="140" t="s">
        <v>534</v>
      </c>
      <c r="M352" s="141" t="s">
        <v>534</v>
      </c>
      <c r="N352" s="141"/>
      <c r="O352" s="141" t="s">
        <v>534</v>
      </c>
      <c r="P352" s="138" t="s">
        <v>534</v>
      </c>
      <c r="Q352" s="213" t="e">
        <f>#REF!+Q353</f>
        <v>#REF!</v>
      </c>
      <c r="R352" s="213">
        <f>R353</f>
        <v>3455.1</v>
      </c>
      <c r="S352" s="213">
        <f>S353</f>
        <v>3455.1</v>
      </c>
    </row>
    <row r="353" spans="1:19" ht="26.25" customHeight="1">
      <c r="A353" s="110"/>
      <c r="B353" s="111"/>
      <c r="C353" s="106"/>
      <c r="D353" s="107"/>
      <c r="E353" s="104"/>
      <c r="F353" s="104"/>
      <c r="G353" s="89"/>
      <c r="H353" s="22" t="s">
        <v>299</v>
      </c>
      <c r="I353" s="10">
        <v>663</v>
      </c>
      <c r="J353" s="7">
        <v>10</v>
      </c>
      <c r="K353" s="7">
        <v>4</v>
      </c>
      <c r="L353" s="95" t="s">
        <v>580</v>
      </c>
      <c r="M353" s="96" t="s">
        <v>563</v>
      </c>
      <c r="N353" s="96" t="s">
        <v>583</v>
      </c>
      <c r="O353" s="96" t="s">
        <v>620</v>
      </c>
      <c r="P353" s="10"/>
      <c r="Q353" s="214">
        <f aca="true" t="shared" si="41" ref="Q353:S354">Q354</f>
        <v>0</v>
      </c>
      <c r="R353" s="214">
        <f t="shared" si="41"/>
        <v>3455.1</v>
      </c>
      <c r="S353" s="214">
        <f t="shared" si="41"/>
        <v>3455.1</v>
      </c>
    </row>
    <row r="354" spans="1:19" ht="51" customHeight="1">
      <c r="A354" s="110"/>
      <c r="B354" s="111"/>
      <c r="C354" s="106"/>
      <c r="D354" s="107"/>
      <c r="E354" s="104"/>
      <c r="F354" s="104"/>
      <c r="G354" s="89"/>
      <c r="H354" s="11" t="s">
        <v>330</v>
      </c>
      <c r="I354" s="10">
        <v>663</v>
      </c>
      <c r="J354" s="7">
        <v>10</v>
      </c>
      <c r="K354" s="7">
        <v>4</v>
      </c>
      <c r="L354" s="16">
        <v>91</v>
      </c>
      <c r="M354" s="96" t="s">
        <v>563</v>
      </c>
      <c r="N354" s="96" t="s">
        <v>583</v>
      </c>
      <c r="O354" s="96" t="s">
        <v>329</v>
      </c>
      <c r="P354" s="10"/>
      <c r="Q354" s="214">
        <f t="shared" si="41"/>
        <v>0</v>
      </c>
      <c r="R354" s="214">
        <f t="shared" si="41"/>
        <v>3455.1</v>
      </c>
      <c r="S354" s="214">
        <f t="shared" si="41"/>
        <v>3455.1</v>
      </c>
    </row>
    <row r="355" spans="1:19" ht="26.25" customHeight="1">
      <c r="A355" s="110"/>
      <c r="B355" s="111"/>
      <c r="C355" s="106"/>
      <c r="D355" s="107"/>
      <c r="E355" s="104"/>
      <c r="F355" s="104"/>
      <c r="G355" s="89"/>
      <c r="H355" s="11" t="s">
        <v>725</v>
      </c>
      <c r="I355" s="10">
        <v>663</v>
      </c>
      <c r="J355" s="7">
        <v>10</v>
      </c>
      <c r="K355" s="7">
        <v>4</v>
      </c>
      <c r="L355" s="16">
        <v>91</v>
      </c>
      <c r="M355" s="96" t="s">
        <v>563</v>
      </c>
      <c r="N355" s="96" t="s">
        <v>583</v>
      </c>
      <c r="O355" s="96" t="s">
        <v>329</v>
      </c>
      <c r="P355" s="10">
        <v>320</v>
      </c>
      <c r="Q355" s="214">
        <v>0</v>
      </c>
      <c r="R355" s="214">
        <v>3455.1</v>
      </c>
      <c r="S355" s="214">
        <v>3455.1</v>
      </c>
    </row>
    <row r="356" spans="1:19" s="179" customFormat="1" ht="25.5" customHeight="1">
      <c r="A356" s="142"/>
      <c r="B356" s="143"/>
      <c r="C356" s="153"/>
      <c r="D356" s="150"/>
      <c r="E356" s="145"/>
      <c r="F356" s="145"/>
      <c r="G356" s="155">
        <v>622</v>
      </c>
      <c r="H356" s="149" t="s">
        <v>538</v>
      </c>
      <c r="I356" s="152">
        <v>27</v>
      </c>
      <c r="J356" s="148">
        <v>10</v>
      </c>
      <c r="K356" s="148">
        <v>6</v>
      </c>
      <c r="L356" s="185"/>
      <c r="M356" s="186"/>
      <c r="N356" s="186"/>
      <c r="O356" s="186"/>
      <c r="P356" s="146"/>
      <c r="Q356" s="217" t="e">
        <f>Q357</f>
        <v>#REF!</v>
      </c>
      <c r="R356" s="217">
        <f>R357</f>
        <v>1132.1</v>
      </c>
      <c r="S356" s="217">
        <f>S357</f>
        <v>1132.1</v>
      </c>
    </row>
    <row r="357" spans="1:19" s="179" customFormat="1" ht="25.5" customHeight="1">
      <c r="A357" s="142"/>
      <c r="B357" s="143"/>
      <c r="C357" s="153"/>
      <c r="D357" s="150"/>
      <c r="E357" s="145"/>
      <c r="F357" s="145"/>
      <c r="G357" s="136"/>
      <c r="H357" s="11" t="s">
        <v>299</v>
      </c>
      <c r="I357" s="6">
        <v>27</v>
      </c>
      <c r="J357" s="7">
        <v>10</v>
      </c>
      <c r="K357" s="7">
        <v>6</v>
      </c>
      <c r="L357" s="122" t="s">
        <v>580</v>
      </c>
      <c r="M357" s="123" t="s">
        <v>563</v>
      </c>
      <c r="N357" s="123" t="s">
        <v>583</v>
      </c>
      <c r="O357" s="123" t="s">
        <v>620</v>
      </c>
      <c r="P357" s="6"/>
      <c r="Q357" s="216" t="e">
        <f>Q358+Q360+#REF!</f>
        <v>#REF!</v>
      </c>
      <c r="R357" s="216">
        <f>R358+R360</f>
        <v>1132.1</v>
      </c>
      <c r="S357" s="216">
        <f>S358+S360</f>
        <v>1132.1</v>
      </c>
    </row>
    <row r="358" spans="1:19" ht="30.75" customHeight="1">
      <c r="A358" s="99"/>
      <c r="B358" s="98"/>
      <c r="C358" s="103"/>
      <c r="D358" s="101"/>
      <c r="E358" s="367">
        <v>5225700</v>
      </c>
      <c r="F358" s="367"/>
      <c r="G358" s="89">
        <v>612</v>
      </c>
      <c r="H358" s="11" t="s">
        <v>52</v>
      </c>
      <c r="I358" s="10">
        <v>27</v>
      </c>
      <c r="J358" s="7">
        <v>10</v>
      </c>
      <c r="K358" s="7">
        <v>6</v>
      </c>
      <c r="L358" s="95" t="s">
        <v>580</v>
      </c>
      <c r="M358" s="96" t="s">
        <v>563</v>
      </c>
      <c r="N358" s="96" t="s">
        <v>583</v>
      </c>
      <c r="O358" s="96" t="s">
        <v>51</v>
      </c>
      <c r="P358" s="6"/>
      <c r="Q358" s="216">
        <f>Q359</f>
        <v>45</v>
      </c>
      <c r="R358" s="216">
        <f>R359</f>
        <v>45</v>
      </c>
      <c r="S358" s="216">
        <f>S359</f>
        <v>45</v>
      </c>
    </row>
    <row r="359" spans="1:19" ht="21.75" customHeight="1">
      <c r="A359" s="99"/>
      <c r="B359" s="98"/>
      <c r="C359" s="103"/>
      <c r="D359" s="101"/>
      <c r="E359" s="104"/>
      <c r="F359" s="104"/>
      <c r="G359" s="89"/>
      <c r="H359" s="5" t="s">
        <v>524</v>
      </c>
      <c r="I359" s="10">
        <v>27</v>
      </c>
      <c r="J359" s="7">
        <v>10</v>
      </c>
      <c r="K359" s="7">
        <v>6</v>
      </c>
      <c r="L359" s="95" t="s">
        <v>580</v>
      </c>
      <c r="M359" s="96" t="s">
        <v>563</v>
      </c>
      <c r="N359" s="96" t="s">
        <v>583</v>
      </c>
      <c r="O359" s="96" t="s">
        <v>51</v>
      </c>
      <c r="P359" s="10">
        <v>630</v>
      </c>
      <c r="Q359" s="214">
        <v>45</v>
      </c>
      <c r="R359" s="214">
        <v>45</v>
      </c>
      <c r="S359" s="214">
        <v>45</v>
      </c>
    </row>
    <row r="360" spans="1:19" ht="30.75" customHeight="1">
      <c r="A360" s="99"/>
      <c r="B360" s="98"/>
      <c r="C360" s="103"/>
      <c r="D360" s="101"/>
      <c r="E360" s="104"/>
      <c r="F360" s="104"/>
      <c r="G360" s="89"/>
      <c r="H360" s="11" t="s">
        <v>815</v>
      </c>
      <c r="I360" s="10">
        <v>27</v>
      </c>
      <c r="J360" s="7">
        <v>10</v>
      </c>
      <c r="K360" s="7">
        <v>6</v>
      </c>
      <c r="L360" s="95" t="s">
        <v>580</v>
      </c>
      <c r="M360" s="96" t="s">
        <v>563</v>
      </c>
      <c r="N360" s="96" t="s">
        <v>583</v>
      </c>
      <c r="O360" s="96" t="s">
        <v>814</v>
      </c>
      <c r="P360" s="6"/>
      <c r="Q360" s="216">
        <f>Q361</f>
        <v>1087.1</v>
      </c>
      <c r="R360" s="216">
        <f>R361</f>
        <v>1087.1</v>
      </c>
      <c r="S360" s="216">
        <f>S361</f>
        <v>1087.1</v>
      </c>
    </row>
    <row r="361" spans="1:19" ht="26.25" customHeight="1">
      <c r="A361" s="99"/>
      <c r="B361" s="98"/>
      <c r="C361" s="103"/>
      <c r="D361" s="101"/>
      <c r="E361" s="104"/>
      <c r="F361" s="104"/>
      <c r="G361" s="89"/>
      <c r="H361" s="11" t="s">
        <v>533</v>
      </c>
      <c r="I361" s="10">
        <v>27</v>
      </c>
      <c r="J361" s="7">
        <v>10</v>
      </c>
      <c r="K361" s="7">
        <v>6</v>
      </c>
      <c r="L361" s="95" t="s">
        <v>580</v>
      </c>
      <c r="M361" s="96" t="s">
        <v>563</v>
      </c>
      <c r="N361" s="96" t="s">
        <v>583</v>
      </c>
      <c r="O361" s="96" t="s">
        <v>814</v>
      </c>
      <c r="P361" s="6">
        <v>120</v>
      </c>
      <c r="Q361" s="216">
        <v>1087.1</v>
      </c>
      <c r="R361" s="239">
        <v>1087.1</v>
      </c>
      <c r="S361" s="239">
        <v>1087.1</v>
      </c>
    </row>
    <row r="362" spans="1:19" s="179" customFormat="1" ht="18.75" customHeight="1">
      <c r="A362" s="142"/>
      <c r="B362" s="143"/>
      <c r="C362" s="153"/>
      <c r="D362" s="144"/>
      <c r="E362" s="145"/>
      <c r="F362" s="145"/>
      <c r="G362" s="155">
        <v>612</v>
      </c>
      <c r="H362" s="149" t="s">
        <v>537</v>
      </c>
      <c r="I362" s="152">
        <v>27</v>
      </c>
      <c r="J362" s="148">
        <v>11</v>
      </c>
      <c r="K362" s="148"/>
      <c r="L362" s="140"/>
      <c r="M362" s="141"/>
      <c r="N362" s="141"/>
      <c r="O362" s="141"/>
      <c r="P362" s="146"/>
      <c r="Q362" s="217">
        <f aca="true" t="shared" si="42" ref="Q362:S363">Q363</f>
        <v>7189.8</v>
      </c>
      <c r="R362" s="217">
        <f t="shared" si="42"/>
        <v>10084.8</v>
      </c>
      <c r="S362" s="217">
        <f t="shared" si="42"/>
        <v>7300</v>
      </c>
    </row>
    <row r="363" spans="1:19" s="179" customFormat="1" ht="19.5" customHeight="1">
      <c r="A363" s="142"/>
      <c r="B363" s="143"/>
      <c r="C363" s="142"/>
      <c r="D363" s="380">
        <v>5250000</v>
      </c>
      <c r="E363" s="381"/>
      <c r="F363" s="381"/>
      <c r="G363" s="136">
        <v>530</v>
      </c>
      <c r="H363" s="137" t="s">
        <v>378</v>
      </c>
      <c r="I363" s="138">
        <v>27</v>
      </c>
      <c r="J363" s="148">
        <v>11</v>
      </c>
      <c r="K363" s="148">
        <v>1</v>
      </c>
      <c r="L363" s="140"/>
      <c r="M363" s="141"/>
      <c r="N363" s="141"/>
      <c r="O363" s="141"/>
      <c r="P363" s="138"/>
      <c r="Q363" s="213">
        <f t="shared" si="42"/>
        <v>7189.8</v>
      </c>
      <c r="R363" s="213">
        <f t="shared" si="42"/>
        <v>10084.8</v>
      </c>
      <c r="S363" s="213">
        <f t="shared" si="42"/>
        <v>7300</v>
      </c>
    </row>
    <row r="364" spans="1:19" ht="34.5" customHeight="1">
      <c r="A364" s="99"/>
      <c r="B364" s="98"/>
      <c r="C364" s="103"/>
      <c r="D364" s="101"/>
      <c r="E364" s="113"/>
      <c r="F364" s="113"/>
      <c r="G364" s="105"/>
      <c r="H364" s="5" t="s">
        <v>682</v>
      </c>
      <c r="I364" s="6">
        <v>27</v>
      </c>
      <c r="J364" s="7">
        <v>11</v>
      </c>
      <c r="K364" s="7">
        <v>1</v>
      </c>
      <c r="L364" s="95" t="s">
        <v>683</v>
      </c>
      <c r="M364" s="96" t="s">
        <v>563</v>
      </c>
      <c r="N364" s="96" t="s">
        <v>583</v>
      </c>
      <c r="O364" s="96" t="s">
        <v>620</v>
      </c>
      <c r="P364" s="6"/>
      <c r="Q364" s="214">
        <f>Q365+Q370</f>
        <v>7189.8</v>
      </c>
      <c r="R364" s="214">
        <f>R365+R370</f>
        <v>10084.8</v>
      </c>
      <c r="S364" s="214">
        <f>S365+S370</f>
        <v>7300</v>
      </c>
    </row>
    <row r="365" spans="1:19" ht="24.75" customHeight="1">
      <c r="A365" s="99"/>
      <c r="B365" s="98"/>
      <c r="C365" s="103"/>
      <c r="D365" s="101"/>
      <c r="E365" s="113"/>
      <c r="F365" s="113"/>
      <c r="G365" s="89"/>
      <c r="H365" s="11" t="s">
        <v>315</v>
      </c>
      <c r="I365" s="10">
        <v>27</v>
      </c>
      <c r="J365" s="7">
        <v>11</v>
      </c>
      <c r="K365" s="7">
        <v>1</v>
      </c>
      <c r="L365" s="122" t="s">
        <v>683</v>
      </c>
      <c r="M365" s="123" t="s">
        <v>563</v>
      </c>
      <c r="N365" s="123" t="s">
        <v>592</v>
      </c>
      <c r="O365" s="123" t="s">
        <v>620</v>
      </c>
      <c r="P365" s="10"/>
      <c r="Q365" s="214">
        <f aca="true" t="shared" si="43" ref="Q365:S366">Q366</f>
        <v>7189.8</v>
      </c>
      <c r="R365" s="214">
        <f>R366+R368</f>
        <v>7200</v>
      </c>
      <c r="S365" s="214">
        <f>S366+S368</f>
        <v>7300</v>
      </c>
    </row>
    <row r="366" spans="1:19" ht="22.5" customHeight="1">
      <c r="A366" s="99"/>
      <c r="B366" s="98"/>
      <c r="C366" s="103"/>
      <c r="D366" s="101"/>
      <c r="E366" s="113"/>
      <c r="F366" s="113"/>
      <c r="G366" s="89"/>
      <c r="H366" s="11" t="s">
        <v>314</v>
      </c>
      <c r="I366" s="10">
        <v>27</v>
      </c>
      <c r="J366" s="7">
        <v>11</v>
      </c>
      <c r="K366" s="7">
        <v>1</v>
      </c>
      <c r="L366" s="122" t="s">
        <v>683</v>
      </c>
      <c r="M366" s="123" t="s">
        <v>563</v>
      </c>
      <c r="N366" s="123" t="s">
        <v>592</v>
      </c>
      <c r="O366" s="123" t="s">
        <v>313</v>
      </c>
      <c r="P366" s="10"/>
      <c r="Q366" s="214">
        <f t="shared" si="43"/>
        <v>7189.8</v>
      </c>
      <c r="R366" s="214">
        <f t="shared" si="43"/>
        <v>6267.3</v>
      </c>
      <c r="S366" s="214">
        <f t="shared" si="43"/>
        <v>6367.3</v>
      </c>
    </row>
    <row r="367" spans="1:19" ht="22.5" customHeight="1">
      <c r="A367" s="99"/>
      <c r="B367" s="98"/>
      <c r="C367" s="103"/>
      <c r="D367" s="101"/>
      <c r="E367" s="113"/>
      <c r="F367" s="113"/>
      <c r="G367" s="89"/>
      <c r="H367" s="11" t="s">
        <v>722</v>
      </c>
      <c r="I367" s="10">
        <v>27</v>
      </c>
      <c r="J367" s="7">
        <v>11</v>
      </c>
      <c r="K367" s="7">
        <v>1</v>
      </c>
      <c r="L367" s="122" t="s">
        <v>683</v>
      </c>
      <c r="M367" s="123" t="s">
        <v>563</v>
      </c>
      <c r="N367" s="123" t="s">
        <v>592</v>
      </c>
      <c r="O367" s="123" t="s">
        <v>313</v>
      </c>
      <c r="P367" s="10">
        <v>610</v>
      </c>
      <c r="Q367" s="214">
        <v>7189.8</v>
      </c>
      <c r="R367" s="214">
        <f>'Приложение 10'!Q287</f>
        <v>6267.3</v>
      </c>
      <c r="S367" s="214">
        <f>'Приложение 10'!R287</f>
        <v>6367.3</v>
      </c>
    </row>
    <row r="368" spans="1:19" ht="33.75" customHeight="1">
      <c r="A368" s="99"/>
      <c r="B368" s="98"/>
      <c r="C368" s="103"/>
      <c r="D368" s="101"/>
      <c r="E368" s="113"/>
      <c r="F368" s="113"/>
      <c r="G368" s="89"/>
      <c r="H368" s="11" t="str">
        <f>'Приложение 10'!H288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68" s="10">
        <f>'Приложение 10'!I288</f>
        <v>27</v>
      </c>
      <c r="J368" s="7">
        <f>'Приложение 10'!J288</f>
        <v>11</v>
      </c>
      <c r="K368" s="7">
        <f>'Приложение 10'!K288</f>
        <v>1</v>
      </c>
      <c r="L368" s="122" t="str">
        <f>'Приложение 10'!L288</f>
        <v>29</v>
      </c>
      <c r="M368" s="123" t="str">
        <f>'Приложение 10'!M288</f>
        <v>0</v>
      </c>
      <c r="N368" s="123" t="str">
        <f>'Приложение 10'!N288</f>
        <v>02</v>
      </c>
      <c r="O368" s="123" t="str">
        <f>'Приложение 10'!O288</f>
        <v>70030</v>
      </c>
      <c r="P368" s="10" t="s">
        <v>621</v>
      </c>
      <c r="Q368" s="214">
        <f>'Приложение 10'!Q288</f>
        <v>932.7</v>
      </c>
      <c r="R368" s="214">
        <f>R369</f>
        <v>932.7</v>
      </c>
      <c r="S368" s="214">
        <f>S369</f>
        <v>932.7</v>
      </c>
    </row>
    <row r="369" spans="1:19" ht="22.5" customHeight="1">
      <c r="A369" s="99"/>
      <c r="B369" s="98"/>
      <c r="C369" s="103"/>
      <c r="D369" s="101"/>
      <c r="E369" s="113"/>
      <c r="F369" s="113"/>
      <c r="G369" s="89"/>
      <c r="H369" s="11" t="str">
        <f>'Приложение 10'!H289</f>
        <v>Субсидии бюджетным учреждениям</v>
      </c>
      <c r="I369" s="10">
        <f>'Приложение 10'!I289</f>
        <v>27</v>
      </c>
      <c r="J369" s="7">
        <f>'Приложение 10'!J289</f>
        <v>11</v>
      </c>
      <c r="K369" s="7">
        <f>'Приложение 10'!K289</f>
        <v>1</v>
      </c>
      <c r="L369" s="122" t="str">
        <f>'Приложение 10'!L289</f>
        <v>29</v>
      </c>
      <c r="M369" s="123" t="str">
        <f>'Приложение 10'!M289</f>
        <v>0</v>
      </c>
      <c r="N369" s="123" t="str">
        <f>'Приложение 10'!N289</f>
        <v>02</v>
      </c>
      <c r="O369" s="123" t="str">
        <f>'Приложение 10'!O289</f>
        <v>70030</v>
      </c>
      <c r="P369" s="10">
        <f>'Приложение 10'!P289</f>
        <v>610</v>
      </c>
      <c r="Q369" s="214">
        <f>'Приложение 10'!Q289</f>
        <v>932.7</v>
      </c>
      <c r="R369" s="214">
        <f>'Приложение 10'!Q289</f>
        <v>932.7</v>
      </c>
      <c r="S369" s="214">
        <f>'Приложение 10'!R289</f>
        <v>932.7</v>
      </c>
    </row>
    <row r="370" spans="1:19" ht="37.5" customHeight="1">
      <c r="A370" s="99"/>
      <c r="B370" s="98"/>
      <c r="C370" s="103"/>
      <c r="D370" s="101"/>
      <c r="E370" s="113"/>
      <c r="F370" s="113"/>
      <c r="G370" s="89"/>
      <c r="H370" s="11" t="s">
        <v>685</v>
      </c>
      <c r="I370" s="10">
        <v>27</v>
      </c>
      <c r="J370" s="7">
        <v>11</v>
      </c>
      <c r="K370" s="7">
        <v>1</v>
      </c>
      <c r="L370" s="122" t="s">
        <v>683</v>
      </c>
      <c r="M370" s="123" t="s">
        <v>563</v>
      </c>
      <c r="N370" s="123" t="s">
        <v>684</v>
      </c>
      <c r="O370" s="123" t="s">
        <v>73</v>
      </c>
      <c r="P370" s="10"/>
      <c r="Q370" s="214"/>
      <c r="R370" s="214">
        <f>R371</f>
        <v>2884.8</v>
      </c>
      <c r="S370" s="214">
        <f>S371</f>
        <v>0</v>
      </c>
    </row>
    <row r="371" spans="1:19" ht="27" customHeight="1">
      <c r="A371" s="99"/>
      <c r="B371" s="98"/>
      <c r="C371" s="103"/>
      <c r="D371" s="101"/>
      <c r="E371" s="113"/>
      <c r="F371" s="113"/>
      <c r="G371" s="89"/>
      <c r="H371" s="11" t="s">
        <v>722</v>
      </c>
      <c r="I371" s="10">
        <v>27</v>
      </c>
      <c r="J371" s="7">
        <v>11</v>
      </c>
      <c r="K371" s="7">
        <v>1</v>
      </c>
      <c r="L371" s="122" t="s">
        <v>683</v>
      </c>
      <c r="M371" s="123" t="s">
        <v>563</v>
      </c>
      <c r="N371" s="123" t="s">
        <v>684</v>
      </c>
      <c r="O371" s="123" t="s">
        <v>73</v>
      </c>
      <c r="P371" s="10">
        <v>610</v>
      </c>
      <c r="Q371" s="214">
        <v>0</v>
      </c>
      <c r="R371" s="214">
        <v>2884.8</v>
      </c>
      <c r="S371" s="214">
        <v>0</v>
      </c>
    </row>
    <row r="372" spans="1:19" s="179" customFormat="1" ht="30.75" customHeight="1">
      <c r="A372" s="142"/>
      <c r="B372" s="143"/>
      <c r="C372" s="157"/>
      <c r="D372" s="170"/>
      <c r="E372" s="145"/>
      <c r="F372" s="145"/>
      <c r="G372" s="155"/>
      <c r="H372" s="137" t="s">
        <v>340</v>
      </c>
      <c r="I372" s="146">
        <v>661</v>
      </c>
      <c r="J372" s="148">
        <v>14</v>
      </c>
      <c r="K372" s="148" t="s">
        <v>534</v>
      </c>
      <c r="L372" s="139" t="s">
        <v>534</v>
      </c>
      <c r="M372" s="141" t="s">
        <v>534</v>
      </c>
      <c r="N372" s="141"/>
      <c r="O372" s="141" t="s">
        <v>534</v>
      </c>
      <c r="P372" s="146" t="s">
        <v>534</v>
      </c>
      <c r="Q372" s="217">
        <f>Q373+Q381</f>
        <v>12096.8</v>
      </c>
      <c r="R372" s="217">
        <f>R373+R381</f>
        <v>17823.8</v>
      </c>
      <c r="S372" s="217">
        <f>S373+S381</f>
        <v>17916.8</v>
      </c>
    </row>
    <row r="373" spans="1:19" s="179" customFormat="1" ht="30.75" customHeight="1">
      <c r="A373" s="142"/>
      <c r="B373" s="143"/>
      <c r="C373" s="157"/>
      <c r="D373" s="170"/>
      <c r="E373" s="145"/>
      <c r="F373" s="145"/>
      <c r="G373" s="155"/>
      <c r="H373" s="137" t="s">
        <v>587</v>
      </c>
      <c r="I373" s="146">
        <v>661</v>
      </c>
      <c r="J373" s="148">
        <v>14</v>
      </c>
      <c r="K373" s="148">
        <v>1</v>
      </c>
      <c r="L373" s="139" t="s">
        <v>534</v>
      </c>
      <c r="M373" s="141" t="s">
        <v>534</v>
      </c>
      <c r="N373" s="141"/>
      <c r="O373" s="141" t="s">
        <v>534</v>
      </c>
      <c r="P373" s="146" t="s">
        <v>534</v>
      </c>
      <c r="Q373" s="217">
        <f aca="true" t="shared" si="44" ref="Q373:S375">Q374</f>
        <v>5032.799999999999</v>
      </c>
      <c r="R373" s="217">
        <f t="shared" si="44"/>
        <v>5252.3</v>
      </c>
      <c r="S373" s="217">
        <f t="shared" si="44"/>
        <v>5735.7</v>
      </c>
    </row>
    <row r="374" spans="1:19" ht="36.75" customHeight="1">
      <c r="A374" s="97"/>
      <c r="B374" s="98"/>
      <c r="C374" s="103"/>
      <c r="D374" s="101"/>
      <c r="E374" s="104"/>
      <c r="F374" s="104"/>
      <c r="G374" s="89"/>
      <c r="H374" s="11" t="s">
        <v>708</v>
      </c>
      <c r="I374" s="10">
        <v>661</v>
      </c>
      <c r="J374" s="7">
        <v>14</v>
      </c>
      <c r="K374" s="7">
        <v>1</v>
      </c>
      <c r="L374" s="95" t="s">
        <v>709</v>
      </c>
      <c r="M374" s="96" t="s">
        <v>563</v>
      </c>
      <c r="N374" s="96" t="s">
        <v>583</v>
      </c>
      <c r="O374" s="96" t="s">
        <v>620</v>
      </c>
      <c r="P374" s="6"/>
      <c r="Q374" s="216">
        <f t="shared" si="44"/>
        <v>5032.799999999999</v>
      </c>
      <c r="R374" s="216">
        <f t="shared" si="44"/>
        <v>5252.3</v>
      </c>
      <c r="S374" s="216">
        <f t="shared" si="44"/>
        <v>5735.7</v>
      </c>
    </row>
    <row r="375" spans="1:19" ht="36.75" customHeight="1">
      <c r="A375" s="97"/>
      <c r="B375" s="98"/>
      <c r="C375" s="106"/>
      <c r="D375" s="107"/>
      <c r="E375" s="104"/>
      <c r="F375" s="104"/>
      <c r="G375" s="89"/>
      <c r="H375" s="11" t="s">
        <v>714</v>
      </c>
      <c r="I375" s="10">
        <v>661</v>
      </c>
      <c r="J375" s="7">
        <v>14</v>
      </c>
      <c r="K375" s="7">
        <v>1</v>
      </c>
      <c r="L375" s="95" t="s">
        <v>709</v>
      </c>
      <c r="M375" s="96" t="s">
        <v>559</v>
      </c>
      <c r="N375" s="96" t="s">
        <v>583</v>
      </c>
      <c r="O375" s="96" t="s">
        <v>620</v>
      </c>
      <c r="P375" s="6"/>
      <c r="Q375" s="216">
        <f t="shared" si="44"/>
        <v>5032.799999999999</v>
      </c>
      <c r="R375" s="216">
        <f t="shared" si="44"/>
        <v>5252.3</v>
      </c>
      <c r="S375" s="216">
        <f t="shared" si="44"/>
        <v>5735.7</v>
      </c>
    </row>
    <row r="376" spans="1:19" ht="22.5" customHeight="1">
      <c r="A376" s="99"/>
      <c r="B376" s="98"/>
      <c r="C376" s="106"/>
      <c r="D376" s="107"/>
      <c r="E376" s="104"/>
      <c r="F376" s="104"/>
      <c r="G376" s="105"/>
      <c r="H376" s="11" t="s">
        <v>41</v>
      </c>
      <c r="I376" s="6">
        <v>661</v>
      </c>
      <c r="J376" s="7">
        <v>14</v>
      </c>
      <c r="K376" s="7">
        <v>1</v>
      </c>
      <c r="L376" s="16">
        <v>33</v>
      </c>
      <c r="M376" s="96" t="s">
        <v>559</v>
      </c>
      <c r="N376" s="96" t="s">
        <v>564</v>
      </c>
      <c r="O376" s="96" t="s">
        <v>620</v>
      </c>
      <c r="P376" s="6" t="s">
        <v>534</v>
      </c>
      <c r="Q376" s="216">
        <f>Q377+Q379</f>
        <v>5032.799999999999</v>
      </c>
      <c r="R376" s="216">
        <f>R377+R379</f>
        <v>5252.3</v>
      </c>
      <c r="S376" s="216">
        <f>S377+S379</f>
        <v>5735.7</v>
      </c>
    </row>
    <row r="377" spans="1:19" ht="67.5" customHeight="1">
      <c r="A377" s="99"/>
      <c r="B377" s="98"/>
      <c r="C377" s="106"/>
      <c r="D377" s="107"/>
      <c r="E377" s="104"/>
      <c r="F377" s="104"/>
      <c r="G377" s="105"/>
      <c r="H377" s="11" t="s">
        <v>53</v>
      </c>
      <c r="I377" s="6">
        <v>661</v>
      </c>
      <c r="J377" s="7">
        <v>14</v>
      </c>
      <c r="K377" s="7">
        <v>1</v>
      </c>
      <c r="L377" s="16">
        <v>33</v>
      </c>
      <c r="M377" s="96" t="s">
        <v>559</v>
      </c>
      <c r="N377" s="96" t="s">
        <v>564</v>
      </c>
      <c r="O377" s="96" t="s">
        <v>653</v>
      </c>
      <c r="P377" s="6"/>
      <c r="Q377" s="214">
        <f>Q378</f>
        <v>2865.2</v>
      </c>
      <c r="R377" s="214">
        <f>R378</f>
        <v>2747.9</v>
      </c>
      <c r="S377" s="214">
        <f>S378</f>
        <v>2974.6</v>
      </c>
    </row>
    <row r="378" spans="1:19" ht="24.75" customHeight="1">
      <c r="A378" s="99"/>
      <c r="B378" s="98"/>
      <c r="C378" s="106"/>
      <c r="D378" s="107"/>
      <c r="E378" s="104"/>
      <c r="F378" s="104"/>
      <c r="G378" s="105"/>
      <c r="H378" s="11" t="s">
        <v>726</v>
      </c>
      <c r="I378" s="6">
        <v>661</v>
      </c>
      <c r="J378" s="7">
        <v>14</v>
      </c>
      <c r="K378" s="7">
        <v>1</v>
      </c>
      <c r="L378" s="16">
        <v>33</v>
      </c>
      <c r="M378" s="96" t="s">
        <v>559</v>
      </c>
      <c r="N378" s="96" t="s">
        <v>564</v>
      </c>
      <c r="O378" s="96" t="s">
        <v>653</v>
      </c>
      <c r="P378" s="6">
        <v>510</v>
      </c>
      <c r="Q378" s="214">
        <v>2865.2</v>
      </c>
      <c r="R378" s="214">
        <v>2747.9</v>
      </c>
      <c r="S378" s="214">
        <v>2974.6</v>
      </c>
    </row>
    <row r="379" spans="1:19" ht="21" customHeight="1">
      <c r="A379" s="99"/>
      <c r="B379" s="98"/>
      <c r="C379" s="106"/>
      <c r="D379" s="107"/>
      <c r="E379" s="104"/>
      <c r="F379" s="104"/>
      <c r="G379" s="105"/>
      <c r="H379" s="11" t="s">
        <v>55</v>
      </c>
      <c r="I379" s="6">
        <v>661</v>
      </c>
      <c r="J379" s="7">
        <v>14</v>
      </c>
      <c r="K379" s="7">
        <v>1</v>
      </c>
      <c r="L379" s="16">
        <v>33</v>
      </c>
      <c r="M379" s="96" t="s">
        <v>559</v>
      </c>
      <c r="N379" s="96" t="s">
        <v>564</v>
      </c>
      <c r="O379" s="96" t="s">
        <v>54</v>
      </c>
      <c r="P379" s="6" t="s">
        <v>534</v>
      </c>
      <c r="Q379" s="216">
        <f>Q380</f>
        <v>2167.6</v>
      </c>
      <c r="R379" s="216">
        <f>R380</f>
        <v>2504.4</v>
      </c>
      <c r="S379" s="216">
        <f>S380</f>
        <v>2761.1</v>
      </c>
    </row>
    <row r="380" spans="1:19" ht="23.25" customHeight="1">
      <c r="A380" s="99"/>
      <c r="B380" s="98"/>
      <c r="C380" s="106"/>
      <c r="D380" s="107"/>
      <c r="E380" s="104"/>
      <c r="F380" s="104"/>
      <c r="G380" s="105"/>
      <c r="H380" s="11" t="s">
        <v>726</v>
      </c>
      <c r="I380" s="6">
        <v>661</v>
      </c>
      <c r="J380" s="7">
        <v>14</v>
      </c>
      <c r="K380" s="7">
        <v>1</v>
      </c>
      <c r="L380" s="16">
        <v>33</v>
      </c>
      <c r="M380" s="96" t="s">
        <v>559</v>
      </c>
      <c r="N380" s="96" t="s">
        <v>564</v>
      </c>
      <c r="O380" s="96" t="s">
        <v>54</v>
      </c>
      <c r="P380" s="6">
        <v>510</v>
      </c>
      <c r="Q380" s="216">
        <v>2167.6</v>
      </c>
      <c r="R380" s="216">
        <v>2504.4</v>
      </c>
      <c r="S380" s="216">
        <v>2761.1</v>
      </c>
    </row>
    <row r="381" spans="1:19" s="179" customFormat="1" ht="22.5" customHeight="1">
      <c r="A381" s="142"/>
      <c r="B381" s="143"/>
      <c r="C381" s="157"/>
      <c r="D381" s="170"/>
      <c r="E381" s="145"/>
      <c r="F381" s="145"/>
      <c r="G381" s="155"/>
      <c r="H381" s="137" t="s">
        <v>645</v>
      </c>
      <c r="I381" s="146">
        <v>661</v>
      </c>
      <c r="J381" s="148">
        <v>14</v>
      </c>
      <c r="K381" s="148">
        <v>2</v>
      </c>
      <c r="L381" s="139" t="s">
        <v>534</v>
      </c>
      <c r="M381" s="141" t="s">
        <v>534</v>
      </c>
      <c r="N381" s="141"/>
      <c r="O381" s="141" t="s">
        <v>534</v>
      </c>
      <c r="P381" s="146" t="s">
        <v>534</v>
      </c>
      <c r="Q381" s="217">
        <f aca="true" t="shared" si="45" ref="Q381:S385">Q382</f>
        <v>7064</v>
      </c>
      <c r="R381" s="217">
        <f t="shared" si="45"/>
        <v>12571.5</v>
      </c>
      <c r="S381" s="217">
        <f t="shared" si="45"/>
        <v>12181.1</v>
      </c>
    </row>
    <row r="382" spans="1:19" ht="36.75" customHeight="1">
      <c r="A382" s="97"/>
      <c r="B382" s="98"/>
      <c r="C382" s="103"/>
      <c r="D382" s="101"/>
      <c r="E382" s="104"/>
      <c r="F382" s="104"/>
      <c r="G382" s="89"/>
      <c r="H382" s="11" t="s">
        <v>708</v>
      </c>
      <c r="I382" s="10">
        <v>661</v>
      </c>
      <c r="J382" s="7">
        <v>14</v>
      </c>
      <c r="K382" s="7">
        <v>2</v>
      </c>
      <c r="L382" s="95" t="s">
        <v>709</v>
      </c>
      <c r="M382" s="96" t="s">
        <v>563</v>
      </c>
      <c r="N382" s="96" t="s">
        <v>583</v>
      </c>
      <c r="O382" s="96" t="s">
        <v>620</v>
      </c>
      <c r="P382" s="6"/>
      <c r="Q382" s="216">
        <f t="shared" si="45"/>
        <v>7064</v>
      </c>
      <c r="R382" s="216">
        <f t="shared" si="45"/>
        <v>12571.5</v>
      </c>
      <c r="S382" s="216">
        <f t="shared" si="45"/>
        <v>12181.1</v>
      </c>
    </row>
    <row r="383" spans="1:19" ht="36.75" customHeight="1">
      <c r="A383" s="97"/>
      <c r="B383" s="98"/>
      <c r="C383" s="106"/>
      <c r="D383" s="107"/>
      <c r="E383" s="104"/>
      <c r="F383" s="104"/>
      <c r="G383" s="89"/>
      <c r="H383" s="11" t="s">
        <v>714</v>
      </c>
      <c r="I383" s="10">
        <v>661</v>
      </c>
      <c r="J383" s="7">
        <v>14</v>
      </c>
      <c r="K383" s="7">
        <v>2</v>
      </c>
      <c r="L383" s="95" t="s">
        <v>709</v>
      </c>
      <c r="M383" s="96" t="s">
        <v>559</v>
      </c>
      <c r="N383" s="96" t="s">
        <v>583</v>
      </c>
      <c r="O383" s="96" t="s">
        <v>620</v>
      </c>
      <c r="P383" s="6"/>
      <c r="Q383" s="216">
        <f t="shared" si="45"/>
        <v>7064</v>
      </c>
      <c r="R383" s="216">
        <f t="shared" si="45"/>
        <v>12571.5</v>
      </c>
      <c r="S383" s="216">
        <f t="shared" si="45"/>
        <v>12181.1</v>
      </c>
    </row>
    <row r="384" spans="1:19" ht="18.75" customHeight="1">
      <c r="A384" s="97"/>
      <c r="B384" s="98"/>
      <c r="C384" s="106"/>
      <c r="D384" s="107"/>
      <c r="E384" s="104"/>
      <c r="F384" s="104"/>
      <c r="G384" s="105"/>
      <c r="H384" s="11" t="s">
        <v>44</v>
      </c>
      <c r="I384" s="6">
        <v>661</v>
      </c>
      <c r="J384" s="7">
        <v>14</v>
      </c>
      <c r="K384" s="7">
        <v>2</v>
      </c>
      <c r="L384" s="16">
        <v>33</v>
      </c>
      <c r="M384" s="96" t="s">
        <v>559</v>
      </c>
      <c r="N384" s="96" t="s">
        <v>592</v>
      </c>
      <c r="O384" s="96" t="s">
        <v>620</v>
      </c>
      <c r="P384" s="6"/>
      <c r="Q384" s="216">
        <f t="shared" si="45"/>
        <v>7064</v>
      </c>
      <c r="R384" s="216">
        <f t="shared" si="45"/>
        <v>12571.5</v>
      </c>
      <c r="S384" s="216">
        <f t="shared" si="45"/>
        <v>12181.1</v>
      </c>
    </row>
    <row r="385" spans="1:19" ht="23.25" customHeight="1">
      <c r="A385" s="99"/>
      <c r="B385" s="98"/>
      <c r="C385" s="106"/>
      <c r="D385" s="107"/>
      <c r="E385" s="104"/>
      <c r="F385" s="104"/>
      <c r="G385" s="105"/>
      <c r="H385" s="11" t="s">
        <v>42</v>
      </c>
      <c r="I385" s="6">
        <v>661</v>
      </c>
      <c r="J385" s="7">
        <v>14</v>
      </c>
      <c r="K385" s="7">
        <v>2</v>
      </c>
      <c r="L385" s="16">
        <v>33</v>
      </c>
      <c r="M385" s="96" t="s">
        <v>559</v>
      </c>
      <c r="N385" s="96" t="s">
        <v>592</v>
      </c>
      <c r="O385" s="96" t="s">
        <v>56</v>
      </c>
      <c r="P385" s="6" t="s">
        <v>534</v>
      </c>
      <c r="Q385" s="216">
        <f t="shared" si="45"/>
        <v>7064</v>
      </c>
      <c r="R385" s="216">
        <f t="shared" si="45"/>
        <v>12571.5</v>
      </c>
      <c r="S385" s="216">
        <f t="shared" si="45"/>
        <v>12181.1</v>
      </c>
    </row>
    <row r="386" spans="1:19" ht="18" customHeight="1">
      <c r="A386" s="99"/>
      <c r="B386" s="98"/>
      <c r="C386" s="106"/>
      <c r="D386" s="107"/>
      <c r="E386" s="104"/>
      <c r="F386" s="104"/>
      <c r="G386" s="105"/>
      <c r="H386" s="11" t="s">
        <v>726</v>
      </c>
      <c r="I386" s="6">
        <v>661</v>
      </c>
      <c r="J386" s="7">
        <v>14</v>
      </c>
      <c r="K386" s="7">
        <v>2</v>
      </c>
      <c r="L386" s="16">
        <v>33</v>
      </c>
      <c r="M386" s="96" t="s">
        <v>559</v>
      </c>
      <c r="N386" s="96" t="s">
        <v>592</v>
      </c>
      <c r="O386" s="96" t="s">
        <v>56</v>
      </c>
      <c r="P386" s="6">
        <v>510</v>
      </c>
      <c r="Q386" s="216">
        <v>7064</v>
      </c>
      <c r="R386" s="216">
        <v>12571.5</v>
      </c>
      <c r="S386" s="216">
        <v>12181.1</v>
      </c>
    </row>
    <row r="387" spans="1:19" ht="21.75" customHeight="1">
      <c r="A387" s="99"/>
      <c r="B387" s="98"/>
      <c r="C387" s="97"/>
      <c r="D387" s="363">
        <v>20000</v>
      </c>
      <c r="E387" s="364"/>
      <c r="F387" s="364"/>
      <c r="G387" s="89">
        <v>360</v>
      </c>
      <c r="H387" s="125" t="s">
        <v>532</v>
      </c>
      <c r="I387" s="90"/>
      <c r="J387" s="127"/>
      <c r="K387" s="127"/>
      <c r="L387" s="92"/>
      <c r="M387" s="93"/>
      <c r="N387" s="93"/>
      <c r="O387" s="93"/>
      <c r="P387" s="131"/>
      <c r="Q387" s="315" t="e">
        <f>Q15+Q117+Q127+Q179+Q204+Q215+Q309+Q326+Q330+Q362+#REF!+Q372</f>
        <v>#REF!</v>
      </c>
      <c r="R387" s="315">
        <f>R15+R117+R127+R179+R204+R215+R309+R326+R330+R362+R372</f>
        <v>485588.8</v>
      </c>
      <c r="S387" s="315">
        <f>S15+S117+S127+S179+S204+S215+S309+S326+S330+S362+S372</f>
        <v>468866.1</v>
      </c>
    </row>
    <row r="388" spans="1:19" ht="17.25" customHeight="1">
      <c r="A388" s="201"/>
      <c r="B388" s="111"/>
      <c r="C388" s="111"/>
      <c r="D388" s="107"/>
      <c r="E388" s="107"/>
      <c r="F388" s="107"/>
      <c r="G388" s="202"/>
      <c r="H388" s="125" t="s">
        <v>17</v>
      </c>
      <c r="I388" s="9"/>
      <c r="J388" s="127"/>
      <c r="K388" s="127"/>
      <c r="L388" s="92"/>
      <c r="M388" s="93"/>
      <c r="N388" s="93"/>
      <c r="O388" s="208"/>
      <c r="P388" s="9"/>
      <c r="Q388" s="212"/>
      <c r="R388" s="212">
        <v>6200</v>
      </c>
      <c r="S388" s="212">
        <v>12500</v>
      </c>
    </row>
    <row r="389" spans="1:19" ht="25.5" customHeight="1">
      <c r="A389" s="201"/>
      <c r="B389" s="111"/>
      <c r="C389" s="111"/>
      <c r="D389" s="107"/>
      <c r="E389" s="107"/>
      <c r="F389" s="107"/>
      <c r="G389" s="202"/>
      <c r="H389" s="125" t="s">
        <v>16</v>
      </c>
      <c r="I389" s="9"/>
      <c r="J389" s="127"/>
      <c r="K389" s="127"/>
      <c r="L389" s="92"/>
      <c r="M389" s="93"/>
      <c r="N389" s="93"/>
      <c r="O389" s="208"/>
      <c r="P389" s="9"/>
      <c r="Q389" s="212" t="e">
        <f>Q387+Q388</f>
        <v>#REF!</v>
      </c>
      <c r="R389" s="212">
        <f>R387+R388</f>
        <v>491788.8</v>
      </c>
      <c r="S389" s="212">
        <f>S387+S388</f>
        <v>481366.1</v>
      </c>
    </row>
    <row r="390" ht="15.75">
      <c r="S390" s="316" t="s">
        <v>528</v>
      </c>
    </row>
  </sheetData>
  <sheetProtection/>
  <mergeCells count="33">
    <mergeCell ref="J4:S4"/>
    <mergeCell ref="J5:S5"/>
    <mergeCell ref="J6:S6"/>
    <mergeCell ref="J7:S7"/>
    <mergeCell ref="J8:S8"/>
    <mergeCell ref="H10:S10"/>
    <mergeCell ref="D387:F387"/>
    <mergeCell ref="E358:F358"/>
    <mergeCell ref="E352:F352"/>
    <mergeCell ref="D309:F309"/>
    <mergeCell ref="A62:F62"/>
    <mergeCell ref="E311:F311"/>
    <mergeCell ref="D363:F363"/>
    <mergeCell ref="Q12:S12"/>
    <mergeCell ref="D334:F334"/>
    <mergeCell ref="D215:F215"/>
    <mergeCell ref="E216:F216"/>
    <mergeCell ref="L12:O12"/>
    <mergeCell ref="A15:F15"/>
    <mergeCell ref="D272:F272"/>
    <mergeCell ref="C26:F26"/>
    <mergeCell ref="D28:F28"/>
    <mergeCell ref="D95:F95"/>
    <mergeCell ref="P1:S1"/>
    <mergeCell ref="P2:S2"/>
    <mergeCell ref="P3:S3"/>
    <mergeCell ref="D342:F342"/>
    <mergeCell ref="D99:F99"/>
    <mergeCell ref="E332:F332"/>
    <mergeCell ref="C63:F63"/>
    <mergeCell ref="D64:F64"/>
    <mergeCell ref="E310:F310"/>
    <mergeCell ref="E47:F47"/>
  </mergeCells>
  <printOptions/>
  <pageMargins left="0.5511811023622047" right="0.2755905511811024" top="0.31496062992125984" bottom="0.5118110236220472" header="0.5118110236220472" footer="0.5118110236220472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6"/>
  <sheetViews>
    <sheetView showGridLines="0" tabSelected="1" zoomScale="75" zoomScaleNormal="75" zoomScaleSheetLayoutView="100" workbookViewId="0" topLeftCell="H220">
      <selection activeCell="Q244" sqref="Q244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9.140625" style="175" customWidth="1"/>
    <col min="17" max="17" width="33.57421875" style="65" customWidth="1"/>
    <col min="18" max="18" width="16.8515625" style="309" hidden="1" customWidth="1"/>
    <col min="19" max="19" width="18.00390625" style="309" hidden="1" customWidth="1"/>
    <col min="20" max="16384" width="9.140625" style="31" customWidth="1"/>
  </cols>
  <sheetData>
    <row r="1" ht="15.75">
      <c r="I1" s="176" t="s">
        <v>208</v>
      </c>
    </row>
    <row r="2" ht="15.75">
      <c r="I2" s="176" t="s">
        <v>529</v>
      </c>
    </row>
    <row r="3" ht="15.75">
      <c r="I3" s="68" t="s">
        <v>530</v>
      </c>
    </row>
    <row r="4" spans="8:19" ht="15.75">
      <c r="H4" s="317"/>
      <c r="I4" s="372" t="s">
        <v>103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</row>
    <row r="5" spans="9:19" ht="15.75">
      <c r="I5" s="372" t="s">
        <v>13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9:19" ht="15.75">
      <c r="I6" s="372" t="s">
        <v>828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19" ht="19.5" customHeight="1">
      <c r="A7" s="66"/>
      <c r="B7" s="66"/>
      <c r="C7" s="66"/>
      <c r="D7" s="66"/>
      <c r="E7" s="66"/>
      <c r="F7" s="66"/>
      <c r="G7" s="66"/>
      <c r="H7" s="67"/>
      <c r="I7" s="365" t="s">
        <v>0</v>
      </c>
      <c r="J7" s="365"/>
      <c r="K7" s="365"/>
      <c r="L7" s="365"/>
      <c r="M7" s="365"/>
      <c r="N7" s="365"/>
      <c r="O7" s="365"/>
      <c r="P7" s="365"/>
      <c r="Q7" s="365"/>
      <c r="R7" s="365"/>
      <c r="S7" s="365"/>
    </row>
    <row r="8" spans="1:19" ht="15.75" customHeight="1">
      <c r="A8" s="66"/>
      <c r="B8" s="66"/>
      <c r="C8" s="66"/>
      <c r="D8" s="66"/>
      <c r="E8" s="66"/>
      <c r="F8" s="66"/>
      <c r="G8" s="66"/>
      <c r="H8" s="67"/>
      <c r="I8" s="365" t="s">
        <v>104</v>
      </c>
      <c r="J8" s="365"/>
      <c r="K8" s="365"/>
      <c r="L8" s="365"/>
      <c r="M8" s="365"/>
      <c r="N8" s="365"/>
      <c r="O8" s="365"/>
      <c r="P8" s="365"/>
      <c r="Q8" s="365"/>
      <c r="R8" s="365"/>
      <c r="S8" s="365"/>
    </row>
    <row r="9" spans="1:17" ht="14.25" customHeight="1">
      <c r="A9" s="66"/>
      <c r="B9" s="66"/>
      <c r="C9" s="66"/>
      <c r="D9" s="66"/>
      <c r="E9" s="66"/>
      <c r="F9" s="66"/>
      <c r="G9" s="66"/>
      <c r="H9" s="67" t="s">
        <v>621</v>
      </c>
      <c r="I9" s="72" t="s">
        <v>621</v>
      </c>
      <c r="J9" s="73" t="s">
        <v>621</v>
      </c>
      <c r="K9" s="73"/>
      <c r="L9" s="70"/>
      <c r="M9" s="70"/>
      <c r="N9" s="70"/>
      <c r="O9" s="70" t="s">
        <v>621</v>
      </c>
      <c r="P9" s="73"/>
      <c r="Q9" s="71"/>
    </row>
    <row r="10" spans="1:19" ht="51" customHeight="1">
      <c r="A10" s="74"/>
      <c r="B10" s="74"/>
      <c r="C10" s="74"/>
      <c r="D10" s="74"/>
      <c r="E10" s="74"/>
      <c r="F10" s="74"/>
      <c r="G10" s="74"/>
      <c r="H10" s="385" t="s">
        <v>712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64" t="s">
        <v>12</v>
      </c>
      <c r="R11" s="389" t="s">
        <v>12</v>
      </c>
      <c r="S11" s="389"/>
    </row>
    <row r="12" spans="1:19" ht="42.75" customHeight="1">
      <c r="A12" s="77"/>
      <c r="B12" s="77" t="s">
        <v>516</v>
      </c>
      <c r="C12" s="78" t="s">
        <v>515</v>
      </c>
      <c r="D12" s="78" t="s">
        <v>514</v>
      </c>
      <c r="E12" s="78" t="s">
        <v>513</v>
      </c>
      <c r="F12" s="78" t="s">
        <v>512</v>
      </c>
      <c r="G12" s="78" t="s">
        <v>511</v>
      </c>
      <c r="H12" s="79" t="s">
        <v>510</v>
      </c>
      <c r="I12" s="80" t="s">
        <v>509</v>
      </c>
      <c r="J12" s="80" t="s">
        <v>508</v>
      </c>
      <c r="K12" s="79" t="s">
        <v>507</v>
      </c>
      <c r="L12" s="373" t="s">
        <v>506</v>
      </c>
      <c r="M12" s="374"/>
      <c r="N12" s="374"/>
      <c r="O12" s="375"/>
      <c r="P12" s="79" t="s">
        <v>505</v>
      </c>
      <c r="Q12" s="382" t="s">
        <v>504</v>
      </c>
      <c r="R12" s="383"/>
      <c r="S12" s="384"/>
    </row>
    <row r="13" spans="1:19" ht="18.75" customHeight="1">
      <c r="A13" s="81"/>
      <c r="B13" s="82"/>
      <c r="C13" s="82"/>
      <c r="D13" s="82"/>
      <c r="E13" s="82"/>
      <c r="F13" s="82"/>
      <c r="G13" s="83"/>
      <c r="H13" s="84">
        <v>1</v>
      </c>
      <c r="I13" s="85">
        <v>2</v>
      </c>
      <c r="J13" s="86">
        <v>3</v>
      </c>
      <c r="K13" s="84">
        <v>4</v>
      </c>
      <c r="L13" s="386">
        <v>5</v>
      </c>
      <c r="M13" s="387"/>
      <c r="N13" s="387"/>
      <c r="O13" s="388"/>
      <c r="P13" s="84">
        <v>6</v>
      </c>
      <c r="Q13" s="87">
        <v>7</v>
      </c>
      <c r="R13" s="318">
        <v>8</v>
      </c>
      <c r="S13" s="318">
        <v>9</v>
      </c>
    </row>
    <row r="14" spans="1:19" s="319" customFormat="1" ht="18.75" customHeight="1">
      <c r="A14" s="390">
        <v>1</v>
      </c>
      <c r="B14" s="390"/>
      <c r="C14" s="390"/>
      <c r="D14" s="390"/>
      <c r="E14" s="390"/>
      <c r="F14" s="390"/>
      <c r="G14" s="132">
        <v>120</v>
      </c>
      <c r="H14" s="33" t="s">
        <v>517</v>
      </c>
      <c r="I14" s="14">
        <v>27</v>
      </c>
      <c r="J14" s="15" t="s">
        <v>534</v>
      </c>
      <c r="K14" s="15" t="s">
        <v>534</v>
      </c>
      <c r="L14" s="133" t="s">
        <v>534</v>
      </c>
      <c r="M14" s="134" t="s">
        <v>534</v>
      </c>
      <c r="N14" s="134"/>
      <c r="O14" s="134" t="s">
        <v>534</v>
      </c>
      <c r="P14" s="14" t="s">
        <v>534</v>
      </c>
      <c r="Q14" s="212">
        <f>Q15+Q82+Q103+Q175+Q210+Q222+Q245+Q272+Q276+Q301</f>
        <v>293081.5</v>
      </c>
      <c r="R14" s="212">
        <f>R15+R82+R103+R175+R210+R222+R245+R272+R276+R301</f>
        <v>135213.19999999998</v>
      </c>
      <c r="S14" s="212">
        <f>S15+S82+S103+S175+S210+S222+S245+S272+S276+S301</f>
        <v>129324.8</v>
      </c>
    </row>
    <row r="15" spans="1:19" s="179" customFormat="1" ht="18.75" customHeight="1">
      <c r="A15" s="370">
        <v>100</v>
      </c>
      <c r="B15" s="370"/>
      <c r="C15" s="371"/>
      <c r="D15" s="371"/>
      <c r="E15" s="371"/>
      <c r="F15" s="371"/>
      <c r="G15" s="136">
        <v>120</v>
      </c>
      <c r="H15" s="137" t="s">
        <v>536</v>
      </c>
      <c r="I15" s="138">
        <v>27</v>
      </c>
      <c r="J15" s="139">
        <v>1</v>
      </c>
      <c r="K15" s="139" t="s">
        <v>621</v>
      </c>
      <c r="L15" s="140" t="s">
        <v>534</v>
      </c>
      <c r="M15" s="141" t="s">
        <v>534</v>
      </c>
      <c r="N15" s="141"/>
      <c r="O15" s="141" t="s">
        <v>534</v>
      </c>
      <c r="P15" s="138" t="s">
        <v>534</v>
      </c>
      <c r="Q15" s="213">
        <f>Q16+Q36+Q39+Q43</f>
        <v>70259.9</v>
      </c>
      <c r="R15" s="213">
        <f>R16+R36+R39+R43</f>
        <v>54545.7</v>
      </c>
      <c r="S15" s="213">
        <f>S16+S36+S39+S43</f>
        <v>53518.9</v>
      </c>
    </row>
    <row r="16" spans="1:19" s="179" customFormat="1" ht="45" customHeight="1">
      <c r="A16" s="142"/>
      <c r="B16" s="143"/>
      <c r="C16" s="370">
        <v>104</v>
      </c>
      <c r="D16" s="371"/>
      <c r="E16" s="371"/>
      <c r="F16" s="371"/>
      <c r="G16" s="136">
        <v>120</v>
      </c>
      <c r="H16" s="137" t="s">
        <v>502</v>
      </c>
      <c r="I16" s="138">
        <v>27</v>
      </c>
      <c r="J16" s="139">
        <v>1</v>
      </c>
      <c r="K16" s="139">
        <v>4</v>
      </c>
      <c r="L16" s="140" t="s">
        <v>534</v>
      </c>
      <c r="M16" s="141" t="s">
        <v>534</v>
      </c>
      <c r="N16" s="141" t="s">
        <v>621</v>
      </c>
      <c r="O16" s="141" t="s">
        <v>534</v>
      </c>
      <c r="P16" s="138" t="s">
        <v>534</v>
      </c>
      <c r="Q16" s="213">
        <f>Q17</f>
        <v>22216.5</v>
      </c>
      <c r="R16" s="213">
        <f>R17</f>
        <v>22997.4</v>
      </c>
      <c r="S16" s="213">
        <f>S17</f>
        <v>22839.9</v>
      </c>
    </row>
    <row r="17" spans="1:19" ht="27" customHeight="1">
      <c r="A17" s="99"/>
      <c r="B17" s="98"/>
      <c r="C17" s="97"/>
      <c r="D17" s="94"/>
      <c r="E17" s="94"/>
      <c r="F17" s="94"/>
      <c r="G17" s="89"/>
      <c r="H17" s="11" t="s">
        <v>341</v>
      </c>
      <c r="I17" s="10">
        <v>27</v>
      </c>
      <c r="J17" s="16">
        <v>1</v>
      </c>
      <c r="K17" s="16">
        <v>4</v>
      </c>
      <c r="L17" s="16" t="s">
        <v>580</v>
      </c>
      <c r="M17" s="96" t="s">
        <v>563</v>
      </c>
      <c r="N17" s="96" t="s">
        <v>583</v>
      </c>
      <c r="O17" s="96" t="s">
        <v>620</v>
      </c>
      <c r="P17" s="10"/>
      <c r="Q17" s="214">
        <f>Q18+Q24+Q27+Q29+Q32+Q34+Q22</f>
        <v>22216.5</v>
      </c>
      <c r="R17" s="214">
        <f>R18+R24+R27+R29+R32+R34</f>
        <v>22997.4</v>
      </c>
      <c r="S17" s="214">
        <f>S18+S24+S27+S29+S32+S34</f>
        <v>22839.9</v>
      </c>
    </row>
    <row r="18" spans="1:19" ht="29.25" customHeight="1">
      <c r="A18" s="99"/>
      <c r="B18" s="98"/>
      <c r="C18" s="97"/>
      <c r="D18" s="363">
        <v>20000</v>
      </c>
      <c r="E18" s="364"/>
      <c r="F18" s="364"/>
      <c r="G18" s="89">
        <v>120</v>
      </c>
      <c r="H18" s="11" t="s">
        <v>342</v>
      </c>
      <c r="I18" s="10">
        <v>27</v>
      </c>
      <c r="J18" s="16">
        <v>1</v>
      </c>
      <c r="K18" s="16">
        <v>4</v>
      </c>
      <c r="L18" s="16" t="s">
        <v>580</v>
      </c>
      <c r="M18" s="96" t="s">
        <v>563</v>
      </c>
      <c r="N18" s="96" t="s">
        <v>583</v>
      </c>
      <c r="O18" s="96" t="s">
        <v>648</v>
      </c>
      <c r="P18" s="10" t="s">
        <v>534</v>
      </c>
      <c r="Q18" s="214">
        <f>SUM(Q19:Q21)</f>
        <v>17914.5</v>
      </c>
      <c r="R18" s="214">
        <f>SUM(R19:R21)</f>
        <v>22997.4</v>
      </c>
      <c r="S18" s="214">
        <f>SUM(S19:S21)</f>
        <v>22839.9</v>
      </c>
    </row>
    <row r="19" spans="1:19" ht="29.25" customHeight="1">
      <c r="A19" s="99"/>
      <c r="B19" s="98"/>
      <c r="C19" s="97"/>
      <c r="D19" s="101"/>
      <c r="E19" s="102"/>
      <c r="F19" s="102"/>
      <c r="G19" s="89"/>
      <c r="H19" s="11" t="s">
        <v>533</v>
      </c>
      <c r="I19" s="6">
        <v>27</v>
      </c>
      <c r="J19" s="16">
        <v>1</v>
      </c>
      <c r="K19" s="16">
        <v>4</v>
      </c>
      <c r="L19" s="16">
        <v>91</v>
      </c>
      <c r="M19" s="96" t="s">
        <v>563</v>
      </c>
      <c r="N19" s="96" t="s">
        <v>583</v>
      </c>
      <c r="O19" s="96" t="s">
        <v>648</v>
      </c>
      <c r="P19" s="10">
        <v>120</v>
      </c>
      <c r="Q19" s="214">
        <f>14355.1+114.6</f>
        <v>14469.7</v>
      </c>
      <c r="R19" s="214">
        <v>14355.1</v>
      </c>
      <c r="S19" s="214">
        <v>14355.1</v>
      </c>
    </row>
    <row r="20" spans="1:19" ht="26.25" customHeight="1">
      <c r="A20" s="99"/>
      <c r="B20" s="98"/>
      <c r="C20" s="103"/>
      <c r="D20" s="101"/>
      <c r="E20" s="104"/>
      <c r="F20" s="104"/>
      <c r="G20" s="105"/>
      <c r="H20" s="5" t="s">
        <v>720</v>
      </c>
      <c r="I20" s="8">
        <v>27</v>
      </c>
      <c r="J20" s="16">
        <v>1</v>
      </c>
      <c r="K20" s="16">
        <v>4</v>
      </c>
      <c r="L20" s="16">
        <v>91</v>
      </c>
      <c r="M20" s="96" t="s">
        <v>563</v>
      </c>
      <c r="N20" s="96" t="s">
        <v>583</v>
      </c>
      <c r="O20" s="96" t="s">
        <v>648</v>
      </c>
      <c r="P20" s="6">
        <v>240</v>
      </c>
      <c r="Q20" s="214">
        <f>4891.8-2182.3-341.4+341.4-14.7</f>
        <v>2694.8</v>
      </c>
      <c r="R20" s="214">
        <v>7892.3</v>
      </c>
      <c r="S20" s="214">
        <v>7734.8</v>
      </c>
    </row>
    <row r="21" spans="1:19" ht="20.25" customHeight="1">
      <c r="A21" s="99"/>
      <c r="B21" s="98"/>
      <c r="C21" s="106"/>
      <c r="D21" s="107"/>
      <c r="E21" s="104"/>
      <c r="F21" s="104"/>
      <c r="G21" s="89"/>
      <c r="H21" s="108" t="s">
        <v>721</v>
      </c>
      <c r="I21" s="8">
        <v>27</v>
      </c>
      <c r="J21" s="16">
        <v>1</v>
      </c>
      <c r="K21" s="16">
        <v>4</v>
      </c>
      <c r="L21" s="16">
        <v>91</v>
      </c>
      <c r="M21" s="96" t="s">
        <v>563</v>
      </c>
      <c r="N21" s="96" t="s">
        <v>583</v>
      </c>
      <c r="O21" s="96" t="s">
        <v>648</v>
      </c>
      <c r="P21" s="6">
        <v>850</v>
      </c>
      <c r="Q21" s="214">
        <v>750</v>
      </c>
      <c r="R21" s="214">
        <v>750</v>
      </c>
      <c r="S21" s="214">
        <v>750</v>
      </c>
    </row>
    <row r="22" spans="1:19" ht="20.25" customHeight="1">
      <c r="A22" s="99"/>
      <c r="B22" s="98"/>
      <c r="C22" s="106"/>
      <c r="D22" s="107"/>
      <c r="E22" s="104"/>
      <c r="F22" s="104"/>
      <c r="G22" s="89"/>
      <c r="H22" s="108" t="s">
        <v>61</v>
      </c>
      <c r="I22" s="13">
        <v>27</v>
      </c>
      <c r="J22" s="16">
        <v>1</v>
      </c>
      <c r="K22" s="16">
        <v>4</v>
      </c>
      <c r="L22" s="16">
        <v>91</v>
      </c>
      <c r="M22" s="96" t="s">
        <v>563</v>
      </c>
      <c r="N22" s="96" t="s">
        <v>583</v>
      </c>
      <c r="O22" s="96" t="s">
        <v>60</v>
      </c>
      <c r="P22" s="10"/>
      <c r="Q22" s="214">
        <f>Q23</f>
        <v>2785.9</v>
      </c>
      <c r="R22" s="214"/>
      <c r="S22" s="214"/>
    </row>
    <row r="23" spans="1:19" ht="20.25" customHeight="1">
      <c r="A23" s="99"/>
      <c r="B23" s="98"/>
      <c r="C23" s="106"/>
      <c r="D23" s="107"/>
      <c r="E23" s="104"/>
      <c r="F23" s="104"/>
      <c r="G23" s="89"/>
      <c r="H23" s="5" t="s">
        <v>533</v>
      </c>
      <c r="I23" s="13">
        <v>27</v>
      </c>
      <c r="J23" s="16">
        <v>1</v>
      </c>
      <c r="K23" s="16">
        <v>4</v>
      </c>
      <c r="L23" s="16">
        <v>91</v>
      </c>
      <c r="M23" s="96" t="s">
        <v>563</v>
      </c>
      <c r="N23" s="96" t="s">
        <v>583</v>
      </c>
      <c r="O23" s="96" t="s">
        <v>60</v>
      </c>
      <c r="P23" s="10">
        <v>120</v>
      </c>
      <c r="Q23" s="214">
        <f>7619.4-7619.4+2111.9+674</f>
        <v>2785.9</v>
      </c>
      <c r="R23" s="214"/>
      <c r="S23" s="214"/>
    </row>
    <row r="24" spans="1:19" ht="36" customHeight="1">
      <c r="A24" s="99"/>
      <c r="B24" s="98"/>
      <c r="C24" s="106"/>
      <c r="D24" s="107"/>
      <c r="E24" s="104"/>
      <c r="F24" s="104"/>
      <c r="G24" s="89"/>
      <c r="H24" s="11" t="s">
        <v>58</v>
      </c>
      <c r="I24" s="10">
        <v>27</v>
      </c>
      <c r="J24" s="16">
        <v>1</v>
      </c>
      <c r="K24" s="16">
        <v>4</v>
      </c>
      <c r="L24" s="16">
        <v>91</v>
      </c>
      <c r="M24" s="96" t="s">
        <v>563</v>
      </c>
      <c r="N24" s="96" t="s">
        <v>583</v>
      </c>
      <c r="O24" s="96" t="s">
        <v>57</v>
      </c>
      <c r="P24" s="10"/>
      <c r="Q24" s="214">
        <f>SUM(Q25:Q26)</f>
        <v>812.4</v>
      </c>
      <c r="R24" s="214">
        <f>SUM(R25:R26)</f>
        <v>0</v>
      </c>
      <c r="S24" s="214">
        <f>SUM(S25:S26)</f>
        <v>0</v>
      </c>
    </row>
    <row r="25" spans="1:19" ht="18" customHeight="1">
      <c r="A25" s="99"/>
      <c r="B25" s="98"/>
      <c r="C25" s="106"/>
      <c r="D25" s="107"/>
      <c r="E25" s="104"/>
      <c r="F25" s="104"/>
      <c r="G25" s="89"/>
      <c r="H25" s="11" t="s">
        <v>533</v>
      </c>
      <c r="I25" s="10">
        <v>27</v>
      </c>
      <c r="J25" s="16">
        <v>1</v>
      </c>
      <c r="K25" s="16">
        <v>4</v>
      </c>
      <c r="L25" s="16">
        <v>91</v>
      </c>
      <c r="M25" s="96" t="s">
        <v>563</v>
      </c>
      <c r="N25" s="96" t="s">
        <v>583</v>
      </c>
      <c r="O25" s="96" t="s">
        <v>57</v>
      </c>
      <c r="P25" s="10">
        <v>120</v>
      </c>
      <c r="Q25" s="214">
        <f>652.1+107.5+37.8</f>
        <v>797.4</v>
      </c>
      <c r="R25" s="214">
        <v>0</v>
      </c>
      <c r="S25" s="214">
        <v>0</v>
      </c>
    </row>
    <row r="26" spans="1:19" ht="17.25" customHeight="1">
      <c r="A26" s="99"/>
      <c r="B26" s="98"/>
      <c r="C26" s="106"/>
      <c r="D26" s="107"/>
      <c r="E26" s="104"/>
      <c r="F26" s="104"/>
      <c r="G26" s="89"/>
      <c r="H26" s="11" t="s">
        <v>720</v>
      </c>
      <c r="I26" s="10">
        <v>27</v>
      </c>
      <c r="J26" s="16">
        <v>1</v>
      </c>
      <c r="K26" s="16">
        <v>4</v>
      </c>
      <c r="L26" s="16">
        <v>91</v>
      </c>
      <c r="M26" s="96" t="s">
        <v>563</v>
      </c>
      <c r="N26" s="96" t="s">
        <v>583</v>
      </c>
      <c r="O26" s="96" t="s">
        <v>57</v>
      </c>
      <c r="P26" s="10">
        <v>240</v>
      </c>
      <c r="Q26" s="214">
        <f>5+10</f>
        <v>15</v>
      </c>
      <c r="R26" s="214">
        <v>0</v>
      </c>
      <c r="S26" s="214">
        <v>0</v>
      </c>
    </row>
    <row r="27" spans="1:19" ht="56.25" customHeight="1">
      <c r="A27" s="99"/>
      <c r="B27" s="98"/>
      <c r="C27" s="106"/>
      <c r="D27" s="107"/>
      <c r="E27" s="104"/>
      <c r="F27" s="104"/>
      <c r="G27" s="89"/>
      <c r="H27" s="11" t="s">
        <v>240</v>
      </c>
      <c r="I27" s="10">
        <v>27</v>
      </c>
      <c r="J27" s="16">
        <v>1</v>
      </c>
      <c r="K27" s="16">
        <v>4</v>
      </c>
      <c r="L27" s="16">
        <v>91</v>
      </c>
      <c r="M27" s="96" t="s">
        <v>563</v>
      </c>
      <c r="N27" s="96" t="s">
        <v>583</v>
      </c>
      <c r="O27" s="96" t="s">
        <v>59</v>
      </c>
      <c r="P27" s="10"/>
      <c r="Q27" s="214">
        <f>Q28</f>
        <v>95.6</v>
      </c>
      <c r="R27" s="214">
        <v>0</v>
      </c>
      <c r="S27" s="214">
        <v>0</v>
      </c>
    </row>
    <row r="28" spans="1:19" ht="27.75" customHeight="1">
      <c r="A28" s="99"/>
      <c r="B28" s="98"/>
      <c r="C28" s="106"/>
      <c r="D28" s="107"/>
      <c r="E28" s="104"/>
      <c r="F28" s="104"/>
      <c r="G28" s="89"/>
      <c r="H28" s="11" t="s">
        <v>533</v>
      </c>
      <c r="I28" s="10">
        <v>27</v>
      </c>
      <c r="J28" s="16">
        <v>1</v>
      </c>
      <c r="K28" s="16">
        <v>4</v>
      </c>
      <c r="L28" s="16">
        <v>91</v>
      </c>
      <c r="M28" s="96" t="s">
        <v>563</v>
      </c>
      <c r="N28" s="96" t="s">
        <v>583</v>
      </c>
      <c r="O28" s="96" t="s">
        <v>59</v>
      </c>
      <c r="P28" s="10">
        <v>120</v>
      </c>
      <c r="Q28" s="214">
        <f>84+11.6</f>
        <v>95.6</v>
      </c>
      <c r="R28" s="214">
        <v>0</v>
      </c>
      <c r="S28" s="214">
        <v>0</v>
      </c>
    </row>
    <row r="29" spans="1:19" ht="66" customHeight="1">
      <c r="A29" s="99"/>
      <c r="B29" s="98"/>
      <c r="C29" s="106"/>
      <c r="D29" s="107"/>
      <c r="E29" s="104"/>
      <c r="F29" s="104"/>
      <c r="G29" s="89"/>
      <c r="H29" s="11" t="s">
        <v>755</v>
      </c>
      <c r="I29" s="10">
        <v>27</v>
      </c>
      <c r="J29" s="16">
        <v>1</v>
      </c>
      <c r="K29" s="16">
        <v>4</v>
      </c>
      <c r="L29" s="16">
        <v>91</v>
      </c>
      <c r="M29" s="96" t="s">
        <v>563</v>
      </c>
      <c r="N29" s="96" t="s">
        <v>583</v>
      </c>
      <c r="O29" s="96" t="s">
        <v>753</v>
      </c>
      <c r="P29" s="10"/>
      <c r="Q29" s="214">
        <f>SUM(Q30:Q31)</f>
        <v>448.50000000000006</v>
      </c>
      <c r="R29" s="214">
        <f>SUM(R30:R31)</f>
        <v>0</v>
      </c>
      <c r="S29" s="214">
        <f>SUM(S30:S31)</f>
        <v>0</v>
      </c>
    </row>
    <row r="30" spans="1:19" ht="26.25" customHeight="1">
      <c r="A30" s="99"/>
      <c r="B30" s="98"/>
      <c r="C30" s="106"/>
      <c r="D30" s="107"/>
      <c r="E30" s="104"/>
      <c r="F30" s="104"/>
      <c r="G30" s="89"/>
      <c r="H30" s="11" t="s">
        <v>533</v>
      </c>
      <c r="I30" s="10">
        <v>27</v>
      </c>
      <c r="J30" s="16">
        <v>1</v>
      </c>
      <c r="K30" s="16">
        <v>4</v>
      </c>
      <c r="L30" s="16">
        <v>91</v>
      </c>
      <c r="M30" s="96" t="s">
        <v>563</v>
      </c>
      <c r="N30" s="96" t="s">
        <v>583</v>
      </c>
      <c r="O30" s="96" t="s">
        <v>753</v>
      </c>
      <c r="P30" s="10">
        <v>120</v>
      </c>
      <c r="Q30" s="214">
        <f>348.1+4.1+87.8</f>
        <v>440.00000000000006</v>
      </c>
      <c r="R30" s="214">
        <v>0</v>
      </c>
      <c r="S30" s="214">
        <v>0</v>
      </c>
    </row>
    <row r="31" spans="1:19" ht="30" customHeight="1">
      <c r="A31" s="99"/>
      <c r="B31" s="98"/>
      <c r="C31" s="106"/>
      <c r="D31" s="107"/>
      <c r="E31" s="104"/>
      <c r="F31" s="104"/>
      <c r="G31" s="89"/>
      <c r="H31" s="11" t="s">
        <v>720</v>
      </c>
      <c r="I31" s="10">
        <v>27</v>
      </c>
      <c r="J31" s="16">
        <v>1</v>
      </c>
      <c r="K31" s="16">
        <v>4</v>
      </c>
      <c r="L31" s="16">
        <v>91</v>
      </c>
      <c r="M31" s="96" t="s">
        <v>563</v>
      </c>
      <c r="N31" s="96" t="s">
        <v>583</v>
      </c>
      <c r="O31" s="96" t="s">
        <v>753</v>
      </c>
      <c r="P31" s="10">
        <v>240</v>
      </c>
      <c r="Q31" s="214">
        <f>5+3.5</f>
        <v>8.5</v>
      </c>
      <c r="R31" s="215">
        <v>0</v>
      </c>
      <c r="S31" s="215">
        <v>0</v>
      </c>
    </row>
    <row r="32" spans="1:19" ht="27" customHeight="1">
      <c r="A32" s="99"/>
      <c r="B32" s="98"/>
      <c r="C32" s="106"/>
      <c r="D32" s="107"/>
      <c r="E32" s="104"/>
      <c r="F32" s="104"/>
      <c r="G32" s="89"/>
      <c r="H32" s="11" t="s">
        <v>756</v>
      </c>
      <c r="I32" s="10">
        <v>27</v>
      </c>
      <c r="J32" s="16">
        <v>1</v>
      </c>
      <c r="K32" s="16">
        <v>4</v>
      </c>
      <c r="L32" s="16">
        <v>91</v>
      </c>
      <c r="M32" s="96" t="s">
        <v>563</v>
      </c>
      <c r="N32" s="96" t="s">
        <v>583</v>
      </c>
      <c r="O32" s="96" t="s">
        <v>754</v>
      </c>
      <c r="P32" s="10"/>
      <c r="Q32" s="214">
        <f>Q33</f>
        <v>159.1</v>
      </c>
      <c r="R32" s="214">
        <f>R33</f>
        <v>0</v>
      </c>
      <c r="S32" s="214">
        <f>S33</f>
        <v>0</v>
      </c>
    </row>
    <row r="33" spans="1:19" ht="24" customHeight="1">
      <c r="A33" s="99"/>
      <c r="B33" s="98"/>
      <c r="C33" s="106"/>
      <c r="D33" s="107"/>
      <c r="E33" s="104"/>
      <c r="F33" s="104"/>
      <c r="G33" s="89"/>
      <c r="H33" s="11" t="s">
        <v>533</v>
      </c>
      <c r="I33" s="10">
        <v>27</v>
      </c>
      <c r="J33" s="16">
        <v>1</v>
      </c>
      <c r="K33" s="16">
        <v>4</v>
      </c>
      <c r="L33" s="16">
        <v>91</v>
      </c>
      <c r="M33" s="96" t="s">
        <v>563</v>
      </c>
      <c r="N33" s="96" t="s">
        <v>583</v>
      </c>
      <c r="O33" s="96" t="s">
        <v>754</v>
      </c>
      <c r="P33" s="10">
        <v>120</v>
      </c>
      <c r="Q33" s="214">
        <f>124.2+4.4+30.5</f>
        <v>159.1</v>
      </c>
      <c r="R33" s="214"/>
      <c r="S33" s="214"/>
    </row>
    <row r="34" spans="1:19" ht="67.5" customHeight="1">
      <c r="A34" s="99"/>
      <c r="B34" s="98"/>
      <c r="C34" s="106"/>
      <c r="D34" s="107"/>
      <c r="E34" s="104"/>
      <c r="F34" s="104"/>
      <c r="G34" s="89"/>
      <c r="H34" s="11" t="s">
        <v>662</v>
      </c>
      <c r="I34" s="10">
        <v>27</v>
      </c>
      <c r="J34" s="16">
        <v>1</v>
      </c>
      <c r="K34" s="16">
        <v>4</v>
      </c>
      <c r="L34" s="16">
        <v>91</v>
      </c>
      <c r="M34" s="96" t="s">
        <v>563</v>
      </c>
      <c r="N34" s="96" t="s">
        <v>583</v>
      </c>
      <c r="O34" s="96" t="s">
        <v>5</v>
      </c>
      <c r="P34" s="10"/>
      <c r="Q34" s="214">
        <f>Q35</f>
        <v>0.5</v>
      </c>
      <c r="R34" s="214">
        <v>0</v>
      </c>
      <c r="S34" s="214">
        <v>0</v>
      </c>
    </row>
    <row r="35" spans="1:19" ht="24" customHeight="1">
      <c r="A35" s="99"/>
      <c r="B35" s="98"/>
      <c r="C35" s="106"/>
      <c r="D35" s="107"/>
      <c r="E35" s="104"/>
      <c r="F35" s="104"/>
      <c r="G35" s="89"/>
      <c r="H35" s="11" t="s">
        <v>720</v>
      </c>
      <c r="I35" s="10">
        <v>27</v>
      </c>
      <c r="J35" s="16">
        <v>1</v>
      </c>
      <c r="K35" s="16">
        <v>4</v>
      </c>
      <c r="L35" s="16">
        <v>91</v>
      </c>
      <c r="M35" s="96" t="s">
        <v>563</v>
      </c>
      <c r="N35" s="96" t="s">
        <v>583</v>
      </c>
      <c r="O35" s="96" t="s">
        <v>5</v>
      </c>
      <c r="P35" s="10">
        <v>240</v>
      </c>
      <c r="Q35" s="214">
        <v>0.5</v>
      </c>
      <c r="R35" s="214">
        <v>0</v>
      </c>
      <c r="S35" s="214">
        <v>0</v>
      </c>
    </row>
    <row r="36" spans="1:19" s="179" customFormat="1" ht="27.75" customHeight="1">
      <c r="A36" s="142"/>
      <c r="B36" s="143"/>
      <c r="C36" s="157"/>
      <c r="D36" s="170"/>
      <c r="E36" s="145"/>
      <c r="F36" s="145"/>
      <c r="G36" s="136"/>
      <c r="H36" s="137" t="s">
        <v>616</v>
      </c>
      <c r="I36" s="138">
        <v>27</v>
      </c>
      <c r="J36" s="139">
        <v>1</v>
      </c>
      <c r="K36" s="139">
        <v>5</v>
      </c>
      <c r="L36" s="139"/>
      <c r="M36" s="141"/>
      <c r="N36" s="141"/>
      <c r="O36" s="141"/>
      <c r="P36" s="138"/>
      <c r="Q36" s="213">
        <f aca="true" t="shared" si="0" ref="Q36:S37">Q37</f>
        <v>9.4</v>
      </c>
      <c r="R36" s="213">
        <f t="shared" si="0"/>
        <v>10.1</v>
      </c>
      <c r="S36" s="213">
        <f t="shared" si="0"/>
        <v>28.7</v>
      </c>
    </row>
    <row r="37" spans="1:19" ht="36.75" customHeight="1">
      <c r="A37" s="99"/>
      <c r="B37" s="98"/>
      <c r="C37" s="106"/>
      <c r="D37" s="107"/>
      <c r="E37" s="104"/>
      <c r="F37" s="104"/>
      <c r="G37" s="89"/>
      <c r="H37" s="11" t="s">
        <v>764</v>
      </c>
      <c r="I37" s="10">
        <v>27</v>
      </c>
      <c r="J37" s="16">
        <v>1</v>
      </c>
      <c r="K37" s="16">
        <v>5</v>
      </c>
      <c r="L37" s="16">
        <v>91</v>
      </c>
      <c r="M37" s="96" t="s">
        <v>563</v>
      </c>
      <c r="N37" s="96" t="s">
        <v>583</v>
      </c>
      <c r="O37" s="96" t="s">
        <v>763</v>
      </c>
      <c r="P37" s="10"/>
      <c r="Q37" s="214">
        <f t="shared" si="0"/>
        <v>9.4</v>
      </c>
      <c r="R37" s="214">
        <f t="shared" si="0"/>
        <v>10.1</v>
      </c>
      <c r="S37" s="214">
        <f t="shared" si="0"/>
        <v>28.7</v>
      </c>
    </row>
    <row r="38" spans="1:19" ht="27.75" customHeight="1">
      <c r="A38" s="99"/>
      <c r="B38" s="98"/>
      <c r="C38" s="106"/>
      <c r="D38" s="107"/>
      <c r="E38" s="104"/>
      <c r="F38" s="104"/>
      <c r="G38" s="89"/>
      <c r="H38" s="11" t="s">
        <v>720</v>
      </c>
      <c r="I38" s="10">
        <v>27</v>
      </c>
      <c r="J38" s="16">
        <v>1</v>
      </c>
      <c r="K38" s="16">
        <v>5</v>
      </c>
      <c r="L38" s="16">
        <v>91</v>
      </c>
      <c r="M38" s="96" t="s">
        <v>563</v>
      </c>
      <c r="N38" s="96" t="s">
        <v>583</v>
      </c>
      <c r="O38" s="96" t="s">
        <v>763</v>
      </c>
      <c r="P38" s="10">
        <v>240</v>
      </c>
      <c r="Q38" s="214">
        <v>9.4</v>
      </c>
      <c r="R38" s="214">
        <v>10.1</v>
      </c>
      <c r="S38" s="214">
        <v>28.7</v>
      </c>
    </row>
    <row r="39" spans="1:19" s="179" customFormat="1" ht="18.75" customHeight="1" hidden="1">
      <c r="A39" s="370">
        <v>1200</v>
      </c>
      <c r="B39" s="370"/>
      <c r="C39" s="371"/>
      <c r="D39" s="371"/>
      <c r="E39" s="371"/>
      <c r="F39" s="371"/>
      <c r="G39" s="136">
        <v>622</v>
      </c>
      <c r="H39" s="137" t="s">
        <v>370</v>
      </c>
      <c r="I39" s="138">
        <v>27</v>
      </c>
      <c r="J39" s="139">
        <v>1</v>
      </c>
      <c r="K39" s="139">
        <v>11</v>
      </c>
      <c r="L39" s="140" t="s">
        <v>534</v>
      </c>
      <c r="M39" s="141" t="s">
        <v>534</v>
      </c>
      <c r="N39" s="141"/>
      <c r="O39" s="141" t="s">
        <v>534</v>
      </c>
      <c r="P39" s="138" t="s">
        <v>534</v>
      </c>
      <c r="Q39" s="213">
        <f aca="true" t="shared" si="1" ref="Q39:S41">Q40</f>
        <v>0</v>
      </c>
      <c r="R39" s="213">
        <f t="shared" si="1"/>
        <v>500</v>
      </c>
      <c r="S39" s="213">
        <f t="shared" si="1"/>
        <v>500</v>
      </c>
    </row>
    <row r="40" spans="1:19" ht="23.25" customHeight="1" hidden="1">
      <c r="A40" s="99"/>
      <c r="B40" s="98"/>
      <c r="C40" s="376">
        <v>1204</v>
      </c>
      <c r="D40" s="377"/>
      <c r="E40" s="377"/>
      <c r="F40" s="377"/>
      <c r="G40" s="89">
        <v>622</v>
      </c>
      <c r="H40" s="11" t="s">
        <v>370</v>
      </c>
      <c r="I40" s="10">
        <v>27</v>
      </c>
      <c r="J40" s="16">
        <v>1</v>
      </c>
      <c r="K40" s="16">
        <v>11</v>
      </c>
      <c r="L40" s="95">
        <v>70</v>
      </c>
      <c r="M40" s="96">
        <v>0</v>
      </c>
      <c r="N40" s="96" t="s">
        <v>583</v>
      </c>
      <c r="O40" s="96" t="s">
        <v>620</v>
      </c>
      <c r="P40" s="10" t="s">
        <v>534</v>
      </c>
      <c r="Q40" s="214">
        <f t="shared" si="1"/>
        <v>0</v>
      </c>
      <c r="R40" s="214">
        <f t="shared" si="1"/>
        <v>500</v>
      </c>
      <c r="S40" s="214">
        <f t="shared" si="1"/>
        <v>500</v>
      </c>
    </row>
    <row r="41" spans="1:19" ht="21" customHeight="1" hidden="1">
      <c r="A41" s="99"/>
      <c r="B41" s="98"/>
      <c r="C41" s="97"/>
      <c r="D41" s="363">
        <v>4440000</v>
      </c>
      <c r="E41" s="363"/>
      <c r="F41" s="363"/>
      <c r="G41" s="89">
        <v>621</v>
      </c>
      <c r="H41" s="11" t="s">
        <v>353</v>
      </c>
      <c r="I41" s="10">
        <v>27</v>
      </c>
      <c r="J41" s="16">
        <v>1</v>
      </c>
      <c r="K41" s="16">
        <v>11</v>
      </c>
      <c r="L41" s="95" t="s">
        <v>343</v>
      </c>
      <c r="M41" s="96" t="s">
        <v>586</v>
      </c>
      <c r="N41" s="96" t="s">
        <v>583</v>
      </c>
      <c r="O41" s="96" t="s">
        <v>620</v>
      </c>
      <c r="P41" s="10" t="s">
        <v>534</v>
      </c>
      <c r="Q41" s="214">
        <f t="shared" si="1"/>
        <v>0</v>
      </c>
      <c r="R41" s="214">
        <f t="shared" si="1"/>
        <v>500</v>
      </c>
      <c r="S41" s="214">
        <f t="shared" si="1"/>
        <v>500</v>
      </c>
    </row>
    <row r="42" spans="1:19" ht="23.25" customHeight="1" hidden="1">
      <c r="A42" s="99"/>
      <c r="B42" s="98"/>
      <c r="C42" s="103"/>
      <c r="D42" s="109"/>
      <c r="E42" s="104"/>
      <c r="F42" s="104"/>
      <c r="G42" s="105">
        <v>621</v>
      </c>
      <c r="H42" s="5" t="s">
        <v>551</v>
      </c>
      <c r="I42" s="8">
        <v>27</v>
      </c>
      <c r="J42" s="21">
        <v>1</v>
      </c>
      <c r="K42" s="16">
        <v>11</v>
      </c>
      <c r="L42" s="95" t="s">
        <v>343</v>
      </c>
      <c r="M42" s="96" t="s">
        <v>586</v>
      </c>
      <c r="N42" s="96" t="s">
        <v>583</v>
      </c>
      <c r="O42" s="96" t="s">
        <v>620</v>
      </c>
      <c r="P42" s="6">
        <v>870</v>
      </c>
      <c r="Q42" s="216">
        <f>500+8900-9400</f>
        <v>0</v>
      </c>
      <c r="R42" s="216">
        <v>500</v>
      </c>
      <c r="S42" s="216">
        <v>500</v>
      </c>
    </row>
    <row r="43" spans="1:19" s="179" customFormat="1" ht="23.25" customHeight="1">
      <c r="A43" s="142"/>
      <c r="B43" s="143"/>
      <c r="C43" s="142"/>
      <c r="D43" s="144"/>
      <c r="E43" s="145"/>
      <c r="F43" s="145"/>
      <c r="G43" s="136"/>
      <c r="H43" s="137" t="s">
        <v>535</v>
      </c>
      <c r="I43" s="146">
        <v>27</v>
      </c>
      <c r="J43" s="147">
        <v>1</v>
      </c>
      <c r="K43" s="139">
        <v>13</v>
      </c>
      <c r="L43" s="140"/>
      <c r="M43" s="141"/>
      <c r="N43" s="141"/>
      <c r="O43" s="141"/>
      <c r="P43" s="146"/>
      <c r="Q43" s="217">
        <f>Q44+Q57+Q55</f>
        <v>48034</v>
      </c>
      <c r="R43" s="217">
        <f>R44+R57</f>
        <v>31038.2</v>
      </c>
      <c r="S43" s="217">
        <f>S44+S57</f>
        <v>30150.3</v>
      </c>
    </row>
    <row r="44" spans="1:19" s="179" customFormat="1" ht="41.25" customHeight="1">
      <c r="A44" s="142"/>
      <c r="B44" s="143"/>
      <c r="C44" s="142"/>
      <c r="D44" s="144"/>
      <c r="E44" s="145"/>
      <c r="F44" s="145"/>
      <c r="G44" s="136"/>
      <c r="H44" s="11" t="s">
        <v>619</v>
      </c>
      <c r="I44" s="6">
        <v>27</v>
      </c>
      <c r="J44" s="19">
        <v>1</v>
      </c>
      <c r="K44" s="16">
        <v>13</v>
      </c>
      <c r="L44" s="95" t="s">
        <v>562</v>
      </c>
      <c r="M44" s="96" t="s">
        <v>563</v>
      </c>
      <c r="N44" s="96" t="s">
        <v>583</v>
      </c>
      <c r="O44" s="96" t="s">
        <v>620</v>
      </c>
      <c r="P44" s="6"/>
      <c r="Q44" s="216">
        <f>Q45+Q52</f>
        <v>6131.6</v>
      </c>
      <c r="R44" s="216"/>
      <c r="S44" s="216"/>
    </row>
    <row r="45" spans="1:19" s="179" customFormat="1" ht="23.25" customHeight="1">
      <c r="A45" s="142"/>
      <c r="B45" s="143"/>
      <c r="C45" s="142"/>
      <c r="D45" s="144"/>
      <c r="E45" s="145"/>
      <c r="F45" s="145"/>
      <c r="G45" s="136"/>
      <c r="H45" s="11" t="s">
        <v>790</v>
      </c>
      <c r="I45" s="6">
        <v>27</v>
      </c>
      <c r="J45" s="19">
        <v>1</v>
      </c>
      <c r="K45" s="16">
        <v>13</v>
      </c>
      <c r="L45" s="95" t="s">
        <v>562</v>
      </c>
      <c r="M45" s="96" t="s">
        <v>563</v>
      </c>
      <c r="N45" s="96" t="s">
        <v>592</v>
      </c>
      <c r="O45" s="96" t="s">
        <v>620</v>
      </c>
      <c r="P45" s="6"/>
      <c r="Q45" s="216">
        <f>Q46+Q48+Q50</f>
        <v>5881.6</v>
      </c>
      <c r="R45" s="216"/>
      <c r="S45" s="216"/>
    </row>
    <row r="46" spans="1:19" s="179" customFormat="1" ht="41.25" customHeight="1" hidden="1">
      <c r="A46" s="142"/>
      <c r="B46" s="143"/>
      <c r="C46" s="142"/>
      <c r="D46" s="144"/>
      <c r="E46" s="145"/>
      <c r="F46" s="145"/>
      <c r="G46" s="136"/>
      <c r="H46" s="11" t="s">
        <v>788</v>
      </c>
      <c r="I46" s="6">
        <v>27</v>
      </c>
      <c r="J46" s="19">
        <v>1</v>
      </c>
      <c r="K46" s="16">
        <v>13</v>
      </c>
      <c r="L46" s="95" t="s">
        <v>562</v>
      </c>
      <c r="M46" s="96" t="s">
        <v>563</v>
      </c>
      <c r="N46" s="96" t="s">
        <v>592</v>
      </c>
      <c r="O46" s="96" t="s">
        <v>787</v>
      </c>
      <c r="P46" s="6"/>
      <c r="Q46" s="216">
        <f>Q47</f>
        <v>0</v>
      </c>
      <c r="R46" s="216"/>
      <c r="S46" s="216"/>
    </row>
    <row r="47" spans="1:19" s="179" customFormat="1" ht="23.25" customHeight="1" hidden="1">
      <c r="A47" s="142"/>
      <c r="B47" s="143"/>
      <c r="C47" s="142"/>
      <c r="D47" s="144"/>
      <c r="E47" s="145"/>
      <c r="F47" s="145"/>
      <c r="G47" s="136"/>
      <c r="H47" s="11" t="s">
        <v>647</v>
      </c>
      <c r="I47" s="6">
        <v>27</v>
      </c>
      <c r="J47" s="19">
        <v>1</v>
      </c>
      <c r="K47" s="16">
        <v>13</v>
      </c>
      <c r="L47" s="95" t="s">
        <v>562</v>
      </c>
      <c r="M47" s="96" t="s">
        <v>563</v>
      </c>
      <c r="N47" s="96" t="s">
        <v>592</v>
      </c>
      <c r="O47" s="96" t="s">
        <v>787</v>
      </c>
      <c r="P47" s="6">
        <v>540</v>
      </c>
      <c r="Q47" s="216">
        <v>0</v>
      </c>
      <c r="R47" s="216"/>
      <c r="S47" s="216"/>
    </row>
    <row r="48" spans="1:19" s="179" customFormat="1" ht="23.25" customHeight="1">
      <c r="A48" s="142"/>
      <c r="B48" s="143"/>
      <c r="C48" s="142"/>
      <c r="D48" s="144"/>
      <c r="E48" s="145"/>
      <c r="F48" s="145"/>
      <c r="G48" s="136"/>
      <c r="H48" s="11" t="s">
        <v>795</v>
      </c>
      <c r="I48" s="6">
        <v>27</v>
      </c>
      <c r="J48" s="19">
        <v>1</v>
      </c>
      <c r="K48" s="16">
        <v>13</v>
      </c>
      <c r="L48" s="95" t="s">
        <v>562</v>
      </c>
      <c r="M48" s="96" t="s">
        <v>563</v>
      </c>
      <c r="N48" s="96" t="s">
        <v>592</v>
      </c>
      <c r="O48" s="96" t="s">
        <v>794</v>
      </c>
      <c r="P48" s="6"/>
      <c r="Q48" s="216">
        <f>Q49</f>
        <v>522</v>
      </c>
      <c r="R48" s="216"/>
      <c r="S48" s="216"/>
    </row>
    <row r="49" spans="1:19" s="179" customFormat="1" ht="23.25" customHeight="1">
      <c r="A49" s="142"/>
      <c r="B49" s="143"/>
      <c r="C49" s="142"/>
      <c r="D49" s="144"/>
      <c r="E49" s="145"/>
      <c r="F49" s="145"/>
      <c r="G49" s="136"/>
      <c r="H49" s="11" t="s">
        <v>647</v>
      </c>
      <c r="I49" s="6">
        <v>27</v>
      </c>
      <c r="J49" s="19">
        <v>1</v>
      </c>
      <c r="K49" s="16">
        <v>13</v>
      </c>
      <c r="L49" s="95" t="s">
        <v>562</v>
      </c>
      <c r="M49" s="96" t="s">
        <v>563</v>
      </c>
      <c r="N49" s="96" t="s">
        <v>592</v>
      </c>
      <c r="O49" s="96" t="s">
        <v>794</v>
      </c>
      <c r="P49" s="6">
        <v>540</v>
      </c>
      <c r="Q49" s="216">
        <v>522</v>
      </c>
      <c r="R49" s="216"/>
      <c r="S49" s="216"/>
    </row>
    <row r="50" spans="1:19" s="179" customFormat="1" ht="23.25" customHeight="1">
      <c r="A50" s="142"/>
      <c r="B50" s="143"/>
      <c r="C50" s="142"/>
      <c r="D50" s="144"/>
      <c r="E50" s="145"/>
      <c r="F50" s="145"/>
      <c r="G50" s="136"/>
      <c r="H50" s="11" t="s">
        <v>770</v>
      </c>
      <c r="I50" s="6">
        <v>27</v>
      </c>
      <c r="J50" s="19">
        <v>1</v>
      </c>
      <c r="K50" s="16">
        <v>13</v>
      </c>
      <c r="L50" s="95" t="s">
        <v>562</v>
      </c>
      <c r="M50" s="96" t="s">
        <v>563</v>
      </c>
      <c r="N50" s="96" t="s">
        <v>592</v>
      </c>
      <c r="O50" s="96" t="s">
        <v>771</v>
      </c>
      <c r="P50" s="6"/>
      <c r="Q50" s="216">
        <f>Q51</f>
        <v>5359.6</v>
      </c>
      <c r="R50" s="216"/>
      <c r="S50" s="216"/>
    </row>
    <row r="51" spans="1:19" s="179" customFormat="1" ht="23.25" customHeight="1">
      <c r="A51" s="142"/>
      <c r="B51" s="143"/>
      <c r="C51" s="142"/>
      <c r="D51" s="144"/>
      <c r="E51" s="145"/>
      <c r="F51" s="145"/>
      <c r="G51" s="136"/>
      <c r="H51" s="11" t="s">
        <v>647</v>
      </c>
      <c r="I51" s="6">
        <v>27</v>
      </c>
      <c r="J51" s="19">
        <v>1</v>
      </c>
      <c r="K51" s="16">
        <v>13</v>
      </c>
      <c r="L51" s="95" t="s">
        <v>562</v>
      </c>
      <c r="M51" s="96" t="s">
        <v>563</v>
      </c>
      <c r="N51" s="96" t="s">
        <v>592</v>
      </c>
      <c r="O51" s="96" t="s">
        <v>771</v>
      </c>
      <c r="P51" s="6">
        <v>540</v>
      </c>
      <c r="Q51" s="216">
        <f>3850+38.9+14.7+1456</f>
        <v>5359.6</v>
      </c>
      <c r="R51" s="216"/>
      <c r="S51" s="216"/>
    </row>
    <row r="52" spans="1:19" s="179" customFormat="1" ht="23.25" customHeight="1">
      <c r="A52" s="142"/>
      <c r="B52" s="143"/>
      <c r="C52" s="142"/>
      <c r="D52" s="144"/>
      <c r="E52" s="145"/>
      <c r="F52" s="145"/>
      <c r="G52" s="136"/>
      <c r="H52" s="11" t="s">
        <v>236</v>
      </c>
      <c r="I52" s="6">
        <v>27</v>
      </c>
      <c r="J52" s="19">
        <v>1</v>
      </c>
      <c r="K52" s="16">
        <v>13</v>
      </c>
      <c r="L52" s="95" t="s">
        <v>562</v>
      </c>
      <c r="M52" s="96" t="s">
        <v>563</v>
      </c>
      <c r="N52" s="96" t="s">
        <v>593</v>
      </c>
      <c r="O52" s="96" t="s">
        <v>620</v>
      </c>
      <c r="P52" s="6"/>
      <c r="Q52" s="216">
        <f>Q53</f>
        <v>250</v>
      </c>
      <c r="R52" s="216"/>
      <c r="S52" s="216"/>
    </row>
    <row r="53" spans="1:19" s="179" customFormat="1" ht="23.25" customHeight="1">
      <c r="A53" s="142"/>
      <c r="B53" s="143"/>
      <c r="C53" s="142"/>
      <c r="D53" s="144"/>
      <c r="E53" s="145"/>
      <c r="F53" s="145"/>
      <c r="G53" s="136"/>
      <c r="H53" s="11" t="s">
        <v>237</v>
      </c>
      <c r="I53" s="6">
        <v>27</v>
      </c>
      <c r="J53" s="19">
        <v>1</v>
      </c>
      <c r="K53" s="16">
        <v>13</v>
      </c>
      <c r="L53" s="95" t="s">
        <v>562</v>
      </c>
      <c r="M53" s="96" t="s">
        <v>563</v>
      </c>
      <c r="N53" s="96" t="s">
        <v>593</v>
      </c>
      <c r="O53" s="96" t="s">
        <v>235</v>
      </c>
      <c r="P53" s="6"/>
      <c r="Q53" s="216">
        <f>Q54</f>
        <v>250</v>
      </c>
      <c r="R53" s="216"/>
      <c r="S53" s="216"/>
    </row>
    <row r="54" spans="1:19" s="179" customFormat="1" ht="23.25" customHeight="1">
      <c r="A54" s="142"/>
      <c r="B54" s="143"/>
      <c r="C54" s="142"/>
      <c r="D54" s="144"/>
      <c r="E54" s="145"/>
      <c r="F54" s="145"/>
      <c r="G54" s="136"/>
      <c r="H54" s="11" t="s">
        <v>647</v>
      </c>
      <c r="I54" s="6">
        <v>27</v>
      </c>
      <c r="J54" s="19">
        <v>1</v>
      </c>
      <c r="K54" s="16">
        <v>13</v>
      </c>
      <c r="L54" s="95" t="s">
        <v>562</v>
      </c>
      <c r="M54" s="96" t="s">
        <v>563</v>
      </c>
      <c r="N54" s="96" t="s">
        <v>593</v>
      </c>
      <c r="O54" s="96" t="s">
        <v>235</v>
      </c>
      <c r="P54" s="6">
        <v>540</v>
      </c>
      <c r="Q54" s="216">
        <v>250</v>
      </c>
      <c r="R54" s="216"/>
      <c r="S54" s="216"/>
    </row>
    <row r="55" spans="1:19" s="179" customFormat="1" ht="23.25" customHeight="1">
      <c r="A55" s="142"/>
      <c r="B55" s="143"/>
      <c r="C55" s="142"/>
      <c r="D55" s="144"/>
      <c r="E55" s="145"/>
      <c r="F55" s="145"/>
      <c r="G55" s="136"/>
      <c r="H55" s="11" t="s">
        <v>353</v>
      </c>
      <c r="I55" s="6">
        <v>27</v>
      </c>
      <c r="J55" s="19">
        <v>1</v>
      </c>
      <c r="K55" s="16">
        <v>13</v>
      </c>
      <c r="L55" s="95" t="s">
        <v>343</v>
      </c>
      <c r="M55" s="96" t="s">
        <v>586</v>
      </c>
      <c r="N55" s="96" t="s">
        <v>583</v>
      </c>
      <c r="O55" s="96" t="s">
        <v>620</v>
      </c>
      <c r="P55" s="6"/>
      <c r="Q55" s="216">
        <f>Q56</f>
        <v>9741.4</v>
      </c>
      <c r="R55" s="216"/>
      <c r="S55" s="216"/>
    </row>
    <row r="56" spans="1:19" s="179" customFormat="1" ht="23.25" customHeight="1">
      <c r="A56" s="142"/>
      <c r="B56" s="143"/>
      <c r="C56" s="142"/>
      <c r="D56" s="144"/>
      <c r="E56" s="145"/>
      <c r="F56" s="145"/>
      <c r="G56" s="136"/>
      <c r="H56" s="11" t="s">
        <v>720</v>
      </c>
      <c r="I56" s="6">
        <v>27</v>
      </c>
      <c r="J56" s="19">
        <v>1</v>
      </c>
      <c r="K56" s="16">
        <v>13</v>
      </c>
      <c r="L56" s="95" t="s">
        <v>343</v>
      </c>
      <c r="M56" s="96" t="s">
        <v>586</v>
      </c>
      <c r="N56" s="96" t="s">
        <v>583</v>
      </c>
      <c r="O56" s="96" t="s">
        <v>620</v>
      </c>
      <c r="P56" s="6">
        <v>240</v>
      </c>
      <c r="Q56" s="216">
        <v>9741.4</v>
      </c>
      <c r="R56" s="216"/>
      <c r="S56" s="216"/>
    </row>
    <row r="57" spans="1:19" s="179" customFormat="1" ht="23.25" customHeight="1">
      <c r="A57" s="142"/>
      <c r="B57" s="143"/>
      <c r="C57" s="142"/>
      <c r="D57" s="144"/>
      <c r="E57" s="145"/>
      <c r="F57" s="145"/>
      <c r="G57" s="136"/>
      <c r="H57" s="11" t="s">
        <v>299</v>
      </c>
      <c r="I57" s="6">
        <v>27</v>
      </c>
      <c r="J57" s="19">
        <v>1</v>
      </c>
      <c r="K57" s="16">
        <v>13</v>
      </c>
      <c r="L57" s="95" t="s">
        <v>580</v>
      </c>
      <c r="M57" s="96" t="s">
        <v>563</v>
      </c>
      <c r="N57" s="96" t="s">
        <v>583</v>
      </c>
      <c r="O57" s="96" t="s">
        <v>620</v>
      </c>
      <c r="P57" s="6"/>
      <c r="Q57" s="217">
        <f>Q58+Q61+Q68+Q71+Q73+Q76+Q78+Q66+Q80+Q64</f>
        <v>32161</v>
      </c>
      <c r="R57" s="217">
        <f>R58+R61+R68+R71+R73+R76+R78</f>
        <v>31038.2</v>
      </c>
      <c r="S57" s="217">
        <f>S58+S61+S68+S71+S73+S76+S78</f>
        <v>30150.3</v>
      </c>
    </row>
    <row r="58" spans="1:19" ht="25.5" customHeight="1">
      <c r="A58" s="99"/>
      <c r="B58" s="98"/>
      <c r="C58" s="103"/>
      <c r="D58" s="101"/>
      <c r="E58" s="367">
        <v>5203500</v>
      </c>
      <c r="F58" s="367"/>
      <c r="G58" s="89">
        <v>521</v>
      </c>
      <c r="H58" s="11" t="s">
        <v>342</v>
      </c>
      <c r="I58" s="10">
        <v>27</v>
      </c>
      <c r="J58" s="16">
        <v>1</v>
      </c>
      <c r="K58" s="16">
        <v>13</v>
      </c>
      <c r="L58" s="95" t="s">
        <v>580</v>
      </c>
      <c r="M58" s="96" t="s">
        <v>563</v>
      </c>
      <c r="N58" s="96" t="s">
        <v>583</v>
      </c>
      <c r="O58" s="96" t="s">
        <v>648</v>
      </c>
      <c r="P58" s="10" t="s">
        <v>534</v>
      </c>
      <c r="Q58" s="214">
        <f>SUM(Q59:Q60)</f>
        <v>1002.5</v>
      </c>
      <c r="R58" s="214">
        <f>SUM(R59:R60)</f>
        <v>2594.7</v>
      </c>
      <c r="S58" s="214">
        <f>SUM(S59:S60)</f>
        <v>1927.5</v>
      </c>
    </row>
    <row r="59" spans="1:19" ht="26.25" customHeight="1">
      <c r="A59" s="110"/>
      <c r="B59" s="111"/>
      <c r="C59" s="106"/>
      <c r="D59" s="107"/>
      <c r="E59" s="104"/>
      <c r="F59" s="104"/>
      <c r="G59" s="89"/>
      <c r="H59" s="11" t="s">
        <v>720</v>
      </c>
      <c r="I59" s="6">
        <v>27</v>
      </c>
      <c r="J59" s="19">
        <v>1</v>
      </c>
      <c r="K59" s="16">
        <v>13</v>
      </c>
      <c r="L59" s="95" t="s">
        <v>580</v>
      </c>
      <c r="M59" s="96" t="s">
        <v>563</v>
      </c>
      <c r="N59" s="96" t="s">
        <v>583</v>
      </c>
      <c r="O59" s="96" t="s">
        <v>648</v>
      </c>
      <c r="P59" s="6">
        <v>240</v>
      </c>
      <c r="Q59" s="216">
        <f>931-86+75</f>
        <v>920</v>
      </c>
      <c r="R59" s="216">
        <v>2512.2</v>
      </c>
      <c r="S59" s="216">
        <v>1845</v>
      </c>
    </row>
    <row r="60" spans="1:19" ht="20.25" customHeight="1">
      <c r="A60" s="110"/>
      <c r="B60" s="112"/>
      <c r="C60" s="106"/>
      <c r="D60" s="109"/>
      <c r="E60" s="104"/>
      <c r="F60" s="104"/>
      <c r="G60" s="89"/>
      <c r="H60" s="11" t="s">
        <v>721</v>
      </c>
      <c r="I60" s="6">
        <v>27</v>
      </c>
      <c r="J60" s="21">
        <v>1</v>
      </c>
      <c r="K60" s="16">
        <v>13</v>
      </c>
      <c r="L60" s="95" t="s">
        <v>580</v>
      </c>
      <c r="M60" s="96" t="s">
        <v>563</v>
      </c>
      <c r="N60" s="96" t="s">
        <v>583</v>
      </c>
      <c r="O60" s="96" t="s">
        <v>648</v>
      </c>
      <c r="P60" s="6">
        <v>850</v>
      </c>
      <c r="Q60" s="216">
        <v>82.5</v>
      </c>
      <c r="R60" s="216">
        <v>82.5</v>
      </c>
      <c r="S60" s="216">
        <v>82.5</v>
      </c>
    </row>
    <row r="61" spans="1:19" ht="26.25" customHeight="1">
      <c r="A61" s="99"/>
      <c r="B61" s="98"/>
      <c r="C61" s="97"/>
      <c r="D61" s="363">
        <v>5220000</v>
      </c>
      <c r="E61" s="364"/>
      <c r="F61" s="364"/>
      <c r="G61" s="89">
        <v>622</v>
      </c>
      <c r="H61" s="11" t="s">
        <v>344</v>
      </c>
      <c r="I61" s="10">
        <v>27</v>
      </c>
      <c r="J61" s="16">
        <v>1</v>
      </c>
      <c r="K61" s="16">
        <v>13</v>
      </c>
      <c r="L61" s="95" t="s">
        <v>580</v>
      </c>
      <c r="M61" s="96" t="s">
        <v>563</v>
      </c>
      <c r="N61" s="96" t="s">
        <v>583</v>
      </c>
      <c r="O61" s="96" t="s">
        <v>345</v>
      </c>
      <c r="P61" s="10"/>
      <c r="Q61" s="214">
        <f>SUM(Q62:Q63)</f>
        <v>15732.899999999998</v>
      </c>
      <c r="R61" s="214">
        <f>SUM(R62:R63)</f>
        <v>23760</v>
      </c>
      <c r="S61" s="214">
        <f>SUM(S62:S63)</f>
        <v>23760</v>
      </c>
    </row>
    <row r="62" spans="1:19" ht="26.25" customHeight="1">
      <c r="A62" s="99"/>
      <c r="B62" s="98"/>
      <c r="C62" s="97"/>
      <c r="D62" s="101"/>
      <c r="E62" s="100"/>
      <c r="F62" s="100"/>
      <c r="G62" s="89"/>
      <c r="H62" s="11" t="s">
        <v>722</v>
      </c>
      <c r="I62" s="6">
        <v>27</v>
      </c>
      <c r="J62" s="19">
        <v>1</v>
      </c>
      <c r="K62" s="16">
        <v>13</v>
      </c>
      <c r="L62" s="95" t="s">
        <v>580</v>
      </c>
      <c r="M62" s="96" t="s">
        <v>563</v>
      </c>
      <c r="N62" s="96" t="s">
        <v>583</v>
      </c>
      <c r="O62" s="96" t="s">
        <v>345</v>
      </c>
      <c r="P62" s="10">
        <v>610</v>
      </c>
      <c r="Q62" s="214">
        <v>258.8</v>
      </c>
      <c r="R62" s="214">
        <v>260</v>
      </c>
      <c r="S62" s="214">
        <v>260</v>
      </c>
    </row>
    <row r="63" spans="1:19" ht="21" customHeight="1">
      <c r="A63" s="99"/>
      <c r="B63" s="98"/>
      <c r="C63" s="103"/>
      <c r="D63" s="107"/>
      <c r="E63" s="178"/>
      <c r="F63" s="178"/>
      <c r="G63" s="89"/>
      <c r="H63" s="11" t="s">
        <v>757</v>
      </c>
      <c r="I63" s="10">
        <v>27</v>
      </c>
      <c r="J63" s="16">
        <v>1</v>
      </c>
      <c r="K63" s="16">
        <v>13</v>
      </c>
      <c r="L63" s="95" t="s">
        <v>580</v>
      </c>
      <c r="M63" s="96" t="s">
        <v>563</v>
      </c>
      <c r="N63" s="96" t="s">
        <v>583</v>
      </c>
      <c r="O63" s="96" t="s">
        <v>345</v>
      </c>
      <c r="P63" s="10">
        <v>620</v>
      </c>
      <c r="Q63" s="214">
        <f>18474.1-3000</f>
        <v>15474.099999999999</v>
      </c>
      <c r="R63" s="214">
        <v>23500</v>
      </c>
      <c r="S63" s="214">
        <v>23500</v>
      </c>
    </row>
    <row r="64" spans="1:19" ht="21" customHeight="1">
      <c r="A64" s="110"/>
      <c r="B64" s="111"/>
      <c r="C64" s="106"/>
      <c r="D64" s="107"/>
      <c r="E64" s="104"/>
      <c r="F64" s="104"/>
      <c r="G64" s="89"/>
      <c r="H64" s="11" t="s">
        <v>118</v>
      </c>
      <c r="I64" s="10">
        <v>27</v>
      </c>
      <c r="J64" s="16">
        <v>1</v>
      </c>
      <c r="K64" s="16">
        <v>13</v>
      </c>
      <c r="L64" s="95" t="s">
        <v>580</v>
      </c>
      <c r="M64" s="96" t="s">
        <v>563</v>
      </c>
      <c r="N64" s="96" t="s">
        <v>583</v>
      </c>
      <c r="O64" s="96" t="s">
        <v>117</v>
      </c>
      <c r="P64" s="10"/>
      <c r="Q64" s="214">
        <f>Q65</f>
        <v>163.7</v>
      </c>
      <c r="R64" s="216"/>
      <c r="S64" s="216"/>
    </row>
    <row r="65" spans="1:19" ht="21" customHeight="1">
      <c r="A65" s="110"/>
      <c r="B65" s="111"/>
      <c r="C65" s="106"/>
      <c r="D65" s="107"/>
      <c r="E65" s="104"/>
      <c r="F65" s="104"/>
      <c r="G65" s="89"/>
      <c r="H65" s="11" t="s">
        <v>720</v>
      </c>
      <c r="I65" s="10">
        <v>27</v>
      </c>
      <c r="J65" s="16">
        <v>1</v>
      </c>
      <c r="K65" s="16">
        <v>13</v>
      </c>
      <c r="L65" s="95" t="s">
        <v>580</v>
      </c>
      <c r="M65" s="96" t="s">
        <v>563</v>
      </c>
      <c r="N65" s="96" t="s">
        <v>583</v>
      </c>
      <c r="O65" s="96" t="s">
        <v>117</v>
      </c>
      <c r="P65" s="10">
        <v>240</v>
      </c>
      <c r="Q65" s="214">
        <f>86+77.7</f>
        <v>163.7</v>
      </c>
      <c r="R65" s="216"/>
      <c r="S65" s="216"/>
    </row>
    <row r="66" spans="1:19" ht="34.5" customHeight="1">
      <c r="A66" s="110"/>
      <c r="B66" s="111"/>
      <c r="C66" s="106"/>
      <c r="D66" s="107"/>
      <c r="E66" s="104"/>
      <c r="F66" s="104"/>
      <c r="G66" s="89"/>
      <c r="H66" s="11" t="s">
        <v>61</v>
      </c>
      <c r="I66" s="10">
        <v>27</v>
      </c>
      <c r="J66" s="16">
        <v>1</v>
      </c>
      <c r="K66" s="16">
        <v>13</v>
      </c>
      <c r="L66" s="95" t="s">
        <v>580</v>
      </c>
      <c r="M66" s="96" t="s">
        <v>563</v>
      </c>
      <c r="N66" s="96" t="s">
        <v>583</v>
      </c>
      <c r="O66" s="96" t="s">
        <v>60</v>
      </c>
      <c r="P66" s="6"/>
      <c r="Q66" s="216">
        <f>Q67</f>
        <v>9228.7</v>
      </c>
      <c r="R66" s="216"/>
      <c r="S66" s="216"/>
    </row>
    <row r="67" spans="1:19" ht="21" customHeight="1">
      <c r="A67" s="110"/>
      <c r="B67" s="111"/>
      <c r="C67" s="106"/>
      <c r="D67" s="107"/>
      <c r="E67" s="104"/>
      <c r="F67" s="104"/>
      <c r="G67" s="89"/>
      <c r="H67" s="11" t="s">
        <v>757</v>
      </c>
      <c r="I67" s="10">
        <v>27</v>
      </c>
      <c r="J67" s="16">
        <v>1</v>
      </c>
      <c r="K67" s="16">
        <v>13</v>
      </c>
      <c r="L67" s="95" t="s">
        <v>580</v>
      </c>
      <c r="M67" s="96" t="s">
        <v>563</v>
      </c>
      <c r="N67" s="96" t="s">
        <v>583</v>
      </c>
      <c r="O67" s="96" t="s">
        <v>60</v>
      </c>
      <c r="P67" s="6">
        <v>620</v>
      </c>
      <c r="Q67" s="216">
        <f>2988.9+6239.8</f>
        <v>9228.7</v>
      </c>
      <c r="R67" s="216"/>
      <c r="S67" s="216"/>
    </row>
    <row r="68" spans="1:19" ht="51" customHeight="1">
      <c r="A68" s="110"/>
      <c r="B68" s="112"/>
      <c r="C68" s="106"/>
      <c r="D68" s="109"/>
      <c r="E68" s="104"/>
      <c r="F68" s="104"/>
      <c r="G68" s="89"/>
      <c r="H68" s="34" t="s">
        <v>660</v>
      </c>
      <c r="I68" s="10">
        <v>27</v>
      </c>
      <c r="J68" s="16">
        <v>1</v>
      </c>
      <c r="K68" s="16">
        <v>13</v>
      </c>
      <c r="L68" s="95" t="s">
        <v>580</v>
      </c>
      <c r="M68" s="96" t="s">
        <v>563</v>
      </c>
      <c r="N68" s="96" t="s">
        <v>583</v>
      </c>
      <c r="O68" s="96" t="s">
        <v>655</v>
      </c>
      <c r="P68" s="6"/>
      <c r="Q68" s="216">
        <f>SUM(Q69:Q70)</f>
        <v>478.7</v>
      </c>
      <c r="R68" s="216">
        <f>SUM(R69:R70)</f>
        <v>240.4</v>
      </c>
      <c r="S68" s="216">
        <f>SUM(S69:S70)</f>
        <v>241.3</v>
      </c>
    </row>
    <row r="69" spans="1:19" ht="30" customHeight="1">
      <c r="A69" s="110"/>
      <c r="B69" s="112"/>
      <c r="C69" s="106"/>
      <c r="D69" s="109"/>
      <c r="E69" s="104"/>
      <c r="F69" s="104"/>
      <c r="G69" s="89"/>
      <c r="H69" s="34" t="s">
        <v>533</v>
      </c>
      <c r="I69" s="10">
        <v>27</v>
      </c>
      <c r="J69" s="16">
        <v>1</v>
      </c>
      <c r="K69" s="16">
        <v>13</v>
      </c>
      <c r="L69" s="95" t="s">
        <v>580</v>
      </c>
      <c r="M69" s="96" t="s">
        <v>563</v>
      </c>
      <c r="N69" s="96" t="s">
        <v>583</v>
      </c>
      <c r="O69" s="96" t="s">
        <v>655</v>
      </c>
      <c r="P69" s="10">
        <v>120</v>
      </c>
      <c r="Q69" s="214">
        <v>268.9</v>
      </c>
      <c r="R69" s="214">
        <v>240.4</v>
      </c>
      <c r="S69" s="214">
        <v>241.3</v>
      </c>
    </row>
    <row r="70" spans="1:19" ht="27" customHeight="1">
      <c r="A70" s="110"/>
      <c r="B70" s="112"/>
      <c r="C70" s="106"/>
      <c r="D70" s="109"/>
      <c r="E70" s="104"/>
      <c r="F70" s="104"/>
      <c r="G70" s="89"/>
      <c r="H70" s="34" t="s">
        <v>720</v>
      </c>
      <c r="I70" s="10">
        <v>27</v>
      </c>
      <c r="J70" s="16">
        <v>1</v>
      </c>
      <c r="K70" s="16">
        <v>13</v>
      </c>
      <c r="L70" s="95" t="s">
        <v>580</v>
      </c>
      <c r="M70" s="96" t="s">
        <v>563</v>
      </c>
      <c r="N70" s="96" t="s">
        <v>583</v>
      </c>
      <c r="O70" s="96" t="s">
        <v>655</v>
      </c>
      <c r="P70" s="10">
        <v>240</v>
      </c>
      <c r="Q70" s="214">
        <v>209.8</v>
      </c>
      <c r="R70" s="214">
        <v>0</v>
      </c>
      <c r="S70" s="214">
        <v>0</v>
      </c>
    </row>
    <row r="71" spans="1:19" ht="66" customHeight="1">
      <c r="A71" s="110"/>
      <c r="B71" s="112"/>
      <c r="C71" s="106"/>
      <c r="D71" s="109"/>
      <c r="E71" s="104"/>
      <c r="F71" s="104"/>
      <c r="G71" s="89"/>
      <c r="H71" s="11" t="s">
        <v>346</v>
      </c>
      <c r="I71" s="10">
        <v>27</v>
      </c>
      <c r="J71" s="16">
        <v>1</v>
      </c>
      <c r="K71" s="16">
        <v>13</v>
      </c>
      <c r="L71" s="95" t="s">
        <v>580</v>
      </c>
      <c r="M71" s="96" t="s">
        <v>563</v>
      </c>
      <c r="N71" s="96" t="s">
        <v>583</v>
      </c>
      <c r="O71" s="96" t="s">
        <v>649</v>
      </c>
      <c r="P71" s="6"/>
      <c r="Q71" s="216">
        <f>Q72</f>
        <v>4542.5</v>
      </c>
      <c r="R71" s="216">
        <f>R72</f>
        <v>3437.1</v>
      </c>
      <c r="S71" s="216">
        <f>S72</f>
        <v>3437.1</v>
      </c>
    </row>
    <row r="72" spans="1:19" ht="27" customHeight="1">
      <c r="A72" s="99"/>
      <c r="B72" s="98"/>
      <c r="C72" s="103"/>
      <c r="D72" s="101"/>
      <c r="E72" s="113"/>
      <c r="F72" s="113"/>
      <c r="G72" s="105">
        <v>120</v>
      </c>
      <c r="H72" s="11" t="s">
        <v>722</v>
      </c>
      <c r="I72" s="10">
        <v>27</v>
      </c>
      <c r="J72" s="16">
        <v>1</v>
      </c>
      <c r="K72" s="16">
        <v>13</v>
      </c>
      <c r="L72" s="95" t="s">
        <v>580</v>
      </c>
      <c r="M72" s="96" t="s">
        <v>563</v>
      </c>
      <c r="N72" s="96" t="s">
        <v>583</v>
      </c>
      <c r="O72" s="96" t="s">
        <v>649</v>
      </c>
      <c r="P72" s="6">
        <v>610</v>
      </c>
      <c r="Q72" s="216">
        <f>3437.1+1105.4</f>
        <v>4542.5</v>
      </c>
      <c r="R72" s="216">
        <v>3437.1</v>
      </c>
      <c r="S72" s="216">
        <v>3437.1</v>
      </c>
    </row>
    <row r="73" spans="1:19" ht="21" customHeight="1">
      <c r="A73" s="97"/>
      <c r="B73" s="98"/>
      <c r="C73" s="106"/>
      <c r="D73" s="111"/>
      <c r="E73" s="114"/>
      <c r="F73" s="114"/>
      <c r="G73" s="89"/>
      <c r="H73" s="3" t="s">
        <v>815</v>
      </c>
      <c r="I73" s="10">
        <v>27</v>
      </c>
      <c r="J73" s="16">
        <v>1</v>
      </c>
      <c r="K73" s="16">
        <v>13</v>
      </c>
      <c r="L73" s="95" t="s">
        <v>580</v>
      </c>
      <c r="M73" s="96" t="s">
        <v>563</v>
      </c>
      <c r="N73" s="96" t="s">
        <v>583</v>
      </c>
      <c r="O73" s="96" t="s">
        <v>814</v>
      </c>
      <c r="P73" s="10"/>
      <c r="Q73" s="214">
        <f>SUM(Q74:Q75)</f>
        <v>882.9000000000001</v>
      </c>
      <c r="R73" s="214">
        <f>SUM(R74:R75)</f>
        <v>784.4000000000001</v>
      </c>
      <c r="S73" s="214">
        <f>SUM(S74:S75)</f>
        <v>784.4000000000001</v>
      </c>
    </row>
    <row r="74" spans="1:19" ht="26.25" customHeight="1">
      <c r="A74" s="97"/>
      <c r="B74" s="98"/>
      <c r="C74" s="106"/>
      <c r="D74" s="111"/>
      <c r="E74" s="114"/>
      <c r="F74" s="114"/>
      <c r="G74" s="89"/>
      <c r="H74" s="34" t="s">
        <v>533</v>
      </c>
      <c r="I74" s="10">
        <v>27</v>
      </c>
      <c r="J74" s="16">
        <v>1</v>
      </c>
      <c r="K74" s="16">
        <v>13</v>
      </c>
      <c r="L74" s="95" t="s">
        <v>580</v>
      </c>
      <c r="M74" s="96" t="s">
        <v>563</v>
      </c>
      <c r="N74" s="96" t="s">
        <v>583</v>
      </c>
      <c r="O74" s="96" t="s">
        <v>814</v>
      </c>
      <c r="P74" s="10">
        <v>120</v>
      </c>
      <c r="Q74" s="214">
        <v>479.1</v>
      </c>
      <c r="R74" s="215">
        <v>479.1</v>
      </c>
      <c r="S74" s="215">
        <v>479.1</v>
      </c>
    </row>
    <row r="75" spans="1:19" ht="30" customHeight="1">
      <c r="A75" s="97"/>
      <c r="B75" s="98"/>
      <c r="C75" s="106"/>
      <c r="D75" s="111"/>
      <c r="E75" s="114"/>
      <c r="F75" s="114"/>
      <c r="G75" s="89"/>
      <c r="H75" s="5" t="s">
        <v>720</v>
      </c>
      <c r="I75" s="10">
        <v>27</v>
      </c>
      <c r="J75" s="16">
        <v>1</v>
      </c>
      <c r="K75" s="16">
        <v>13</v>
      </c>
      <c r="L75" s="95" t="s">
        <v>580</v>
      </c>
      <c r="M75" s="96" t="s">
        <v>563</v>
      </c>
      <c r="N75" s="96" t="s">
        <v>583</v>
      </c>
      <c r="O75" s="96" t="s">
        <v>814</v>
      </c>
      <c r="P75" s="10">
        <v>240</v>
      </c>
      <c r="Q75" s="214">
        <f>305.3+98.5</f>
        <v>403.8</v>
      </c>
      <c r="R75" s="215">
        <v>305.3</v>
      </c>
      <c r="S75" s="215">
        <v>305.3</v>
      </c>
    </row>
    <row r="76" spans="1:19" ht="38.25" customHeight="1">
      <c r="A76" s="97"/>
      <c r="B76" s="98"/>
      <c r="C76" s="106"/>
      <c r="D76" s="111"/>
      <c r="E76" s="114"/>
      <c r="F76" s="114"/>
      <c r="G76" s="89"/>
      <c r="H76" s="3" t="s">
        <v>526</v>
      </c>
      <c r="I76" s="10">
        <v>27</v>
      </c>
      <c r="J76" s="16">
        <v>1</v>
      </c>
      <c r="K76" s="16">
        <v>13</v>
      </c>
      <c r="L76" s="95" t="s">
        <v>580</v>
      </c>
      <c r="M76" s="96" t="s">
        <v>563</v>
      </c>
      <c r="N76" s="96" t="s">
        <v>583</v>
      </c>
      <c r="O76" s="96" t="s">
        <v>527</v>
      </c>
      <c r="P76" s="10" t="s">
        <v>621</v>
      </c>
      <c r="Q76" s="214">
        <f>Q77</f>
        <v>17.8</v>
      </c>
      <c r="R76" s="214"/>
      <c r="S76" s="214"/>
    </row>
    <row r="77" spans="1:19" ht="28.5" customHeight="1">
      <c r="A77" s="97"/>
      <c r="B77" s="98"/>
      <c r="C77" s="106"/>
      <c r="D77" s="111"/>
      <c r="E77" s="114"/>
      <c r="F77" s="114"/>
      <c r="G77" s="89"/>
      <c r="H77" s="3" t="s">
        <v>720</v>
      </c>
      <c r="I77" s="10">
        <v>27</v>
      </c>
      <c r="J77" s="16">
        <v>1</v>
      </c>
      <c r="K77" s="16">
        <v>13</v>
      </c>
      <c r="L77" s="95" t="s">
        <v>580</v>
      </c>
      <c r="M77" s="96" t="s">
        <v>563</v>
      </c>
      <c r="N77" s="96" t="s">
        <v>583</v>
      </c>
      <c r="O77" s="96" t="s">
        <v>527</v>
      </c>
      <c r="P77" s="10">
        <v>240</v>
      </c>
      <c r="Q77" s="214">
        <f>6+11.8</f>
        <v>17.8</v>
      </c>
      <c r="R77" s="214"/>
      <c r="S77" s="214"/>
    </row>
    <row r="78" spans="1:19" ht="27.75" customHeight="1" hidden="1">
      <c r="A78" s="97"/>
      <c r="B78" s="98"/>
      <c r="C78" s="106"/>
      <c r="D78" s="111"/>
      <c r="E78" s="114"/>
      <c r="F78" s="114"/>
      <c r="G78" s="89"/>
      <c r="H78" s="3" t="s">
        <v>285</v>
      </c>
      <c r="I78" s="10">
        <v>27</v>
      </c>
      <c r="J78" s="16">
        <v>1</v>
      </c>
      <c r="K78" s="16">
        <v>13</v>
      </c>
      <c r="L78" s="95" t="s">
        <v>580</v>
      </c>
      <c r="M78" s="96" t="s">
        <v>563</v>
      </c>
      <c r="N78" s="96" t="s">
        <v>583</v>
      </c>
      <c r="O78" s="96" t="s">
        <v>6</v>
      </c>
      <c r="P78" s="10"/>
      <c r="Q78" s="214">
        <f>Q79</f>
        <v>0</v>
      </c>
      <c r="R78" s="214">
        <f>R79</f>
        <v>221.6</v>
      </c>
      <c r="S78" s="214">
        <f>S79</f>
        <v>0</v>
      </c>
    </row>
    <row r="79" spans="1:19" ht="33.75" customHeight="1" hidden="1">
      <c r="A79" s="97"/>
      <c r="B79" s="98"/>
      <c r="C79" s="106"/>
      <c r="D79" s="111"/>
      <c r="E79" s="114"/>
      <c r="F79" s="114"/>
      <c r="G79" s="89"/>
      <c r="H79" s="3" t="s">
        <v>720</v>
      </c>
      <c r="I79" s="10">
        <v>27</v>
      </c>
      <c r="J79" s="16">
        <v>1</v>
      </c>
      <c r="K79" s="16">
        <v>13</v>
      </c>
      <c r="L79" s="95" t="s">
        <v>580</v>
      </c>
      <c r="M79" s="96" t="s">
        <v>563</v>
      </c>
      <c r="N79" s="96" t="s">
        <v>583</v>
      </c>
      <c r="O79" s="96" t="s">
        <v>6</v>
      </c>
      <c r="P79" s="10">
        <v>240</v>
      </c>
      <c r="Q79" s="214">
        <v>0</v>
      </c>
      <c r="R79" s="239">
        <v>221.6</v>
      </c>
      <c r="S79" s="239">
        <v>0</v>
      </c>
    </row>
    <row r="80" spans="1:19" ht="33.75" customHeight="1">
      <c r="A80" s="114"/>
      <c r="B80" s="111"/>
      <c r="C80" s="106"/>
      <c r="D80" s="111"/>
      <c r="E80" s="114"/>
      <c r="F80" s="114"/>
      <c r="G80" s="89"/>
      <c r="H80" s="320" t="s">
        <v>77</v>
      </c>
      <c r="I80" s="10">
        <v>27</v>
      </c>
      <c r="J80" s="16">
        <v>1</v>
      </c>
      <c r="K80" s="16">
        <v>13</v>
      </c>
      <c r="L80" s="95" t="s">
        <v>78</v>
      </c>
      <c r="M80" s="96" t="s">
        <v>563</v>
      </c>
      <c r="N80" s="96" t="s">
        <v>583</v>
      </c>
      <c r="O80" s="96" t="s">
        <v>79</v>
      </c>
      <c r="P80" s="6"/>
      <c r="Q80" s="216">
        <v>111.3</v>
      </c>
      <c r="R80" s="239"/>
      <c r="S80" s="239"/>
    </row>
    <row r="81" spans="1:19" ht="33.75" customHeight="1">
      <c r="A81" s="114"/>
      <c r="B81" s="111"/>
      <c r="C81" s="106"/>
      <c r="D81" s="111"/>
      <c r="E81" s="114"/>
      <c r="F81" s="114"/>
      <c r="G81" s="89"/>
      <c r="H81" s="11" t="s">
        <v>647</v>
      </c>
      <c r="I81" s="10">
        <v>27</v>
      </c>
      <c r="J81" s="16">
        <v>1</v>
      </c>
      <c r="K81" s="16">
        <v>13</v>
      </c>
      <c r="L81" s="95" t="s">
        <v>580</v>
      </c>
      <c r="M81" s="96" t="s">
        <v>563</v>
      </c>
      <c r="N81" s="96" t="s">
        <v>583</v>
      </c>
      <c r="O81" s="96" t="s">
        <v>79</v>
      </c>
      <c r="P81" s="6">
        <v>240</v>
      </c>
      <c r="Q81" s="216">
        <v>111.3</v>
      </c>
      <c r="R81" s="239"/>
      <c r="S81" s="239"/>
    </row>
    <row r="82" spans="1:19" s="179" customFormat="1" ht="27" customHeight="1">
      <c r="A82" s="135"/>
      <c r="B82" s="135"/>
      <c r="C82" s="135"/>
      <c r="D82" s="135"/>
      <c r="E82" s="135"/>
      <c r="F82" s="135"/>
      <c r="G82" s="136"/>
      <c r="H82" s="137" t="s">
        <v>555</v>
      </c>
      <c r="I82" s="138">
        <v>27</v>
      </c>
      <c r="J82" s="139">
        <v>3</v>
      </c>
      <c r="K82" s="139" t="s">
        <v>621</v>
      </c>
      <c r="L82" s="140"/>
      <c r="M82" s="141"/>
      <c r="N82" s="141"/>
      <c r="O82" s="141"/>
      <c r="P82" s="146"/>
      <c r="Q82" s="217">
        <f>Q83+Q90</f>
        <v>2258.7999999999997</v>
      </c>
      <c r="R82" s="217">
        <f>R83+R90</f>
        <v>1927</v>
      </c>
      <c r="S82" s="217">
        <f>S83+S90</f>
        <v>1927</v>
      </c>
    </row>
    <row r="83" spans="1:19" s="179" customFormat="1" ht="33" customHeight="1">
      <c r="A83" s="135"/>
      <c r="B83" s="135"/>
      <c r="C83" s="135"/>
      <c r="D83" s="135"/>
      <c r="E83" s="135"/>
      <c r="F83" s="135"/>
      <c r="G83" s="136"/>
      <c r="H83" s="137" t="s">
        <v>557</v>
      </c>
      <c r="I83" s="138">
        <v>27</v>
      </c>
      <c r="J83" s="139">
        <v>3</v>
      </c>
      <c r="K83" s="139">
        <v>9</v>
      </c>
      <c r="L83" s="140" t="s">
        <v>534</v>
      </c>
      <c r="M83" s="141" t="s">
        <v>534</v>
      </c>
      <c r="N83" s="141"/>
      <c r="O83" s="141" t="s">
        <v>534</v>
      </c>
      <c r="P83" s="146" t="s">
        <v>534</v>
      </c>
      <c r="Q83" s="217">
        <f aca="true" t="shared" si="2" ref="Q83:S84">Q84</f>
        <v>2092.7999999999997</v>
      </c>
      <c r="R83" s="217">
        <f t="shared" si="2"/>
        <v>1756</v>
      </c>
      <c r="S83" s="217">
        <f t="shared" si="2"/>
        <v>1756</v>
      </c>
    </row>
    <row r="84" spans="1:19" s="179" customFormat="1" ht="33" customHeight="1">
      <c r="A84" s="135"/>
      <c r="B84" s="135"/>
      <c r="C84" s="135"/>
      <c r="D84" s="135"/>
      <c r="E84" s="135"/>
      <c r="F84" s="135"/>
      <c r="G84" s="136"/>
      <c r="H84" s="11" t="s">
        <v>299</v>
      </c>
      <c r="I84" s="10">
        <v>27</v>
      </c>
      <c r="J84" s="16">
        <v>3</v>
      </c>
      <c r="K84" s="16">
        <v>9</v>
      </c>
      <c r="L84" s="95" t="s">
        <v>580</v>
      </c>
      <c r="M84" s="96" t="s">
        <v>563</v>
      </c>
      <c r="N84" s="96" t="s">
        <v>583</v>
      </c>
      <c r="O84" s="96" t="s">
        <v>620</v>
      </c>
      <c r="P84" s="146"/>
      <c r="Q84" s="217">
        <f>Q85+Q88</f>
        <v>2092.7999999999997</v>
      </c>
      <c r="R84" s="217">
        <f t="shared" si="2"/>
        <v>1756</v>
      </c>
      <c r="S84" s="217">
        <f t="shared" si="2"/>
        <v>1756</v>
      </c>
    </row>
    <row r="85" spans="1:19" ht="26.25" customHeight="1">
      <c r="A85" s="88"/>
      <c r="B85" s="88"/>
      <c r="C85" s="88"/>
      <c r="D85" s="88"/>
      <c r="E85" s="88"/>
      <c r="F85" s="88"/>
      <c r="G85" s="89"/>
      <c r="H85" s="11" t="s">
        <v>344</v>
      </c>
      <c r="I85" s="10">
        <v>27</v>
      </c>
      <c r="J85" s="16">
        <v>3</v>
      </c>
      <c r="K85" s="16">
        <v>9</v>
      </c>
      <c r="L85" s="95" t="s">
        <v>580</v>
      </c>
      <c r="M85" s="96" t="s">
        <v>563</v>
      </c>
      <c r="N85" s="96" t="s">
        <v>583</v>
      </c>
      <c r="O85" s="96" t="s">
        <v>345</v>
      </c>
      <c r="P85" s="6" t="s">
        <v>534</v>
      </c>
      <c r="Q85" s="216">
        <f>SUM(Q86:Q87)</f>
        <v>1755.8999999999999</v>
      </c>
      <c r="R85" s="216">
        <f>SUM(R86:R87)</f>
        <v>1756</v>
      </c>
      <c r="S85" s="216">
        <f>SUM(S86:S87)</f>
        <v>1756</v>
      </c>
    </row>
    <row r="86" spans="1:19" ht="26.25" customHeight="1">
      <c r="A86" s="88"/>
      <c r="B86" s="88"/>
      <c r="C86" s="88"/>
      <c r="D86" s="88"/>
      <c r="E86" s="88"/>
      <c r="F86" s="88"/>
      <c r="G86" s="89"/>
      <c r="H86" s="11" t="s">
        <v>723</v>
      </c>
      <c r="I86" s="6">
        <v>27</v>
      </c>
      <c r="J86" s="19">
        <v>3</v>
      </c>
      <c r="K86" s="16">
        <v>9</v>
      </c>
      <c r="L86" s="95" t="s">
        <v>580</v>
      </c>
      <c r="M86" s="96" t="s">
        <v>563</v>
      </c>
      <c r="N86" s="96" t="s">
        <v>583</v>
      </c>
      <c r="O86" s="96" t="s">
        <v>345</v>
      </c>
      <c r="P86" s="6">
        <v>110</v>
      </c>
      <c r="Q86" s="216">
        <v>1690.1</v>
      </c>
      <c r="R86" s="216">
        <v>1690.1</v>
      </c>
      <c r="S86" s="216">
        <v>1690.1</v>
      </c>
    </row>
    <row r="87" spans="1:19" ht="23.25" customHeight="1">
      <c r="A87" s="88"/>
      <c r="B87" s="88"/>
      <c r="C87" s="88"/>
      <c r="D87" s="88"/>
      <c r="E87" s="88"/>
      <c r="F87" s="88"/>
      <c r="G87" s="89"/>
      <c r="H87" s="5" t="s">
        <v>720</v>
      </c>
      <c r="I87" s="8">
        <v>27</v>
      </c>
      <c r="J87" s="21">
        <v>3</v>
      </c>
      <c r="K87" s="16">
        <v>9</v>
      </c>
      <c r="L87" s="95" t="s">
        <v>580</v>
      </c>
      <c r="M87" s="96" t="s">
        <v>563</v>
      </c>
      <c r="N87" s="96" t="s">
        <v>583</v>
      </c>
      <c r="O87" s="96" t="s">
        <v>345</v>
      </c>
      <c r="P87" s="6">
        <v>240</v>
      </c>
      <c r="Q87" s="214">
        <v>65.8</v>
      </c>
      <c r="R87" s="214">
        <v>65.9</v>
      </c>
      <c r="S87" s="214">
        <v>65.9</v>
      </c>
    </row>
    <row r="88" spans="1:19" ht="23.25" customHeight="1">
      <c r="A88" s="88"/>
      <c r="B88" s="88"/>
      <c r="C88" s="88"/>
      <c r="D88" s="88"/>
      <c r="E88" s="88"/>
      <c r="F88" s="88"/>
      <c r="G88" s="89"/>
      <c r="H88" s="11" t="s">
        <v>61</v>
      </c>
      <c r="I88" s="6">
        <v>27</v>
      </c>
      <c r="J88" s="7">
        <v>3</v>
      </c>
      <c r="K88" s="16">
        <v>9</v>
      </c>
      <c r="L88" s="95" t="s">
        <v>580</v>
      </c>
      <c r="M88" s="96" t="s">
        <v>563</v>
      </c>
      <c r="N88" s="96" t="s">
        <v>583</v>
      </c>
      <c r="O88" s="96" t="s">
        <v>60</v>
      </c>
      <c r="P88" s="6"/>
      <c r="Q88" s="216">
        <f>Q89</f>
        <v>336.9</v>
      </c>
      <c r="R88" s="216"/>
      <c r="S88" s="216"/>
    </row>
    <row r="89" spans="1:19" ht="23.25" customHeight="1">
      <c r="A89" s="88"/>
      <c r="B89" s="88"/>
      <c r="C89" s="88"/>
      <c r="D89" s="88"/>
      <c r="E89" s="88"/>
      <c r="F89" s="88"/>
      <c r="G89" s="89"/>
      <c r="H89" s="11" t="s">
        <v>723</v>
      </c>
      <c r="I89" s="6">
        <v>27</v>
      </c>
      <c r="J89" s="7">
        <v>3</v>
      </c>
      <c r="K89" s="16">
        <v>9</v>
      </c>
      <c r="L89" s="95" t="s">
        <v>580</v>
      </c>
      <c r="M89" s="96" t="s">
        <v>563</v>
      </c>
      <c r="N89" s="96" t="s">
        <v>583</v>
      </c>
      <c r="O89" s="96" t="s">
        <v>60</v>
      </c>
      <c r="P89" s="6">
        <v>110</v>
      </c>
      <c r="Q89" s="216">
        <v>336.9</v>
      </c>
      <c r="R89" s="216"/>
      <c r="S89" s="216"/>
    </row>
    <row r="90" spans="1:19" s="179" customFormat="1" ht="25.5" customHeight="1">
      <c r="A90" s="135"/>
      <c r="B90" s="135"/>
      <c r="C90" s="135"/>
      <c r="D90" s="135"/>
      <c r="E90" s="135"/>
      <c r="F90" s="135"/>
      <c r="G90" s="136"/>
      <c r="H90" s="137" t="s">
        <v>556</v>
      </c>
      <c r="I90" s="138">
        <v>27</v>
      </c>
      <c r="J90" s="139">
        <v>3</v>
      </c>
      <c r="K90" s="139">
        <v>14</v>
      </c>
      <c r="L90" s="140"/>
      <c r="M90" s="141"/>
      <c r="N90" s="141"/>
      <c r="O90" s="141"/>
      <c r="P90" s="146"/>
      <c r="Q90" s="217">
        <f>Q91</f>
        <v>166</v>
      </c>
      <c r="R90" s="217">
        <f>R91+R100</f>
        <v>171</v>
      </c>
      <c r="S90" s="217">
        <f>S91+S100</f>
        <v>171</v>
      </c>
    </row>
    <row r="91" spans="1:19" ht="38.25" customHeight="1">
      <c r="A91" s="88"/>
      <c r="B91" s="88"/>
      <c r="C91" s="88"/>
      <c r="D91" s="88"/>
      <c r="E91" s="88"/>
      <c r="F91" s="88"/>
      <c r="G91" s="89"/>
      <c r="H91" s="11" t="s">
        <v>252</v>
      </c>
      <c r="I91" s="10">
        <v>27</v>
      </c>
      <c r="J91" s="16">
        <v>3</v>
      </c>
      <c r="K91" s="16">
        <v>14</v>
      </c>
      <c r="L91" s="95" t="s">
        <v>597</v>
      </c>
      <c r="M91" s="96" t="s">
        <v>563</v>
      </c>
      <c r="N91" s="96" t="s">
        <v>583</v>
      </c>
      <c r="O91" s="96" t="s">
        <v>620</v>
      </c>
      <c r="P91" s="6"/>
      <c r="Q91" s="216">
        <f>Q92</f>
        <v>166</v>
      </c>
      <c r="R91" s="216">
        <f>R92</f>
        <v>0</v>
      </c>
      <c r="S91" s="216">
        <f>S92</f>
        <v>0</v>
      </c>
    </row>
    <row r="92" spans="1:19" ht="22.5" customHeight="1">
      <c r="A92" s="88"/>
      <c r="B92" s="88"/>
      <c r="C92" s="88"/>
      <c r="D92" s="88"/>
      <c r="E92" s="88"/>
      <c r="F92" s="88"/>
      <c r="G92" s="89"/>
      <c r="H92" s="11" t="s">
        <v>654</v>
      </c>
      <c r="I92" s="10">
        <v>27</v>
      </c>
      <c r="J92" s="16">
        <v>3</v>
      </c>
      <c r="K92" s="16">
        <v>14</v>
      </c>
      <c r="L92" s="95" t="s">
        <v>597</v>
      </c>
      <c r="M92" s="96" t="s">
        <v>559</v>
      </c>
      <c r="N92" s="96" t="s">
        <v>583</v>
      </c>
      <c r="O92" s="96" t="s">
        <v>620</v>
      </c>
      <c r="P92" s="6"/>
      <c r="Q92" s="216">
        <f>Q97+Q93+Q100</f>
        <v>166</v>
      </c>
      <c r="R92" s="216">
        <f>R97</f>
        <v>0</v>
      </c>
      <c r="S92" s="216">
        <f>S97</f>
        <v>0</v>
      </c>
    </row>
    <row r="93" spans="1:19" ht="22.5" customHeight="1">
      <c r="A93" s="88"/>
      <c r="B93" s="88"/>
      <c r="C93" s="88"/>
      <c r="D93" s="88"/>
      <c r="E93" s="88"/>
      <c r="F93" s="88"/>
      <c r="G93" s="89"/>
      <c r="H93" s="11" t="s">
        <v>169</v>
      </c>
      <c r="I93" s="10">
        <v>27</v>
      </c>
      <c r="J93" s="16">
        <v>3</v>
      </c>
      <c r="K93" s="16">
        <v>14</v>
      </c>
      <c r="L93" s="95" t="s">
        <v>597</v>
      </c>
      <c r="M93" s="96" t="s">
        <v>559</v>
      </c>
      <c r="N93" s="96" t="s">
        <v>593</v>
      </c>
      <c r="O93" s="96" t="s">
        <v>620</v>
      </c>
      <c r="P93" s="6"/>
      <c r="Q93" s="216">
        <f>Q94</f>
        <v>20</v>
      </c>
      <c r="R93" s="216"/>
      <c r="S93" s="216"/>
    </row>
    <row r="94" spans="1:19" ht="22.5" customHeight="1">
      <c r="A94" s="88"/>
      <c r="B94" s="88"/>
      <c r="C94" s="88"/>
      <c r="D94" s="88"/>
      <c r="E94" s="88"/>
      <c r="F94" s="88"/>
      <c r="G94" s="89"/>
      <c r="H94" s="11" t="s">
        <v>170</v>
      </c>
      <c r="I94" s="10">
        <v>27</v>
      </c>
      <c r="J94" s="16">
        <v>3</v>
      </c>
      <c r="K94" s="16">
        <v>14</v>
      </c>
      <c r="L94" s="95" t="s">
        <v>597</v>
      </c>
      <c r="M94" s="96" t="s">
        <v>559</v>
      </c>
      <c r="N94" s="96" t="s">
        <v>593</v>
      </c>
      <c r="O94" s="96" t="s">
        <v>167</v>
      </c>
      <c r="P94" s="6"/>
      <c r="Q94" s="216">
        <f>Q95+Q96</f>
        <v>20</v>
      </c>
      <c r="R94" s="216"/>
      <c r="S94" s="216"/>
    </row>
    <row r="95" spans="1:19" ht="22.5" customHeight="1">
      <c r="A95" s="88"/>
      <c r="B95" s="88"/>
      <c r="C95" s="88"/>
      <c r="D95" s="88"/>
      <c r="E95" s="88"/>
      <c r="F95" s="88"/>
      <c r="G95" s="89"/>
      <c r="H95" s="34" t="s">
        <v>720</v>
      </c>
      <c r="I95" s="10">
        <v>27</v>
      </c>
      <c r="J95" s="16">
        <v>3</v>
      </c>
      <c r="K95" s="16">
        <v>14</v>
      </c>
      <c r="L95" s="95" t="s">
        <v>597</v>
      </c>
      <c r="M95" s="96" t="s">
        <v>559</v>
      </c>
      <c r="N95" s="96" t="s">
        <v>593</v>
      </c>
      <c r="O95" s="96" t="s">
        <v>167</v>
      </c>
      <c r="P95" s="6">
        <v>240</v>
      </c>
      <c r="Q95" s="216">
        <v>15</v>
      </c>
      <c r="R95" s="216"/>
      <c r="S95" s="216"/>
    </row>
    <row r="96" spans="1:19" ht="22.5" customHeight="1">
      <c r="A96" s="88"/>
      <c r="B96" s="88"/>
      <c r="C96" s="88"/>
      <c r="D96" s="88"/>
      <c r="E96" s="88"/>
      <c r="F96" s="88"/>
      <c r="G96" s="89"/>
      <c r="H96" s="11" t="s">
        <v>168</v>
      </c>
      <c r="I96" s="10">
        <v>27</v>
      </c>
      <c r="J96" s="16">
        <v>3</v>
      </c>
      <c r="K96" s="16">
        <v>14</v>
      </c>
      <c r="L96" s="95" t="s">
        <v>597</v>
      </c>
      <c r="M96" s="96" t="s">
        <v>559</v>
      </c>
      <c r="N96" s="96" t="s">
        <v>593</v>
      </c>
      <c r="O96" s="96" t="s">
        <v>167</v>
      </c>
      <c r="P96" s="6">
        <v>360</v>
      </c>
      <c r="Q96" s="216">
        <v>5</v>
      </c>
      <c r="R96" s="216"/>
      <c r="S96" s="216"/>
    </row>
    <row r="97" spans="1:19" ht="36.75" customHeight="1">
      <c r="A97" s="88"/>
      <c r="B97" s="88"/>
      <c r="C97" s="88"/>
      <c r="D97" s="88"/>
      <c r="E97" s="88"/>
      <c r="F97" s="88"/>
      <c r="G97" s="89"/>
      <c r="H97" s="11" t="s">
        <v>277</v>
      </c>
      <c r="I97" s="10">
        <v>27</v>
      </c>
      <c r="J97" s="16">
        <v>3</v>
      </c>
      <c r="K97" s="16">
        <v>14</v>
      </c>
      <c r="L97" s="95" t="s">
        <v>597</v>
      </c>
      <c r="M97" s="96" t="s">
        <v>559</v>
      </c>
      <c r="N97" s="96" t="s">
        <v>588</v>
      </c>
      <c r="O97" s="96" t="s">
        <v>620</v>
      </c>
      <c r="P97" s="6"/>
      <c r="Q97" s="216">
        <f aca="true" t="shared" si="3" ref="Q97:S98">Q98</f>
        <v>136</v>
      </c>
      <c r="R97" s="216">
        <f t="shared" si="3"/>
        <v>0</v>
      </c>
      <c r="S97" s="216">
        <f t="shared" si="3"/>
        <v>0</v>
      </c>
    </row>
    <row r="98" spans="1:19" ht="22.5" customHeight="1">
      <c r="A98" s="88"/>
      <c r="B98" s="88"/>
      <c r="C98" s="88"/>
      <c r="D98" s="88"/>
      <c r="E98" s="88"/>
      <c r="F98" s="88"/>
      <c r="G98" s="89"/>
      <c r="H98" s="34" t="s">
        <v>718</v>
      </c>
      <c r="I98" s="10">
        <v>27</v>
      </c>
      <c r="J98" s="16">
        <v>3</v>
      </c>
      <c r="K98" s="16">
        <v>14</v>
      </c>
      <c r="L98" s="16">
        <v>13</v>
      </c>
      <c r="M98" s="96" t="s">
        <v>559</v>
      </c>
      <c r="N98" s="96" t="s">
        <v>588</v>
      </c>
      <c r="O98" s="96" t="s">
        <v>351</v>
      </c>
      <c r="P98" s="6"/>
      <c r="Q98" s="216">
        <f t="shared" si="3"/>
        <v>136</v>
      </c>
      <c r="R98" s="216">
        <f t="shared" si="3"/>
        <v>0</v>
      </c>
      <c r="S98" s="216">
        <f t="shared" si="3"/>
        <v>0</v>
      </c>
    </row>
    <row r="99" spans="1:19" ht="22.5" customHeight="1">
      <c r="A99" s="88"/>
      <c r="B99" s="88"/>
      <c r="C99" s="88"/>
      <c r="D99" s="88"/>
      <c r="E99" s="88"/>
      <c r="F99" s="88"/>
      <c r="G99" s="89"/>
      <c r="H99" s="34" t="s">
        <v>720</v>
      </c>
      <c r="I99" s="6">
        <v>27</v>
      </c>
      <c r="J99" s="19">
        <v>3</v>
      </c>
      <c r="K99" s="16">
        <v>14</v>
      </c>
      <c r="L99" s="16">
        <v>13</v>
      </c>
      <c r="M99" s="96" t="s">
        <v>559</v>
      </c>
      <c r="N99" s="96" t="s">
        <v>588</v>
      </c>
      <c r="O99" s="96" t="s">
        <v>351</v>
      </c>
      <c r="P99" s="6">
        <v>240</v>
      </c>
      <c r="Q99" s="216">
        <f>181-45</f>
        <v>136</v>
      </c>
      <c r="R99" s="216"/>
      <c r="S99" s="216"/>
    </row>
    <row r="100" spans="1:19" ht="22.5" customHeight="1">
      <c r="A100" s="88"/>
      <c r="B100" s="88"/>
      <c r="C100" s="88"/>
      <c r="D100" s="88"/>
      <c r="E100" s="88"/>
      <c r="F100" s="88"/>
      <c r="G100" s="89"/>
      <c r="H100" s="11" t="s">
        <v>171</v>
      </c>
      <c r="I100" s="6">
        <v>27</v>
      </c>
      <c r="J100" s="19">
        <v>3</v>
      </c>
      <c r="K100" s="16">
        <v>14</v>
      </c>
      <c r="L100" s="16">
        <v>13</v>
      </c>
      <c r="M100" s="96" t="s">
        <v>559</v>
      </c>
      <c r="N100" s="96" t="s">
        <v>568</v>
      </c>
      <c r="O100" s="96" t="s">
        <v>620</v>
      </c>
      <c r="P100" s="6"/>
      <c r="Q100" s="216">
        <f aca="true" t="shared" si="4" ref="Q100:S101">Q101</f>
        <v>10</v>
      </c>
      <c r="R100" s="216">
        <f t="shared" si="4"/>
        <v>171</v>
      </c>
      <c r="S100" s="216">
        <f t="shared" si="4"/>
        <v>171</v>
      </c>
    </row>
    <row r="101" spans="1:19" ht="21" customHeight="1">
      <c r="A101" s="88"/>
      <c r="B101" s="88"/>
      <c r="C101" s="88"/>
      <c r="D101" s="88"/>
      <c r="E101" s="88"/>
      <c r="F101" s="88"/>
      <c r="G101" s="89"/>
      <c r="H101" s="11" t="s">
        <v>172</v>
      </c>
      <c r="I101" s="6">
        <v>27</v>
      </c>
      <c r="J101" s="21">
        <v>3</v>
      </c>
      <c r="K101" s="16">
        <v>14</v>
      </c>
      <c r="L101" s="16">
        <v>13</v>
      </c>
      <c r="M101" s="96" t="s">
        <v>559</v>
      </c>
      <c r="N101" s="96" t="s">
        <v>568</v>
      </c>
      <c r="O101" s="96" t="s">
        <v>258</v>
      </c>
      <c r="P101" s="6"/>
      <c r="Q101" s="216">
        <f t="shared" si="4"/>
        <v>10</v>
      </c>
      <c r="R101" s="216">
        <f t="shared" si="4"/>
        <v>171</v>
      </c>
      <c r="S101" s="216">
        <f t="shared" si="4"/>
        <v>171</v>
      </c>
    </row>
    <row r="102" spans="1:19" ht="19.5" customHeight="1">
      <c r="A102" s="88"/>
      <c r="B102" s="88"/>
      <c r="C102" s="88"/>
      <c r="D102" s="88"/>
      <c r="E102" s="88"/>
      <c r="F102" s="88"/>
      <c r="G102" s="89"/>
      <c r="H102" s="34" t="s">
        <v>720</v>
      </c>
      <c r="I102" s="6">
        <v>27</v>
      </c>
      <c r="J102" s="21">
        <v>3</v>
      </c>
      <c r="K102" s="16">
        <v>14</v>
      </c>
      <c r="L102" s="16">
        <v>13</v>
      </c>
      <c r="M102" s="96" t="s">
        <v>559</v>
      </c>
      <c r="N102" s="96" t="s">
        <v>568</v>
      </c>
      <c r="O102" s="96" t="s">
        <v>258</v>
      </c>
      <c r="P102" s="6">
        <v>240</v>
      </c>
      <c r="Q102" s="216">
        <v>10</v>
      </c>
      <c r="R102" s="240">
        <v>171</v>
      </c>
      <c r="S102" s="240">
        <v>171</v>
      </c>
    </row>
    <row r="103" spans="1:19" s="179" customFormat="1" ht="23.25" customHeight="1">
      <c r="A103" s="135"/>
      <c r="B103" s="135"/>
      <c r="C103" s="135"/>
      <c r="D103" s="135"/>
      <c r="E103" s="135"/>
      <c r="F103" s="135"/>
      <c r="G103" s="136"/>
      <c r="H103" s="137" t="s">
        <v>547</v>
      </c>
      <c r="I103" s="146">
        <v>27</v>
      </c>
      <c r="J103" s="148">
        <v>4</v>
      </c>
      <c r="K103" s="139"/>
      <c r="L103" s="140"/>
      <c r="M103" s="141"/>
      <c r="N103" s="141"/>
      <c r="O103" s="141"/>
      <c r="P103" s="146"/>
      <c r="Q103" s="217">
        <f>Q104+Q110+Q137</f>
        <v>72623.40000000001</v>
      </c>
      <c r="R103" s="217">
        <f>R104+R110+R137</f>
        <v>21080.7</v>
      </c>
      <c r="S103" s="217">
        <f>S104+S110+S137</f>
        <v>21425.7</v>
      </c>
    </row>
    <row r="104" spans="1:19" s="179" customFormat="1" ht="26.25" customHeight="1">
      <c r="A104" s="142"/>
      <c r="B104" s="143"/>
      <c r="C104" s="153"/>
      <c r="D104" s="235"/>
      <c r="E104" s="166"/>
      <c r="F104" s="166"/>
      <c r="G104" s="136"/>
      <c r="H104" s="311" t="s">
        <v>352</v>
      </c>
      <c r="I104" s="152">
        <v>27</v>
      </c>
      <c r="J104" s="156">
        <v>4</v>
      </c>
      <c r="K104" s="139">
        <v>8</v>
      </c>
      <c r="L104" s="140"/>
      <c r="M104" s="141"/>
      <c r="N104" s="141"/>
      <c r="O104" s="141"/>
      <c r="P104" s="138"/>
      <c r="Q104" s="213">
        <f>Q105</f>
        <v>2270</v>
      </c>
      <c r="R104" s="213">
        <f aca="true" t="shared" si="5" ref="Q104:S106">R105</f>
        <v>600</v>
      </c>
      <c r="S104" s="213">
        <f t="shared" si="5"/>
        <v>600</v>
      </c>
    </row>
    <row r="105" spans="1:19" s="179" customFormat="1" ht="26.25" customHeight="1">
      <c r="A105" s="142"/>
      <c r="B105" s="143"/>
      <c r="C105" s="153"/>
      <c r="D105" s="235"/>
      <c r="E105" s="166"/>
      <c r="F105" s="166"/>
      <c r="G105" s="136"/>
      <c r="H105" s="11" t="s">
        <v>299</v>
      </c>
      <c r="I105" s="6">
        <v>27</v>
      </c>
      <c r="J105" s="21">
        <v>4</v>
      </c>
      <c r="K105" s="16">
        <v>8</v>
      </c>
      <c r="L105" s="95" t="s">
        <v>580</v>
      </c>
      <c r="M105" s="96" t="s">
        <v>563</v>
      </c>
      <c r="N105" s="96" t="s">
        <v>583</v>
      </c>
      <c r="O105" s="96" t="s">
        <v>620</v>
      </c>
      <c r="P105" s="138"/>
      <c r="Q105" s="213">
        <f>Q106+Q108</f>
        <v>2270</v>
      </c>
      <c r="R105" s="213">
        <f t="shared" si="5"/>
        <v>600</v>
      </c>
      <c r="S105" s="213">
        <f t="shared" si="5"/>
        <v>600</v>
      </c>
    </row>
    <row r="106" spans="1:19" ht="26.25" customHeight="1">
      <c r="A106" s="99"/>
      <c r="B106" s="98"/>
      <c r="C106" s="103"/>
      <c r="D106" s="111"/>
      <c r="E106" s="114"/>
      <c r="F106" s="114"/>
      <c r="G106" s="89"/>
      <c r="H106" s="30" t="s">
        <v>746</v>
      </c>
      <c r="I106" s="8">
        <v>27</v>
      </c>
      <c r="J106" s="21">
        <v>4</v>
      </c>
      <c r="K106" s="16">
        <v>8</v>
      </c>
      <c r="L106" s="95" t="s">
        <v>580</v>
      </c>
      <c r="M106" s="96" t="s">
        <v>563</v>
      </c>
      <c r="N106" s="96" t="s">
        <v>583</v>
      </c>
      <c r="O106" s="96" t="s">
        <v>727</v>
      </c>
      <c r="P106" s="10"/>
      <c r="Q106" s="214">
        <f t="shared" si="5"/>
        <v>600</v>
      </c>
      <c r="R106" s="214">
        <f t="shared" si="5"/>
        <v>600</v>
      </c>
      <c r="S106" s="214">
        <f t="shared" si="5"/>
        <v>600</v>
      </c>
    </row>
    <row r="107" spans="1:19" ht="28.5" customHeight="1">
      <c r="A107" s="99"/>
      <c r="B107" s="98"/>
      <c r="C107" s="103"/>
      <c r="D107" s="111"/>
      <c r="E107" s="114"/>
      <c r="F107" s="114"/>
      <c r="G107" s="89"/>
      <c r="H107" s="30" t="s">
        <v>720</v>
      </c>
      <c r="I107" s="8">
        <v>27</v>
      </c>
      <c r="J107" s="21">
        <v>4</v>
      </c>
      <c r="K107" s="16">
        <v>8</v>
      </c>
      <c r="L107" s="95" t="s">
        <v>580</v>
      </c>
      <c r="M107" s="96" t="s">
        <v>563</v>
      </c>
      <c r="N107" s="96" t="s">
        <v>583</v>
      </c>
      <c r="O107" s="96" t="s">
        <v>727</v>
      </c>
      <c r="P107" s="10">
        <v>240</v>
      </c>
      <c r="Q107" s="214">
        <v>600</v>
      </c>
      <c r="R107" s="216">
        <v>600</v>
      </c>
      <c r="S107" s="216">
        <v>600</v>
      </c>
    </row>
    <row r="108" spans="1:19" ht="36.75" customHeight="1">
      <c r="A108" s="99"/>
      <c r="B108" s="98"/>
      <c r="C108" s="103"/>
      <c r="D108" s="111"/>
      <c r="E108" s="114"/>
      <c r="F108" s="114"/>
      <c r="G108" s="89"/>
      <c r="H108" s="30" t="s">
        <v>218</v>
      </c>
      <c r="I108" s="8">
        <v>27</v>
      </c>
      <c r="J108" s="21">
        <v>4</v>
      </c>
      <c r="K108" s="16">
        <v>8</v>
      </c>
      <c r="L108" s="95" t="s">
        <v>580</v>
      </c>
      <c r="M108" s="96" t="s">
        <v>563</v>
      </c>
      <c r="N108" s="96" t="s">
        <v>583</v>
      </c>
      <c r="O108" s="96" t="s">
        <v>217</v>
      </c>
      <c r="P108" s="10"/>
      <c r="Q108" s="214">
        <f>Q109</f>
        <v>1670</v>
      </c>
      <c r="R108" s="216"/>
      <c r="S108" s="216"/>
    </row>
    <row r="109" spans="1:19" ht="28.5" customHeight="1">
      <c r="A109" s="99"/>
      <c r="B109" s="98"/>
      <c r="C109" s="103"/>
      <c r="D109" s="111"/>
      <c r="E109" s="114"/>
      <c r="F109" s="114"/>
      <c r="G109" s="89"/>
      <c r="H109" s="30" t="s">
        <v>720</v>
      </c>
      <c r="I109" s="8">
        <v>27</v>
      </c>
      <c r="J109" s="21">
        <v>4</v>
      </c>
      <c r="K109" s="16">
        <v>8</v>
      </c>
      <c r="L109" s="95" t="s">
        <v>580</v>
      </c>
      <c r="M109" s="96" t="s">
        <v>563</v>
      </c>
      <c r="N109" s="96" t="s">
        <v>583</v>
      </c>
      <c r="O109" s="96" t="s">
        <v>217</v>
      </c>
      <c r="P109" s="10">
        <v>240</v>
      </c>
      <c r="Q109" s="214">
        <v>1670</v>
      </c>
      <c r="R109" s="216"/>
      <c r="S109" s="216"/>
    </row>
    <row r="110" spans="1:19" s="179" customFormat="1" ht="24.75" customHeight="1">
      <c r="A110" s="142"/>
      <c r="B110" s="143"/>
      <c r="C110" s="153"/>
      <c r="D110" s="150"/>
      <c r="E110" s="154"/>
      <c r="F110" s="154"/>
      <c r="G110" s="155">
        <v>321</v>
      </c>
      <c r="H110" s="149" t="s">
        <v>337</v>
      </c>
      <c r="I110" s="152">
        <v>27</v>
      </c>
      <c r="J110" s="156">
        <v>4</v>
      </c>
      <c r="K110" s="139">
        <v>9</v>
      </c>
      <c r="L110" s="140"/>
      <c r="M110" s="141"/>
      <c r="N110" s="141"/>
      <c r="O110" s="141"/>
      <c r="P110" s="146"/>
      <c r="Q110" s="217">
        <f>Q111</f>
        <v>63421.700000000004</v>
      </c>
      <c r="R110" s="217">
        <f>R111</f>
        <v>12820.7</v>
      </c>
      <c r="S110" s="217">
        <f>S111</f>
        <v>13245.7</v>
      </c>
    </row>
    <row r="111" spans="1:19" ht="35.25" customHeight="1">
      <c r="A111" s="99"/>
      <c r="B111" s="98"/>
      <c r="C111" s="103"/>
      <c r="D111" s="101"/>
      <c r="E111" s="113"/>
      <c r="F111" s="113"/>
      <c r="G111" s="105">
        <v>530</v>
      </c>
      <c r="H111" s="5" t="s">
        <v>774</v>
      </c>
      <c r="I111" s="10">
        <v>27</v>
      </c>
      <c r="J111" s="16">
        <v>4</v>
      </c>
      <c r="K111" s="16">
        <v>9</v>
      </c>
      <c r="L111" s="95" t="s">
        <v>588</v>
      </c>
      <c r="M111" s="96" t="s">
        <v>563</v>
      </c>
      <c r="N111" s="96" t="s">
        <v>583</v>
      </c>
      <c r="O111" s="96" t="s">
        <v>620</v>
      </c>
      <c r="P111" s="6"/>
      <c r="Q111" s="216">
        <f>Q112+Q116+Q119+Q124+Q128+Q131+Q134</f>
        <v>63421.700000000004</v>
      </c>
      <c r="R111" s="216">
        <f>R112+R116+R119+R124+R128</f>
        <v>12820.7</v>
      </c>
      <c r="S111" s="216">
        <f>S112+S116+S119+S124+S128</f>
        <v>13245.7</v>
      </c>
    </row>
    <row r="112" spans="1:19" ht="29.25" customHeight="1">
      <c r="A112" s="99"/>
      <c r="B112" s="98"/>
      <c r="C112" s="103"/>
      <c r="D112" s="101"/>
      <c r="E112" s="113"/>
      <c r="F112" s="113"/>
      <c r="G112" s="105"/>
      <c r="H112" s="11" t="s">
        <v>661</v>
      </c>
      <c r="I112" s="10">
        <v>27</v>
      </c>
      <c r="J112" s="16">
        <v>4</v>
      </c>
      <c r="K112" s="16">
        <v>9</v>
      </c>
      <c r="L112" s="95" t="s">
        <v>588</v>
      </c>
      <c r="M112" s="96" t="s">
        <v>563</v>
      </c>
      <c r="N112" s="96" t="s">
        <v>564</v>
      </c>
      <c r="O112" s="96" t="s">
        <v>620</v>
      </c>
      <c r="P112" s="6"/>
      <c r="Q112" s="216">
        <f>Q113</f>
        <v>51547</v>
      </c>
      <c r="R112" s="216">
        <f>R113</f>
        <v>1428</v>
      </c>
      <c r="S112" s="216">
        <f>S113</f>
        <v>1428</v>
      </c>
    </row>
    <row r="113" spans="1:19" ht="35.25" customHeight="1">
      <c r="A113" s="99"/>
      <c r="B113" s="98"/>
      <c r="C113" s="103"/>
      <c r="D113" s="101"/>
      <c r="E113" s="113"/>
      <c r="F113" s="113"/>
      <c r="G113" s="105"/>
      <c r="H113" s="11" t="s">
        <v>740</v>
      </c>
      <c r="I113" s="10">
        <v>27</v>
      </c>
      <c r="J113" s="16">
        <v>4</v>
      </c>
      <c r="K113" s="16">
        <v>9</v>
      </c>
      <c r="L113" s="95" t="s">
        <v>588</v>
      </c>
      <c r="M113" s="96" t="s">
        <v>563</v>
      </c>
      <c r="N113" s="96" t="s">
        <v>564</v>
      </c>
      <c r="O113" s="96" t="s">
        <v>349</v>
      </c>
      <c r="P113" s="6"/>
      <c r="Q113" s="216">
        <f>Q114+Q115</f>
        <v>51547</v>
      </c>
      <c r="R113" s="216">
        <f>R114+R115</f>
        <v>1428</v>
      </c>
      <c r="S113" s="216">
        <f>S114+S115</f>
        <v>1428</v>
      </c>
    </row>
    <row r="114" spans="1:19" ht="26.25" customHeight="1" hidden="1">
      <c r="A114" s="99"/>
      <c r="B114" s="98"/>
      <c r="C114" s="103"/>
      <c r="D114" s="101"/>
      <c r="E114" s="113"/>
      <c r="F114" s="113"/>
      <c r="G114" s="105"/>
      <c r="H114" s="30" t="s">
        <v>720</v>
      </c>
      <c r="I114" s="10">
        <v>27</v>
      </c>
      <c r="J114" s="16">
        <v>4</v>
      </c>
      <c r="K114" s="16">
        <v>9</v>
      </c>
      <c r="L114" s="95" t="s">
        <v>588</v>
      </c>
      <c r="M114" s="96" t="s">
        <v>563</v>
      </c>
      <c r="N114" s="96" t="s">
        <v>564</v>
      </c>
      <c r="O114" s="96" t="s">
        <v>349</v>
      </c>
      <c r="P114" s="6">
        <v>240</v>
      </c>
      <c r="Q114" s="216">
        <v>0</v>
      </c>
      <c r="R114" s="216">
        <v>1428</v>
      </c>
      <c r="S114" s="216">
        <v>1428</v>
      </c>
    </row>
    <row r="115" spans="1:19" ht="26.25" customHeight="1">
      <c r="A115" s="99"/>
      <c r="B115" s="98"/>
      <c r="C115" s="103"/>
      <c r="D115" s="101"/>
      <c r="E115" s="113"/>
      <c r="F115" s="113"/>
      <c r="G115" s="105"/>
      <c r="H115" s="11" t="s">
        <v>647</v>
      </c>
      <c r="I115" s="10">
        <v>27</v>
      </c>
      <c r="J115" s="16">
        <v>4</v>
      </c>
      <c r="K115" s="16">
        <v>9</v>
      </c>
      <c r="L115" s="95" t="s">
        <v>588</v>
      </c>
      <c r="M115" s="96" t="s">
        <v>563</v>
      </c>
      <c r="N115" s="96" t="s">
        <v>564</v>
      </c>
      <c r="O115" s="96" t="s">
        <v>349</v>
      </c>
      <c r="P115" s="6">
        <v>540</v>
      </c>
      <c r="Q115" s="216">
        <f>51949.3-1428+1025.7</f>
        <v>51547</v>
      </c>
      <c r="R115" s="216"/>
      <c r="S115" s="216"/>
    </row>
    <row r="116" spans="1:19" ht="25.5" customHeight="1">
      <c r="A116" s="99"/>
      <c r="B116" s="98"/>
      <c r="C116" s="103"/>
      <c r="D116" s="101"/>
      <c r="E116" s="113"/>
      <c r="F116" s="113"/>
      <c r="G116" s="105"/>
      <c r="H116" s="11" t="s">
        <v>823</v>
      </c>
      <c r="I116" s="10">
        <v>27</v>
      </c>
      <c r="J116" s="16">
        <v>4</v>
      </c>
      <c r="K116" s="16">
        <v>9</v>
      </c>
      <c r="L116" s="95" t="s">
        <v>588</v>
      </c>
      <c r="M116" s="96" t="s">
        <v>563</v>
      </c>
      <c r="N116" s="96" t="s">
        <v>592</v>
      </c>
      <c r="O116" s="96" t="s">
        <v>620</v>
      </c>
      <c r="P116" s="6"/>
      <c r="Q116" s="216">
        <f aca="true" t="shared" si="6" ref="Q116:S117">Q117</f>
        <v>443.9</v>
      </c>
      <c r="R116" s="216">
        <f t="shared" si="6"/>
        <v>0</v>
      </c>
      <c r="S116" s="216">
        <f t="shared" si="6"/>
        <v>0</v>
      </c>
    </row>
    <row r="117" spans="1:19" ht="24.75" customHeight="1">
      <c r="A117" s="99"/>
      <c r="B117" s="98"/>
      <c r="C117" s="103"/>
      <c r="D117" s="101"/>
      <c r="E117" s="113"/>
      <c r="F117" s="113"/>
      <c r="G117" s="105">
        <v>611</v>
      </c>
      <c r="H117" s="11" t="s">
        <v>762</v>
      </c>
      <c r="I117" s="10">
        <v>27</v>
      </c>
      <c r="J117" s="16">
        <v>4</v>
      </c>
      <c r="K117" s="16">
        <v>9</v>
      </c>
      <c r="L117" s="95" t="s">
        <v>588</v>
      </c>
      <c r="M117" s="96" t="s">
        <v>563</v>
      </c>
      <c r="N117" s="96" t="s">
        <v>592</v>
      </c>
      <c r="O117" s="96" t="s">
        <v>761</v>
      </c>
      <c r="P117" s="6"/>
      <c r="Q117" s="216">
        <f t="shared" si="6"/>
        <v>443.9</v>
      </c>
      <c r="R117" s="216">
        <f t="shared" si="6"/>
        <v>0</v>
      </c>
      <c r="S117" s="216">
        <f t="shared" si="6"/>
        <v>0</v>
      </c>
    </row>
    <row r="118" spans="1:19" ht="27.75" customHeight="1">
      <c r="A118" s="99"/>
      <c r="B118" s="98"/>
      <c r="C118" s="103"/>
      <c r="D118" s="101"/>
      <c r="E118" s="104"/>
      <c r="F118" s="104"/>
      <c r="G118" s="105"/>
      <c r="H118" s="11" t="s">
        <v>647</v>
      </c>
      <c r="I118" s="6">
        <v>27</v>
      </c>
      <c r="J118" s="7">
        <v>4</v>
      </c>
      <c r="K118" s="16">
        <v>9</v>
      </c>
      <c r="L118" s="95" t="s">
        <v>588</v>
      </c>
      <c r="M118" s="96" t="s">
        <v>563</v>
      </c>
      <c r="N118" s="96" t="s">
        <v>592</v>
      </c>
      <c r="O118" s="96" t="s">
        <v>761</v>
      </c>
      <c r="P118" s="6">
        <v>540</v>
      </c>
      <c r="Q118" s="214">
        <v>443.9</v>
      </c>
      <c r="R118" s="214"/>
      <c r="S118" s="214"/>
    </row>
    <row r="119" spans="1:19" ht="24.75" customHeight="1">
      <c r="A119" s="99"/>
      <c r="B119" s="98"/>
      <c r="C119" s="103"/>
      <c r="D119" s="101"/>
      <c r="E119" s="104"/>
      <c r="F119" s="104"/>
      <c r="G119" s="105"/>
      <c r="H119" s="5" t="s">
        <v>256</v>
      </c>
      <c r="I119" s="13">
        <v>27</v>
      </c>
      <c r="J119" s="7">
        <v>4</v>
      </c>
      <c r="K119" s="16">
        <v>9</v>
      </c>
      <c r="L119" s="95" t="s">
        <v>588</v>
      </c>
      <c r="M119" s="96" t="s">
        <v>563</v>
      </c>
      <c r="N119" s="96" t="s">
        <v>593</v>
      </c>
      <c r="O119" s="96" t="s">
        <v>620</v>
      </c>
      <c r="P119" s="6"/>
      <c r="Q119" s="216">
        <f>Q120+Q122</f>
        <v>7678.900000000001</v>
      </c>
      <c r="R119" s="216">
        <f aca="true" t="shared" si="7" ref="Q119:S120">R120</f>
        <v>10491</v>
      </c>
      <c r="S119" s="216">
        <f t="shared" si="7"/>
        <v>10916</v>
      </c>
    </row>
    <row r="120" spans="1:19" ht="24.75" customHeight="1">
      <c r="A120" s="99"/>
      <c r="B120" s="98"/>
      <c r="C120" s="103"/>
      <c r="D120" s="101"/>
      <c r="E120" s="104"/>
      <c r="F120" s="104"/>
      <c r="G120" s="105"/>
      <c r="H120" s="5" t="s">
        <v>762</v>
      </c>
      <c r="I120" s="13">
        <v>27</v>
      </c>
      <c r="J120" s="7">
        <v>4</v>
      </c>
      <c r="K120" s="16">
        <v>9</v>
      </c>
      <c r="L120" s="95" t="s">
        <v>588</v>
      </c>
      <c r="M120" s="96" t="s">
        <v>563</v>
      </c>
      <c r="N120" s="96" t="s">
        <v>593</v>
      </c>
      <c r="O120" s="96" t="s">
        <v>761</v>
      </c>
      <c r="P120" s="6"/>
      <c r="Q120" s="216">
        <f t="shared" si="7"/>
        <v>6250.900000000001</v>
      </c>
      <c r="R120" s="216">
        <f t="shared" si="7"/>
        <v>10491</v>
      </c>
      <c r="S120" s="216">
        <f t="shared" si="7"/>
        <v>10916</v>
      </c>
    </row>
    <row r="121" spans="1:19" ht="24.75" customHeight="1">
      <c r="A121" s="99"/>
      <c r="B121" s="98"/>
      <c r="C121" s="103"/>
      <c r="D121" s="101"/>
      <c r="E121" s="104"/>
      <c r="F121" s="104"/>
      <c r="G121" s="105"/>
      <c r="H121" s="5" t="s">
        <v>720</v>
      </c>
      <c r="I121" s="13">
        <v>27</v>
      </c>
      <c r="J121" s="7">
        <v>4</v>
      </c>
      <c r="K121" s="16">
        <v>9</v>
      </c>
      <c r="L121" s="95" t="s">
        <v>588</v>
      </c>
      <c r="M121" s="96" t="s">
        <v>563</v>
      </c>
      <c r="N121" s="96" t="s">
        <v>593</v>
      </c>
      <c r="O121" s="96" t="s">
        <v>761</v>
      </c>
      <c r="P121" s="6">
        <v>240</v>
      </c>
      <c r="Q121" s="216">
        <f>6728.8+829.8-22-210-1025.7-50</f>
        <v>6250.900000000001</v>
      </c>
      <c r="R121" s="216">
        <v>10491</v>
      </c>
      <c r="S121" s="216">
        <v>10916</v>
      </c>
    </row>
    <row r="122" spans="1:19" ht="24.75" customHeight="1">
      <c r="A122" s="99"/>
      <c r="B122" s="98"/>
      <c r="C122" s="103"/>
      <c r="D122" s="101"/>
      <c r="E122" s="104"/>
      <c r="F122" s="104"/>
      <c r="G122" s="105"/>
      <c r="H122" s="11" t="s">
        <v>740</v>
      </c>
      <c r="I122" s="13">
        <v>27</v>
      </c>
      <c r="J122" s="7">
        <v>4</v>
      </c>
      <c r="K122" s="16">
        <v>9</v>
      </c>
      <c r="L122" s="95" t="s">
        <v>588</v>
      </c>
      <c r="M122" s="96" t="s">
        <v>563</v>
      </c>
      <c r="N122" s="96" t="s">
        <v>593</v>
      </c>
      <c r="O122" s="96" t="s">
        <v>349</v>
      </c>
      <c r="P122" s="6"/>
      <c r="Q122" s="216">
        <f>Q123</f>
        <v>1428</v>
      </c>
      <c r="R122" s="216"/>
      <c r="S122" s="216"/>
    </row>
    <row r="123" spans="1:19" ht="24.75" customHeight="1">
      <c r="A123" s="99"/>
      <c r="B123" s="98"/>
      <c r="C123" s="103"/>
      <c r="D123" s="101"/>
      <c r="E123" s="104"/>
      <c r="F123" s="104"/>
      <c r="G123" s="105"/>
      <c r="H123" s="5" t="s">
        <v>720</v>
      </c>
      <c r="I123" s="13">
        <v>27</v>
      </c>
      <c r="J123" s="7">
        <v>4</v>
      </c>
      <c r="K123" s="16">
        <v>9</v>
      </c>
      <c r="L123" s="95" t="s">
        <v>588</v>
      </c>
      <c r="M123" s="96" t="s">
        <v>563</v>
      </c>
      <c r="N123" s="96" t="s">
        <v>593</v>
      </c>
      <c r="O123" s="96" t="s">
        <v>349</v>
      </c>
      <c r="P123" s="6">
        <v>240</v>
      </c>
      <c r="Q123" s="216">
        <v>1428</v>
      </c>
      <c r="R123" s="216"/>
      <c r="S123" s="216"/>
    </row>
    <row r="124" spans="1:19" ht="33.75" customHeight="1">
      <c r="A124" s="99"/>
      <c r="B124" s="98"/>
      <c r="C124" s="103"/>
      <c r="D124" s="101"/>
      <c r="E124" s="104"/>
      <c r="F124" s="104"/>
      <c r="G124" s="105"/>
      <c r="H124" s="5" t="s">
        <v>163</v>
      </c>
      <c r="I124" s="13">
        <v>27</v>
      </c>
      <c r="J124" s="7">
        <v>4</v>
      </c>
      <c r="K124" s="16">
        <v>9</v>
      </c>
      <c r="L124" s="95" t="s">
        <v>588</v>
      </c>
      <c r="M124" s="96" t="s">
        <v>563</v>
      </c>
      <c r="N124" s="96" t="s">
        <v>566</v>
      </c>
      <c r="O124" s="96" t="s">
        <v>620</v>
      </c>
      <c r="P124" s="6"/>
      <c r="Q124" s="216">
        <f>Q125</f>
        <v>991.9000000000001</v>
      </c>
      <c r="R124" s="216">
        <f>R125</f>
        <v>901.7</v>
      </c>
      <c r="S124" s="216">
        <f>S125</f>
        <v>901.7</v>
      </c>
    </row>
    <row r="125" spans="1:19" ht="31.5" customHeight="1">
      <c r="A125" s="99"/>
      <c r="B125" s="98"/>
      <c r="C125" s="103"/>
      <c r="D125" s="101"/>
      <c r="E125" s="104"/>
      <c r="F125" s="104"/>
      <c r="G125" s="105"/>
      <c r="H125" s="5" t="s">
        <v>274</v>
      </c>
      <c r="I125" s="13">
        <v>27</v>
      </c>
      <c r="J125" s="7">
        <v>4</v>
      </c>
      <c r="K125" s="16">
        <v>9</v>
      </c>
      <c r="L125" s="95" t="s">
        <v>588</v>
      </c>
      <c r="M125" s="96" t="s">
        <v>563</v>
      </c>
      <c r="N125" s="96" t="s">
        <v>566</v>
      </c>
      <c r="O125" s="96" t="s">
        <v>273</v>
      </c>
      <c r="P125" s="6"/>
      <c r="Q125" s="216">
        <f>Q127</f>
        <v>991.9000000000001</v>
      </c>
      <c r="R125" s="216">
        <f>R126</f>
        <v>901.7</v>
      </c>
      <c r="S125" s="216">
        <f>S126</f>
        <v>901.7</v>
      </c>
    </row>
    <row r="126" spans="1:19" ht="31.5" customHeight="1" hidden="1">
      <c r="A126" s="99"/>
      <c r="B126" s="98"/>
      <c r="C126" s="103"/>
      <c r="D126" s="101"/>
      <c r="E126" s="104"/>
      <c r="F126" s="104"/>
      <c r="G126" s="105"/>
      <c r="H126" s="5" t="s">
        <v>720</v>
      </c>
      <c r="I126" s="13">
        <v>27</v>
      </c>
      <c r="J126" s="7">
        <v>4</v>
      </c>
      <c r="K126" s="16">
        <v>9</v>
      </c>
      <c r="L126" s="95" t="s">
        <v>588</v>
      </c>
      <c r="M126" s="96" t="s">
        <v>563</v>
      </c>
      <c r="N126" s="96" t="s">
        <v>566</v>
      </c>
      <c r="O126" s="96" t="s">
        <v>273</v>
      </c>
      <c r="P126" s="6">
        <v>240</v>
      </c>
      <c r="Q126" s="216"/>
      <c r="R126" s="216">
        <v>901.7</v>
      </c>
      <c r="S126" s="216">
        <v>901.7</v>
      </c>
    </row>
    <row r="127" spans="1:19" ht="22.5" customHeight="1">
      <c r="A127" s="99"/>
      <c r="B127" s="98"/>
      <c r="C127" s="103"/>
      <c r="D127" s="101"/>
      <c r="E127" s="104"/>
      <c r="F127" s="104"/>
      <c r="G127" s="105"/>
      <c r="H127" s="5" t="s">
        <v>647</v>
      </c>
      <c r="I127" s="13">
        <v>27</v>
      </c>
      <c r="J127" s="7">
        <v>4</v>
      </c>
      <c r="K127" s="16">
        <v>9</v>
      </c>
      <c r="L127" s="95" t="s">
        <v>588</v>
      </c>
      <c r="M127" s="96" t="s">
        <v>563</v>
      </c>
      <c r="N127" s="96" t="s">
        <v>566</v>
      </c>
      <c r="O127" s="96" t="s">
        <v>273</v>
      </c>
      <c r="P127" s="6">
        <v>540</v>
      </c>
      <c r="Q127" s="216">
        <f>901.7+22+68.2</f>
        <v>991.9000000000001</v>
      </c>
      <c r="R127" s="216"/>
      <c r="S127" s="216"/>
    </row>
    <row r="128" spans="1:19" ht="33.75" customHeight="1">
      <c r="A128" s="99"/>
      <c r="B128" s="98"/>
      <c r="C128" s="103"/>
      <c r="D128" s="101"/>
      <c r="E128" s="104"/>
      <c r="F128" s="104"/>
      <c r="G128" s="105"/>
      <c r="H128" s="5" t="s">
        <v>783</v>
      </c>
      <c r="I128" s="13">
        <v>27</v>
      </c>
      <c r="J128" s="7">
        <v>4</v>
      </c>
      <c r="K128" s="16">
        <v>9</v>
      </c>
      <c r="L128" s="95" t="s">
        <v>588</v>
      </c>
      <c r="M128" s="96" t="s">
        <v>563</v>
      </c>
      <c r="N128" s="96" t="s">
        <v>595</v>
      </c>
      <c r="O128" s="96" t="s">
        <v>620</v>
      </c>
      <c r="P128" s="6"/>
      <c r="Q128" s="216">
        <f aca="true" t="shared" si="8" ref="Q128:S129">Q129</f>
        <v>2500</v>
      </c>
      <c r="R128" s="216">
        <f t="shared" si="8"/>
        <v>0</v>
      </c>
      <c r="S128" s="216">
        <f t="shared" si="8"/>
        <v>0</v>
      </c>
    </row>
    <row r="129" spans="1:19" ht="32.25" customHeight="1">
      <c r="A129" s="99"/>
      <c r="B129" s="98"/>
      <c r="C129" s="103"/>
      <c r="D129" s="101"/>
      <c r="E129" s="104"/>
      <c r="F129" s="104"/>
      <c r="G129" s="105"/>
      <c r="H129" s="5" t="s">
        <v>782</v>
      </c>
      <c r="I129" s="13">
        <v>27</v>
      </c>
      <c r="J129" s="7">
        <v>4</v>
      </c>
      <c r="K129" s="16">
        <v>9</v>
      </c>
      <c r="L129" s="95" t="s">
        <v>588</v>
      </c>
      <c r="M129" s="96" t="s">
        <v>563</v>
      </c>
      <c r="N129" s="96" t="s">
        <v>595</v>
      </c>
      <c r="O129" s="96" t="s">
        <v>255</v>
      </c>
      <c r="P129" s="6"/>
      <c r="Q129" s="216">
        <f t="shared" si="8"/>
        <v>2500</v>
      </c>
      <c r="R129" s="216">
        <f t="shared" si="8"/>
        <v>0</v>
      </c>
      <c r="S129" s="216">
        <f t="shared" si="8"/>
        <v>0</v>
      </c>
    </row>
    <row r="130" spans="1:19" ht="24.75" customHeight="1">
      <c r="A130" s="99"/>
      <c r="B130" s="98"/>
      <c r="C130" s="103"/>
      <c r="D130" s="101"/>
      <c r="E130" s="104"/>
      <c r="F130" s="104"/>
      <c r="G130" s="105"/>
      <c r="H130" s="5" t="s">
        <v>781</v>
      </c>
      <c r="I130" s="13">
        <v>27</v>
      </c>
      <c r="J130" s="7">
        <v>4</v>
      </c>
      <c r="K130" s="16">
        <v>9</v>
      </c>
      <c r="L130" s="95" t="s">
        <v>588</v>
      </c>
      <c r="M130" s="96" t="s">
        <v>563</v>
      </c>
      <c r="N130" s="96" t="s">
        <v>595</v>
      </c>
      <c r="O130" s="96" t="s">
        <v>255</v>
      </c>
      <c r="P130" s="6">
        <v>540</v>
      </c>
      <c r="Q130" s="216">
        <v>2500</v>
      </c>
      <c r="R130" s="216"/>
      <c r="S130" s="216"/>
    </row>
    <row r="131" spans="1:19" ht="24.75" customHeight="1">
      <c r="A131" s="99"/>
      <c r="B131" s="98"/>
      <c r="C131" s="103"/>
      <c r="D131" s="101"/>
      <c r="E131" s="104"/>
      <c r="F131" s="104"/>
      <c r="G131" s="105"/>
      <c r="H131" s="5" t="s">
        <v>164</v>
      </c>
      <c r="I131" s="13">
        <v>27</v>
      </c>
      <c r="J131" s="7">
        <v>4</v>
      </c>
      <c r="K131" s="16">
        <v>9</v>
      </c>
      <c r="L131" s="95" t="s">
        <v>588</v>
      </c>
      <c r="M131" s="96" t="s">
        <v>563</v>
      </c>
      <c r="N131" s="96" t="s">
        <v>568</v>
      </c>
      <c r="O131" s="96" t="s">
        <v>620</v>
      </c>
      <c r="P131" s="6"/>
      <c r="Q131" s="216">
        <f>Q132</f>
        <v>210</v>
      </c>
      <c r="R131" s="216"/>
      <c r="S131" s="216"/>
    </row>
    <row r="132" spans="1:19" ht="24.75" customHeight="1">
      <c r="A132" s="99"/>
      <c r="B132" s="98"/>
      <c r="C132" s="103"/>
      <c r="D132" s="101"/>
      <c r="E132" s="104"/>
      <c r="F132" s="104"/>
      <c r="G132" s="105"/>
      <c r="H132" s="5" t="s">
        <v>762</v>
      </c>
      <c r="I132" s="13">
        <v>27</v>
      </c>
      <c r="J132" s="7">
        <v>4</v>
      </c>
      <c r="K132" s="16">
        <v>9</v>
      </c>
      <c r="L132" s="95" t="s">
        <v>588</v>
      </c>
      <c r="M132" s="96" t="s">
        <v>563</v>
      </c>
      <c r="N132" s="96" t="s">
        <v>568</v>
      </c>
      <c r="O132" s="96" t="s">
        <v>761</v>
      </c>
      <c r="P132" s="6"/>
      <c r="Q132" s="216">
        <f>Q133</f>
        <v>210</v>
      </c>
      <c r="R132" s="216"/>
      <c r="S132" s="216"/>
    </row>
    <row r="133" spans="1:19" ht="24.75" customHeight="1">
      <c r="A133" s="99"/>
      <c r="B133" s="98"/>
      <c r="C133" s="103"/>
      <c r="D133" s="101"/>
      <c r="E133" s="104"/>
      <c r="F133" s="104"/>
      <c r="G133" s="105"/>
      <c r="H133" s="5" t="s">
        <v>720</v>
      </c>
      <c r="I133" s="13">
        <v>27</v>
      </c>
      <c r="J133" s="7">
        <v>4</v>
      </c>
      <c r="K133" s="16">
        <v>9</v>
      </c>
      <c r="L133" s="95" t="s">
        <v>588</v>
      </c>
      <c r="M133" s="96" t="s">
        <v>563</v>
      </c>
      <c r="N133" s="96" t="s">
        <v>568</v>
      </c>
      <c r="O133" s="96" t="s">
        <v>761</v>
      </c>
      <c r="P133" s="6">
        <v>240</v>
      </c>
      <c r="Q133" s="216">
        <v>210</v>
      </c>
      <c r="R133" s="216"/>
      <c r="S133" s="216"/>
    </row>
    <row r="134" spans="1:19" ht="24.75" customHeight="1">
      <c r="A134" s="99"/>
      <c r="B134" s="98"/>
      <c r="C134" s="103"/>
      <c r="D134" s="101"/>
      <c r="E134" s="104"/>
      <c r="F134" s="104"/>
      <c r="G134" s="105"/>
      <c r="H134" s="5" t="s">
        <v>214</v>
      </c>
      <c r="I134" s="13">
        <v>27</v>
      </c>
      <c r="J134" s="7">
        <v>4</v>
      </c>
      <c r="K134" s="16">
        <v>9</v>
      </c>
      <c r="L134" s="95" t="s">
        <v>588</v>
      </c>
      <c r="M134" s="96" t="s">
        <v>563</v>
      </c>
      <c r="N134" s="96" t="s">
        <v>562</v>
      </c>
      <c r="O134" s="96" t="s">
        <v>620</v>
      </c>
      <c r="P134" s="6"/>
      <c r="Q134" s="216">
        <f>Q135</f>
        <v>50</v>
      </c>
      <c r="R134" s="216"/>
      <c r="S134" s="216"/>
    </row>
    <row r="135" spans="1:19" ht="24.75" customHeight="1">
      <c r="A135" s="99"/>
      <c r="B135" s="98"/>
      <c r="C135" s="103"/>
      <c r="D135" s="101"/>
      <c r="E135" s="104"/>
      <c r="F135" s="104"/>
      <c r="G135" s="105"/>
      <c r="H135" s="5" t="s">
        <v>762</v>
      </c>
      <c r="I135" s="13">
        <v>27</v>
      </c>
      <c r="J135" s="7">
        <v>4</v>
      </c>
      <c r="K135" s="16">
        <v>9</v>
      </c>
      <c r="L135" s="95" t="s">
        <v>588</v>
      </c>
      <c r="M135" s="96" t="s">
        <v>563</v>
      </c>
      <c r="N135" s="96" t="s">
        <v>562</v>
      </c>
      <c r="O135" s="96" t="s">
        <v>761</v>
      </c>
      <c r="P135" s="6"/>
      <c r="Q135" s="216">
        <f>Q136</f>
        <v>50</v>
      </c>
      <c r="R135" s="216"/>
      <c r="S135" s="216"/>
    </row>
    <row r="136" spans="1:19" ht="24.75" customHeight="1">
      <c r="A136" s="99"/>
      <c r="B136" s="98"/>
      <c r="C136" s="103"/>
      <c r="D136" s="101"/>
      <c r="E136" s="104"/>
      <c r="F136" s="104"/>
      <c r="G136" s="105"/>
      <c r="H136" s="5" t="s">
        <v>781</v>
      </c>
      <c r="I136" s="13">
        <v>27</v>
      </c>
      <c r="J136" s="7">
        <v>4</v>
      </c>
      <c r="K136" s="16">
        <v>9</v>
      </c>
      <c r="L136" s="95" t="s">
        <v>588</v>
      </c>
      <c r="M136" s="96" t="s">
        <v>563</v>
      </c>
      <c r="N136" s="96" t="s">
        <v>562</v>
      </c>
      <c r="O136" s="96" t="s">
        <v>761</v>
      </c>
      <c r="P136" s="6">
        <v>540</v>
      </c>
      <c r="Q136" s="216">
        <v>50</v>
      </c>
      <c r="R136" s="216"/>
      <c r="S136" s="216"/>
    </row>
    <row r="137" spans="1:19" s="179" customFormat="1" ht="24.75" customHeight="1">
      <c r="A137" s="142"/>
      <c r="B137" s="143"/>
      <c r="C137" s="153"/>
      <c r="D137" s="150"/>
      <c r="E137" s="145"/>
      <c r="F137" s="145"/>
      <c r="G137" s="155">
        <v>850</v>
      </c>
      <c r="H137" s="149" t="s">
        <v>546</v>
      </c>
      <c r="I137" s="152">
        <v>27</v>
      </c>
      <c r="J137" s="156">
        <v>4</v>
      </c>
      <c r="K137" s="139">
        <v>12</v>
      </c>
      <c r="L137" s="140"/>
      <c r="M137" s="141"/>
      <c r="N137" s="141"/>
      <c r="O137" s="141"/>
      <c r="P137" s="146"/>
      <c r="Q137" s="217">
        <f>Q138+Q156+Q160+Q172</f>
        <v>6931.700000000001</v>
      </c>
      <c r="R137" s="217">
        <f>R138+R156+R160+R172</f>
        <v>7660</v>
      </c>
      <c r="S137" s="217">
        <f>S138+S156+S160+S172</f>
        <v>7580</v>
      </c>
    </row>
    <row r="138" spans="1:19" ht="40.5" customHeight="1">
      <c r="A138" s="99"/>
      <c r="B138" s="98"/>
      <c r="C138" s="97"/>
      <c r="D138" s="101"/>
      <c r="E138" s="115"/>
      <c r="F138" s="115"/>
      <c r="G138" s="89"/>
      <c r="H138" s="200" t="s">
        <v>21</v>
      </c>
      <c r="I138" s="6">
        <v>27</v>
      </c>
      <c r="J138" s="19">
        <v>4</v>
      </c>
      <c r="K138" s="16">
        <v>12</v>
      </c>
      <c r="L138" s="95" t="s">
        <v>568</v>
      </c>
      <c r="M138" s="96" t="s">
        <v>563</v>
      </c>
      <c r="N138" s="96" t="s">
        <v>583</v>
      </c>
      <c r="O138" s="96" t="s">
        <v>620</v>
      </c>
      <c r="P138" s="6"/>
      <c r="Q138" s="216">
        <f>Q139+Q148+Q153+Q142+Q145</f>
        <v>6388.1</v>
      </c>
      <c r="R138" s="216">
        <f>R139+R148+R153</f>
        <v>7300</v>
      </c>
      <c r="S138" s="216">
        <f>S139+S148+S153</f>
        <v>7250</v>
      </c>
    </row>
    <row r="139" spans="1:19" ht="36" customHeight="1">
      <c r="A139" s="99"/>
      <c r="B139" s="98"/>
      <c r="C139" s="97"/>
      <c r="D139" s="101"/>
      <c r="E139" s="115"/>
      <c r="F139" s="115"/>
      <c r="G139" s="89"/>
      <c r="H139" s="108" t="s">
        <v>348</v>
      </c>
      <c r="I139" s="6">
        <v>27</v>
      </c>
      <c r="J139" s="19">
        <v>4</v>
      </c>
      <c r="K139" s="16">
        <v>12</v>
      </c>
      <c r="L139" s="95" t="s">
        <v>568</v>
      </c>
      <c r="M139" s="96" t="s">
        <v>563</v>
      </c>
      <c r="N139" s="96" t="s">
        <v>564</v>
      </c>
      <c r="O139" s="96" t="s">
        <v>620</v>
      </c>
      <c r="P139" s="6"/>
      <c r="Q139" s="216">
        <f aca="true" t="shared" si="9" ref="Q139:S140">Q140</f>
        <v>65</v>
      </c>
      <c r="R139" s="216">
        <f t="shared" si="9"/>
        <v>200</v>
      </c>
      <c r="S139" s="216">
        <f t="shared" si="9"/>
        <v>150</v>
      </c>
    </row>
    <row r="140" spans="1:19" ht="21.75" customHeight="1">
      <c r="A140" s="99"/>
      <c r="B140" s="98"/>
      <c r="C140" s="97"/>
      <c r="D140" s="101"/>
      <c r="E140" s="115"/>
      <c r="F140" s="115"/>
      <c r="G140" s="89"/>
      <c r="H140" s="108" t="s">
        <v>262</v>
      </c>
      <c r="I140" s="6">
        <v>27</v>
      </c>
      <c r="J140" s="19">
        <v>4</v>
      </c>
      <c r="K140" s="16">
        <v>12</v>
      </c>
      <c r="L140" s="95" t="s">
        <v>568</v>
      </c>
      <c r="M140" s="96" t="s">
        <v>563</v>
      </c>
      <c r="N140" s="96" t="s">
        <v>564</v>
      </c>
      <c r="O140" s="96" t="s">
        <v>263</v>
      </c>
      <c r="P140" s="6"/>
      <c r="Q140" s="216">
        <f t="shared" si="9"/>
        <v>65</v>
      </c>
      <c r="R140" s="216">
        <f t="shared" si="9"/>
        <v>200</v>
      </c>
      <c r="S140" s="216">
        <f t="shared" si="9"/>
        <v>150</v>
      </c>
    </row>
    <row r="141" spans="1:19" ht="24" customHeight="1">
      <c r="A141" s="99"/>
      <c r="B141" s="98"/>
      <c r="C141" s="97"/>
      <c r="D141" s="101"/>
      <c r="E141" s="115"/>
      <c r="F141" s="115"/>
      <c r="G141" s="89"/>
      <c r="H141" s="108" t="s">
        <v>722</v>
      </c>
      <c r="I141" s="6">
        <v>27</v>
      </c>
      <c r="J141" s="19">
        <v>4</v>
      </c>
      <c r="K141" s="16">
        <v>12</v>
      </c>
      <c r="L141" s="95" t="s">
        <v>568</v>
      </c>
      <c r="M141" s="96" t="s">
        <v>563</v>
      </c>
      <c r="N141" s="96" t="s">
        <v>564</v>
      </c>
      <c r="O141" s="96" t="s">
        <v>263</v>
      </c>
      <c r="P141" s="6">
        <v>610</v>
      </c>
      <c r="Q141" s="216">
        <f>50+15</f>
        <v>65</v>
      </c>
      <c r="R141" s="216">
        <v>200</v>
      </c>
      <c r="S141" s="216">
        <v>150</v>
      </c>
    </row>
    <row r="142" spans="1:19" ht="24" customHeight="1">
      <c r="A142" s="99"/>
      <c r="B142" s="98"/>
      <c r="C142" s="97"/>
      <c r="D142" s="101"/>
      <c r="E142" s="115"/>
      <c r="F142" s="115"/>
      <c r="G142" s="89"/>
      <c r="H142" s="108" t="s">
        <v>133</v>
      </c>
      <c r="I142" s="8">
        <v>27</v>
      </c>
      <c r="J142" s="19">
        <v>4</v>
      </c>
      <c r="K142" s="16">
        <v>12</v>
      </c>
      <c r="L142" s="95" t="s">
        <v>568</v>
      </c>
      <c r="M142" s="96" t="s">
        <v>563</v>
      </c>
      <c r="N142" s="96" t="s">
        <v>592</v>
      </c>
      <c r="O142" s="96" t="s">
        <v>620</v>
      </c>
      <c r="P142" s="6"/>
      <c r="Q142" s="216">
        <f>Q143</f>
        <v>20</v>
      </c>
      <c r="R142" s="216"/>
      <c r="S142" s="216"/>
    </row>
    <row r="143" spans="1:19" ht="24" customHeight="1">
      <c r="A143" s="99"/>
      <c r="B143" s="98"/>
      <c r="C143" s="97"/>
      <c r="D143" s="101"/>
      <c r="E143" s="115"/>
      <c r="F143" s="115"/>
      <c r="G143" s="89"/>
      <c r="H143" s="108" t="s">
        <v>262</v>
      </c>
      <c r="I143" s="8">
        <v>27</v>
      </c>
      <c r="J143" s="19">
        <v>4</v>
      </c>
      <c r="K143" s="16">
        <v>12</v>
      </c>
      <c r="L143" s="95" t="s">
        <v>568</v>
      </c>
      <c r="M143" s="96" t="s">
        <v>563</v>
      </c>
      <c r="N143" s="96" t="s">
        <v>592</v>
      </c>
      <c r="O143" s="96" t="s">
        <v>263</v>
      </c>
      <c r="P143" s="6"/>
      <c r="Q143" s="216">
        <f>Q144</f>
        <v>20</v>
      </c>
      <c r="R143" s="216"/>
      <c r="S143" s="216"/>
    </row>
    <row r="144" spans="1:19" ht="24" customHeight="1">
      <c r="A144" s="99"/>
      <c r="B144" s="98"/>
      <c r="C144" s="97"/>
      <c r="D144" s="101"/>
      <c r="E144" s="115"/>
      <c r="F144" s="115"/>
      <c r="G144" s="89"/>
      <c r="H144" s="108" t="s">
        <v>722</v>
      </c>
      <c r="I144" s="8">
        <v>27</v>
      </c>
      <c r="J144" s="19">
        <v>4</v>
      </c>
      <c r="K144" s="16">
        <v>12</v>
      </c>
      <c r="L144" s="95" t="s">
        <v>568</v>
      </c>
      <c r="M144" s="96" t="s">
        <v>563</v>
      </c>
      <c r="N144" s="96" t="s">
        <v>592</v>
      </c>
      <c r="O144" s="96" t="s">
        <v>263</v>
      </c>
      <c r="P144" s="6">
        <v>610</v>
      </c>
      <c r="Q144" s="216">
        <v>20</v>
      </c>
      <c r="R144" s="216"/>
      <c r="S144" s="216"/>
    </row>
    <row r="145" spans="1:19" ht="24" customHeight="1">
      <c r="A145" s="99"/>
      <c r="B145" s="98"/>
      <c r="C145" s="97"/>
      <c r="D145" s="101"/>
      <c r="E145" s="115"/>
      <c r="F145" s="115"/>
      <c r="G145" s="89"/>
      <c r="H145" s="108" t="s">
        <v>183</v>
      </c>
      <c r="I145" s="8">
        <v>27</v>
      </c>
      <c r="J145" s="19">
        <v>4</v>
      </c>
      <c r="K145" s="16">
        <v>12</v>
      </c>
      <c r="L145" s="95" t="s">
        <v>568</v>
      </c>
      <c r="M145" s="96" t="s">
        <v>563</v>
      </c>
      <c r="N145" s="96" t="s">
        <v>593</v>
      </c>
      <c r="O145" s="96" t="s">
        <v>620</v>
      </c>
      <c r="P145" s="6"/>
      <c r="Q145" s="216">
        <f>Q146</f>
        <v>210</v>
      </c>
      <c r="R145" s="216"/>
      <c r="S145" s="216"/>
    </row>
    <row r="146" spans="1:19" ht="24" customHeight="1">
      <c r="A146" s="99"/>
      <c r="B146" s="98"/>
      <c r="C146" s="97"/>
      <c r="D146" s="101"/>
      <c r="E146" s="115"/>
      <c r="F146" s="115"/>
      <c r="G146" s="89"/>
      <c r="H146" s="108" t="s">
        <v>186</v>
      </c>
      <c r="I146" s="8">
        <v>27</v>
      </c>
      <c r="J146" s="19">
        <v>4</v>
      </c>
      <c r="K146" s="16">
        <v>12</v>
      </c>
      <c r="L146" s="95" t="s">
        <v>568</v>
      </c>
      <c r="M146" s="96" t="s">
        <v>563</v>
      </c>
      <c r="N146" s="96" t="s">
        <v>593</v>
      </c>
      <c r="O146" s="96" t="s">
        <v>185</v>
      </c>
      <c r="P146" s="6"/>
      <c r="Q146" s="216">
        <f>Q147</f>
        <v>210</v>
      </c>
      <c r="R146" s="216"/>
      <c r="S146" s="216"/>
    </row>
    <row r="147" spans="1:19" ht="24" customHeight="1">
      <c r="A147" s="99"/>
      <c r="B147" s="98"/>
      <c r="C147" s="97"/>
      <c r="D147" s="101"/>
      <c r="E147" s="115"/>
      <c r="F147" s="115"/>
      <c r="G147" s="89"/>
      <c r="H147" s="5" t="s">
        <v>720</v>
      </c>
      <c r="I147" s="8">
        <v>27</v>
      </c>
      <c r="J147" s="19">
        <v>4</v>
      </c>
      <c r="K147" s="16">
        <v>12</v>
      </c>
      <c r="L147" s="95" t="s">
        <v>568</v>
      </c>
      <c r="M147" s="96" t="s">
        <v>563</v>
      </c>
      <c r="N147" s="96" t="s">
        <v>593</v>
      </c>
      <c r="O147" s="96" t="s">
        <v>185</v>
      </c>
      <c r="P147" s="6">
        <v>240</v>
      </c>
      <c r="Q147" s="216">
        <v>210</v>
      </c>
      <c r="R147" s="216"/>
      <c r="S147" s="216"/>
    </row>
    <row r="148" spans="1:19" ht="27.75" customHeight="1">
      <c r="A148" s="99"/>
      <c r="B148" s="98"/>
      <c r="C148" s="97"/>
      <c r="D148" s="101"/>
      <c r="E148" s="115"/>
      <c r="F148" s="115"/>
      <c r="G148" s="89"/>
      <c r="H148" s="5" t="s">
        <v>659</v>
      </c>
      <c r="I148" s="8">
        <v>27</v>
      </c>
      <c r="J148" s="19">
        <v>4</v>
      </c>
      <c r="K148" s="16">
        <v>12</v>
      </c>
      <c r="L148" s="95" t="s">
        <v>568</v>
      </c>
      <c r="M148" s="96" t="s">
        <v>563</v>
      </c>
      <c r="N148" s="96" t="s">
        <v>566</v>
      </c>
      <c r="O148" s="96" t="s">
        <v>620</v>
      </c>
      <c r="P148" s="6"/>
      <c r="Q148" s="216">
        <f>Q149+Q151</f>
        <v>6078.1</v>
      </c>
      <c r="R148" s="216">
        <f aca="true" t="shared" si="10" ref="Q148:S149">R149</f>
        <v>6750</v>
      </c>
      <c r="S148" s="216">
        <f t="shared" si="10"/>
        <v>6800</v>
      </c>
    </row>
    <row r="149" spans="1:19" ht="27.75" customHeight="1">
      <c r="A149" s="99"/>
      <c r="B149" s="98"/>
      <c r="C149" s="97"/>
      <c r="D149" s="101"/>
      <c r="E149" s="115"/>
      <c r="F149" s="115"/>
      <c r="G149" s="89"/>
      <c r="H149" s="5" t="s">
        <v>262</v>
      </c>
      <c r="I149" s="8">
        <v>27</v>
      </c>
      <c r="J149" s="19">
        <v>4</v>
      </c>
      <c r="K149" s="16">
        <v>12</v>
      </c>
      <c r="L149" s="95" t="s">
        <v>568</v>
      </c>
      <c r="M149" s="96" t="s">
        <v>563</v>
      </c>
      <c r="N149" s="96" t="s">
        <v>566</v>
      </c>
      <c r="O149" s="96" t="s">
        <v>263</v>
      </c>
      <c r="P149" s="6"/>
      <c r="Q149" s="216">
        <f t="shared" si="10"/>
        <v>5436.5</v>
      </c>
      <c r="R149" s="216">
        <f t="shared" si="10"/>
        <v>6750</v>
      </c>
      <c r="S149" s="216">
        <f t="shared" si="10"/>
        <v>6800</v>
      </c>
    </row>
    <row r="150" spans="1:19" ht="27.75" customHeight="1">
      <c r="A150" s="99"/>
      <c r="B150" s="98"/>
      <c r="C150" s="97"/>
      <c r="D150" s="101"/>
      <c r="E150" s="115"/>
      <c r="F150" s="115"/>
      <c r="G150" s="89"/>
      <c r="H150" s="5" t="s">
        <v>722</v>
      </c>
      <c r="I150" s="8">
        <v>27</v>
      </c>
      <c r="J150" s="19">
        <v>4</v>
      </c>
      <c r="K150" s="16">
        <v>12</v>
      </c>
      <c r="L150" s="95" t="s">
        <v>568</v>
      </c>
      <c r="M150" s="96" t="s">
        <v>563</v>
      </c>
      <c r="N150" s="96" t="s">
        <v>566</v>
      </c>
      <c r="O150" s="96" t="s">
        <v>263</v>
      </c>
      <c r="P150" s="6">
        <v>610</v>
      </c>
      <c r="Q150" s="216">
        <v>5436.5</v>
      </c>
      <c r="R150" s="216">
        <v>6750</v>
      </c>
      <c r="S150" s="216">
        <v>6800</v>
      </c>
    </row>
    <row r="151" spans="1:19" ht="36.75" customHeight="1">
      <c r="A151" s="99"/>
      <c r="B151" s="98"/>
      <c r="C151" s="97"/>
      <c r="D151" s="101"/>
      <c r="E151" s="115"/>
      <c r="F151" s="115"/>
      <c r="G151" s="89"/>
      <c r="H151" s="5" t="s">
        <v>61</v>
      </c>
      <c r="I151" s="8">
        <v>27</v>
      </c>
      <c r="J151" s="19">
        <v>4</v>
      </c>
      <c r="K151" s="16">
        <v>12</v>
      </c>
      <c r="L151" s="95" t="s">
        <v>568</v>
      </c>
      <c r="M151" s="96" t="s">
        <v>563</v>
      </c>
      <c r="N151" s="96" t="s">
        <v>566</v>
      </c>
      <c r="O151" s="96" t="s">
        <v>60</v>
      </c>
      <c r="P151" s="6"/>
      <c r="Q151" s="216">
        <f>Q152</f>
        <v>641.6</v>
      </c>
      <c r="R151" s="216"/>
      <c r="S151" s="216"/>
    </row>
    <row r="152" spans="1:19" ht="27.75" customHeight="1">
      <c r="A152" s="99"/>
      <c r="B152" s="98"/>
      <c r="C152" s="97"/>
      <c r="D152" s="101"/>
      <c r="E152" s="115"/>
      <c r="F152" s="115"/>
      <c r="G152" s="89"/>
      <c r="H152" s="5" t="s">
        <v>722</v>
      </c>
      <c r="I152" s="8">
        <v>27</v>
      </c>
      <c r="J152" s="19">
        <v>4</v>
      </c>
      <c r="K152" s="16">
        <v>12</v>
      </c>
      <c r="L152" s="95" t="s">
        <v>568</v>
      </c>
      <c r="M152" s="96" t="s">
        <v>563</v>
      </c>
      <c r="N152" s="96" t="s">
        <v>566</v>
      </c>
      <c r="O152" s="96" t="s">
        <v>60</v>
      </c>
      <c r="P152" s="6">
        <v>610</v>
      </c>
      <c r="Q152" s="216">
        <v>641.6</v>
      </c>
      <c r="R152" s="216"/>
      <c r="S152" s="216"/>
    </row>
    <row r="153" spans="1:19" ht="39" customHeight="1">
      <c r="A153" s="99"/>
      <c r="B153" s="98"/>
      <c r="C153" s="97"/>
      <c r="D153" s="101"/>
      <c r="E153" s="115"/>
      <c r="F153" s="115"/>
      <c r="G153" s="89"/>
      <c r="H153" s="5" t="s">
        <v>286</v>
      </c>
      <c r="I153" s="8">
        <v>27</v>
      </c>
      <c r="J153" s="19">
        <v>4</v>
      </c>
      <c r="K153" s="16">
        <v>12</v>
      </c>
      <c r="L153" s="95" t="s">
        <v>568</v>
      </c>
      <c r="M153" s="96" t="s">
        <v>563</v>
      </c>
      <c r="N153" s="96" t="s">
        <v>568</v>
      </c>
      <c r="O153" s="96" t="s">
        <v>620</v>
      </c>
      <c r="P153" s="6"/>
      <c r="Q153" s="216">
        <f aca="true" t="shared" si="11" ref="Q153:S154">Q154</f>
        <v>15</v>
      </c>
      <c r="R153" s="216">
        <f t="shared" si="11"/>
        <v>350</v>
      </c>
      <c r="S153" s="216">
        <f t="shared" si="11"/>
        <v>300</v>
      </c>
    </row>
    <row r="154" spans="1:19" ht="29.25" customHeight="1">
      <c r="A154" s="99"/>
      <c r="B154" s="98"/>
      <c r="C154" s="97"/>
      <c r="D154" s="101"/>
      <c r="E154" s="115"/>
      <c r="F154" s="115"/>
      <c r="G154" s="89"/>
      <c r="H154" s="5" t="s">
        <v>262</v>
      </c>
      <c r="I154" s="8">
        <v>27</v>
      </c>
      <c r="J154" s="19">
        <v>4</v>
      </c>
      <c r="K154" s="16">
        <v>12</v>
      </c>
      <c r="L154" s="95" t="s">
        <v>568</v>
      </c>
      <c r="M154" s="96" t="s">
        <v>563</v>
      </c>
      <c r="N154" s="96" t="s">
        <v>568</v>
      </c>
      <c r="O154" s="96" t="s">
        <v>263</v>
      </c>
      <c r="P154" s="6"/>
      <c r="Q154" s="216">
        <f t="shared" si="11"/>
        <v>15</v>
      </c>
      <c r="R154" s="216">
        <f t="shared" si="11"/>
        <v>350</v>
      </c>
      <c r="S154" s="216">
        <f t="shared" si="11"/>
        <v>300</v>
      </c>
    </row>
    <row r="155" spans="1:19" ht="20.25" customHeight="1">
      <c r="A155" s="99"/>
      <c r="B155" s="98"/>
      <c r="C155" s="97"/>
      <c r="D155" s="101"/>
      <c r="E155" s="115"/>
      <c r="F155" s="115"/>
      <c r="G155" s="89"/>
      <c r="H155" s="5" t="s">
        <v>722</v>
      </c>
      <c r="I155" s="8">
        <v>27</v>
      </c>
      <c r="J155" s="19">
        <v>4</v>
      </c>
      <c r="K155" s="16">
        <v>12</v>
      </c>
      <c r="L155" s="95" t="s">
        <v>568</v>
      </c>
      <c r="M155" s="96" t="s">
        <v>563</v>
      </c>
      <c r="N155" s="96" t="s">
        <v>568</v>
      </c>
      <c r="O155" s="96" t="s">
        <v>263</v>
      </c>
      <c r="P155" s="6">
        <v>610</v>
      </c>
      <c r="Q155" s="216">
        <f>50-35</f>
        <v>15</v>
      </c>
      <c r="R155" s="216">
        <v>350</v>
      </c>
      <c r="S155" s="216">
        <v>300</v>
      </c>
    </row>
    <row r="156" spans="1:19" ht="39" customHeight="1" hidden="1">
      <c r="A156" s="99"/>
      <c r="B156" s="98"/>
      <c r="C156" s="97"/>
      <c r="D156" s="101"/>
      <c r="E156" s="115"/>
      <c r="F156" s="115"/>
      <c r="G156" s="89"/>
      <c r="H156" s="340" t="s">
        <v>289</v>
      </c>
      <c r="I156" s="341">
        <v>27</v>
      </c>
      <c r="J156" s="342">
        <v>4</v>
      </c>
      <c r="K156" s="343">
        <v>12</v>
      </c>
      <c r="L156" s="344" t="s">
        <v>558</v>
      </c>
      <c r="M156" s="345" t="s">
        <v>563</v>
      </c>
      <c r="N156" s="345" t="s">
        <v>583</v>
      </c>
      <c r="O156" s="345" t="s">
        <v>620</v>
      </c>
      <c r="P156" s="341"/>
      <c r="Q156" s="346">
        <f aca="true" t="shared" si="12" ref="Q156:S158">Q157</f>
        <v>0</v>
      </c>
      <c r="R156" s="216">
        <f t="shared" si="12"/>
        <v>30</v>
      </c>
      <c r="S156" s="216">
        <f t="shared" si="12"/>
        <v>0</v>
      </c>
    </row>
    <row r="157" spans="1:19" ht="41.25" customHeight="1" hidden="1">
      <c r="A157" s="99"/>
      <c r="B157" s="98"/>
      <c r="C157" s="97"/>
      <c r="D157" s="101"/>
      <c r="E157" s="115"/>
      <c r="F157" s="115"/>
      <c r="G157" s="89"/>
      <c r="H157" s="347" t="s">
        <v>290</v>
      </c>
      <c r="I157" s="341">
        <v>27</v>
      </c>
      <c r="J157" s="342">
        <v>4</v>
      </c>
      <c r="K157" s="343">
        <v>12</v>
      </c>
      <c r="L157" s="344" t="s">
        <v>558</v>
      </c>
      <c r="M157" s="345" t="s">
        <v>563</v>
      </c>
      <c r="N157" s="345" t="s">
        <v>564</v>
      </c>
      <c r="O157" s="345" t="s">
        <v>620</v>
      </c>
      <c r="P157" s="341"/>
      <c r="Q157" s="346">
        <f t="shared" si="12"/>
        <v>0</v>
      </c>
      <c r="R157" s="216">
        <f t="shared" si="12"/>
        <v>30</v>
      </c>
      <c r="S157" s="216">
        <f t="shared" si="12"/>
        <v>0</v>
      </c>
    </row>
    <row r="158" spans="1:19" ht="30.75" customHeight="1" hidden="1">
      <c r="A158" s="99"/>
      <c r="B158" s="98"/>
      <c r="C158" s="97"/>
      <c r="D158" s="101"/>
      <c r="E158" s="115"/>
      <c r="F158" s="115"/>
      <c r="G158" s="89"/>
      <c r="H158" s="347" t="s">
        <v>292</v>
      </c>
      <c r="I158" s="341">
        <v>27</v>
      </c>
      <c r="J158" s="342">
        <v>4</v>
      </c>
      <c r="K158" s="343">
        <v>12</v>
      </c>
      <c r="L158" s="344" t="s">
        <v>558</v>
      </c>
      <c r="M158" s="345" t="s">
        <v>563</v>
      </c>
      <c r="N158" s="345" t="s">
        <v>564</v>
      </c>
      <c r="O158" s="345" t="s">
        <v>291</v>
      </c>
      <c r="P158" s="341"/>
      <c r="Q158" s="346">
        <f t="shared" si="12"/>
        <v>0</v>
      </c>
      <c r="R158" s="216">
        <f t="shared" si="12"/>
        <v>30</v>
      </c>
      <c r="S158" s="216">
        <f t="shared" si="12"/>
        <v>0</v>
      </c>
    </row>
    <row r="159" spans="1:19" ht="29.25" customHeight="1" hidden="1">
      <c r="A159" s="99"/>
      <c r="B159" s="98"/>
      <c r="C159" s="97"/>
      <c r="D159" s="101"/>
      <c r="E159" s="115"/>
      <c r="F159" s="115"/>
      <c r="G159" s="89"/>
      <c r="H159" s="347" t="s">
        <v>720</v>
      </c>
      <c r="I159" s="341">
        <v>27</v>
      </c>
      <c r="J159" s="342">
        <v>4</v>
      </c>
      <c r="K159" s="343">
        <v>12</v>
      </c>
      <c r="L159" s="344" t="s">
        <v>558</v>
      </c>
      <c r="M159" s="345" t="s">
        <v>563</v>
      </c>
      <c r="N159" s="345" t="s">
        <v>564</v>
      </c>
      <c r="O159" s="345" t="s">
        <v>291</v>
      </c>
      <c r="P159" s="341">
        <v>240</v>
      </c>
      <c r="Q159" s="346">
        <f>30-30</f>
        <v>0</v>
      </c>
      <c r="R159" s="216">
        <v>30</v>
      </c>
      <c r="S159" s="216">
        <v>0</v>
      </c>
    </row>
    <row r="160" spans="1:19" ht="34.5" customHeight="1">
      <c r="A160" s="99"/>
      <c r="B160" s="98"/>
      <c r="C160" s="103"/>
      <c r="D160" s="101"/>
      <c r="E160" s="367">
        <v>4210200</v>
      </c>
      <c r="F160" s="367"/>
      <c r="G160" s="89">
        <v>521</v>
      </c>
      <c r="H160" s="5" t="s">
        <v>32</v>
      </c>
      <c r="I160" s="8">
        <v>27</v>
      </c>
      <c r="J160" s="7">
        <v>4</v>
      </c>
      <c r="K160" s="16">
        <v>12</v>
      </c>
      <c r="L160" s="95" t="s">
        <v>45</v>
      </c>
      <c r="M160" s="96" t="s">
        <v>563</v>
      </c>
      <c r="N160" s="96" t="s">
        <v>583</v>
      </c>
      <c r="O160" s="96" t="s">
        <v>620</v>
      </c>
      <c r="P160" s="10"/>
      <c r="Q160" s="214">
        <f>Q161+Q169</f>
        <v>543.6</v>
      </c>
      <c r="R160" s="214"/>
      <c r="S160" s="214"/>
    </row>
    <row r="161" spans="1:19" ht="34.5" customHeight="1">
      <c r="A161" s="99"/>
      <c r="B161" s="98"/>
      <c r="C161" s="103"/>
      <c r="D161" s="109"/>
      <c r="E161" s="104"/>
      <c r="F161" s="104"/>
      <c r="G161" s="105">
        <v>521</v>
      </c>
      <c r="H161" s="18" t="s">
        <v>30</v>
      </c>
      <c r="I161" s="8">
        <v>27</v>
      </c>
      <c r="J161" s="7">
        <v>4</v>
      </c>
      <c r="K161" s="16">
        <v>12</v>
      </c>
      <c r="L161" s="95" t="s">
        <v>45</v>
      </c>
      <c r="M161" s="96" t="s">
        <v>563</v>
      </c>
      <c r="N161" s="96" t="s">
        <v>564</v>
      </c>
      <c r="O161" s="96" t="s">
        <v>620</v>
      </c>
      <c r="P161" s="6"/>
      <c r="Q161" s="216">
        <f>Q162+Q165+Q167</f>
        <v>463.6</v>
      </c>
      <c r="R161" s="216"/>
      <c r="S161" s="216"/>
    </row>
    <row r="162" spans="1:19" ht="23.25" customHeight="1">
      <c r="A162" s="99"/>
      <c r="B162" s="98"/>
      <c r="C162" s="97"/>
      <c r="D162" s="109"/>
      <c r="E162" s="104"/>
      <c r="F162" s="104"/>
      <c r="G162" s="89"/>
      <c r="H162" s="18" t="s">
        <v>259</v>
      </c>
      <c r="I162" s="8">
        <v>27</v>
      </c>
      <c r="J162" s="21">
        <v>4</v>
      </c>
      <c r="K162" s="16">
        <v>12</v>
      </c>
      <c r="L162" s="95" t="s">
        <v>45</v>
      </c>
      <c r="M162" s="96" t="s">
        <v>563</v>
      </c>
      <c r="N162" s="96" t="s">
        <v>564</v>
      </c>
      <c r="O162" s="96" t="s">
        <v>258</v>
      </c>
      <c r="P162" s="6"/>
      <c r="Q162" s="216">
        <f>SUM(Q163:Q164)</f>
        <v>80</v>
      </c>
      <c r="R162" s="216"/>
      <c r="S162" s="216"/>
    </row>
    <row r="163" spans="1:19" ht="30" customHeight="1">
      <c r="A163" s="99"/>
      <c r="B163" s="98"/>
      <c r="C163" s="97"/>
      <c r="D163" s="109"/>
      <c r="E163" s="104"/>
      <c r="F163" s="104"/>
      <c r="G163" s="89"/>
      <c r="H163" s="18" t="s">
        <v>720</v>
      </c>
      <c r="I163" s="8">
        <v>27</v>
      </c>
      <c r="J163" s="21">
        <v>4</v>
      </c>
      <c r="K163" s="16">
        <v>12</v>
      </c>
      <c r="L163" s="95" t="s">
        <v>45</v>
      </c>
      <c r="M163" s="96" t="s">
        <v>563</v>
      </c>
      <c r="N163" s="96" t="s">
        <v>564</v>
      </c>
      <c r="O163" s="96" t="s">
        <v>258</v>
      </c>
      <c r="P163" s="6">
        <v>240</v>
      </c>
      <c r="Q163" s="216">
        <v>10</v>
      </c>
      <c r="R163" s="216"/>
      <c r="S163" s="216"/>
    </row>
    <row r="164" spans="1:19" ht="38.25" customHeight="1">
      <c r="A164" s="99"/>
      <c r="B164" s="98"/>
      <c r="C164" s="97"/>
      <c r="D164" s="101"/>
      <c r="E164" s="115"/>
      <c r="F164" s="115"/>
      <c r="G164" s="89"/>
      <c r="H164" s="5" t="s">
        <v>9</v>
      </c>
      <c r="I164" s="8">
        <v>27</v>
      </c>
      <c r="J164" s="19">
        <v>4</v>
      </c>
      <c r="K164" s="16">
        <v>12</v>
      </c>
      <c r="L164" s="95" t="s">
        <v>45</v>
      </c>
      <c r="M164" s="96" t="s">
        <v>563</v>
      </c>
      <c r="N164" s="96" t="s">
        <v>564</v>
      </c>
      <c r="O164" s="96" t="s">
        <v>258</v>
      </c>
      <c r="P164" s="6">
        <v>810</v>
      </c>
      <c r="Q164" s="216">
        <v>70</v>
      </c>
      <c r="R164" s="216"/>
      <c r="S164" s="216"/>
    </row>
    <row r="165" spans="1:19" ht="32.25" customHeight="1" hidden="1">
      <c r="A165" s="99"/>
      <c r="B165" s="98"/>
      <c r="C165" s="97"/>
      <c r="D165" s="101"/>
      <c r="E165" s="115"/>
      <c r="F165" s="115"/>
      <c r="G165" s="89"/>
      <c r="H165" s="5" t="s">
        <v>808</v>
      </c>
      <c r="I165" s="8">
        <v>27</v>
      </c>
      <c r="J165" s="19">
        <v>4</v>
      </c>
      <c r="K165" s="16">
        <v>12</v>
      </c>
      <c r="L165" s="95" t="s">
        <v>45</v>
      </c>
      <c r="M165" s="96" t="s">
        <v>563</v>
      </c>
      <c r="N165" s="96" t="s">
        <v>564</v>
      </c>
      <c r="O165" s="96" t="s">
        <v>807</v>
      </c>
      <c r="P165" s="6"/>
      <c r="Q165" s="216">
        <f>Q166</f>
        <v>0</v>
      </c>
      <c r="R165" s="216"/>
      <c r="S165" s="216"/>
    </row>
    <row r="166" spans="1:19" ht="32.25" customHeight="1" hidden="1">
      <c r="A166" s="99"/>
      <c r="B166" s="98"/>
      <c r="C166" s="97"/>
      <c r="D166" s="101"/>
      <c r="E166" s="115"/>
      <c r="F166" s="115"/>
      <c r="G166" s="89"/>
      <c r="H166" s="5" t="s">
        <v>9</v>
      </c>
      <c r="I166" s="8">
        <v>27</v>
      </c>
      <c r="J166" s="19">
        <v>4</v>
      </c>
      <c r="K166" s="16">
        <v>12</v>
      </c>
      <c r="L166" s="95" t="s">
        <v>45</v>
      </c>
      <c r="M166" s="96" t="s">
        <v>563</v>
      </c>
      <c r="N166" s="96" t="s">
        <v>564</v>
      </c>
      <c r="O166" s="96" t="s">
        <v>807</v>
      </c>
      <c r="P166" s="6">
        <v>810</v>
      </c>
      <c r="Q166" s="216">
        <f>784.9-784.9</f>
        <v>0</v>
      </c>
      <c r="R166" s="216"/>
      <c r="S166" s="216"/>
    </row>
    <row r="167" spans="1:19" ht="32.25" customHeight="1">
      <c r="A167" s="99"/>
      <c r="B167" s="98"/>
      <c r="C167" s="97"/>
      <c r="D167" s="101"/>
      <c r="E167" s="115"/>
      <c r="F167" s="115"/>
      <c r="G167" s="89"/>
      <c r="H167" s="5" t="s">
        <v>8</v>
      </c>
      <c r="I167" s="8">
        <v>27</v>
      </c>
      <c r="J167" s="19">
        <v>4</v>
      </c>
      <c r="K167" s="16">
        <v>12</v>
      </c>
      <c r="L167" s="95" t="s">
        <v>45</v>
      </c>
      <c r="M167" s="96" t="s">
        <v>563</v>
      </c>
      <c r="N167" s="96" t="s">
        <v>564</v>
      </c>
      <c r="O167" s="96" t="s">
        <v>7</v>
      </c>
      <c r="P167" s="6"/>
      <c r="Q167" s="216">
        <f>Q168</f>
        <v>383.6</v>
      </c>
      <c r="R167" s="216"/>
      <c r="S167" s="216"/>
    </row>
    <row r="168" spans="1:19" ht="32.25" customHeight="1">
      <c r="A168" s="99"/>
      <c r="B168" s="98"/>
      <c r="C168" s="97"/>
      <c r="D168" s="101"/>
      <c r="E168" s="115"/>
      <c r="F168" s="115"/>
      <c r="G168" s="89"/>
      <c r="H168" s="5" t="s">
        <v>9</v>
      </c>
      <c r="I168" s="8">
        <v>27</v>
      </c>
      <c r="J168" s="19">
        <v>4</v>
      </c>
      <c r="K168" s="16">
        <v>12</v>
      </c>
      <c r="L168" s="95" t="s">
        <v>45</v>
      </c>
      <c r="M168" s="96" t="s">
        <v>563</v>
      </c>
      <c r="N168" s="96" t="s">
        <v>564</v>
      </c>
      <c r="O168" s="96" t="s">
        <v>7</v>
      </c>
      <c r="P168" s="6">
        <v>810</v>
      </c>
      <c r="Q168" s="216">
        <f>330.1+53.5</f>
        <v>383.6</v>
      </c>
      <c r="R168" s="216"/>
      <c r="S168" s="216"/>
    </row>
    <row r="169" spans="1:19" ht="24.75" customHeight="1">
      <c r="A169" s="99"/>
      <c r="B169" s="98"/>
      <c r="C169" s="97"/>
      <c r="D169" s="101"/>
      <c r="E169" s="115"/>
      <c r="F169" s="115"/>
      <c r="G169" s="89"/>
      <c r="H169" s="5" t="s">
        <v>31</v>
      </c>
      <c r="I169" s="8">
        <v>27</v>
      </c>
      <c r="J169" s="19">
        <v>4</v>
      </c>
      <c r="K169" s="16">
        <v>12</v>
      </c>
      <c r="L169" s="95" t="s">
        <v>45</v>
      </c>
      <c r="M169" s="96" t="s">
        <v>563</v>
      </c>
      <c r="N169" s="96" t="s">
        <v>592</v>
      </c>
      <c r="O169" s="96" t="s">
        <v>620</v>
      </c>
      <c r="P169" s="6"/>
      <c r="Q169" s="216">
        <f>Q170</f>
        <v>80</v>
      </c>
      <c r="R169" s="216"/>
      <c r="S169" s="216"/>
    </row>
    <row r="170" spans="1:19" ht="30" customHeight="1">
      <c r="A170" s="99"/>
      <c r="B170" s="98"/>
      <c r="C170" s="97"/>
      <c r="D170" s="101"/>
      <c r="E170" s="115"/>
      <c r="F170" s="115"/>
      <c r="G170" s="89"/>
      <c r="H170" s="5" t="s">
        <v>261</v>
      </c>
      <c r="I170" s="8">
        <v>27</v>
      </c>
      <c r="J170" s="19">
        <v>4</v>
      </c>
      <c r="K170" s="16">
        <v>12</v>
      </c>
      <c r="L170" s="95" t="s">
        <v>45</v>
      </c>
      <c r="M170" s="96" t="s">
        <v>563</v>
      </c>
      <c r="N170" s="96" t="s">
        <v>592</v>
      </c>
      <c r="O170" s="96" t="s">
        <v>260</v>
      </c>
      <c r="P170" s="6"/>
      <c r="Q170" s="216">
        <f>Q171</f>
        <v>80</v>
      </c>
      <c r="R170" s="216"/>
      <c r="S170" s="216"/>
    </row>
    <row r="171" spans="1:19" ht="33" customHeight="1">
      <c r="A171" s="99"/>
      <c r="B171" s="98"/>
      <c r="C171" s="97"/>
      <c r="D171" s="101"/>
      <c r="E171" s="115"/>
      <c r="F171" s="115"/>
      <c r="G171" s="89"/>
      <c r="H171" s="5" t="s">
        <v>720</v>
      </c>
      <c r="I171" s="8">
        <v>27</v>
      </c>
      <c r="J171" s="19">
        <v>4</v>
      </c>
      <c r="K171" s="16">
        <v>12</v>
      </c>
      <c r="L171" s="95" t="s">
        <v>45</v>
      </c>
      <c r="M171" s="96" t="s">
        <v>563</v>
      </c>
      <c r="N171" s="96" t="s">
        <v>592</v>
      </c>
      <c r="O171" s="96" t="s">
        <v>260</v>
      </c>
      <c r="P171" s="6">
        <v>240</v>
      </c>
      <c r="Q171" s="216">
        <v>80</v>
      </c>
      <c r="R171" s="216"/>
      <c r="S171" s="216"/>
    </row>
    <row r="172" spans="1:19" ht="33" customHeight="1" hidden="1">
      <c r="A172" s="99"/>
      <c r="B172" s="98"/>
      <c r="C172" s="97"/>
      <c r="D172" s="101"/>
      <c r="E172" s="115"/>
      <c r="F172" s="115"/>
      <c r="G172" s="89"/>
      <c r="H172" s="11" t="s">
        <v>299</v>
      </c>
      <c r="I172" s="6">
        <v>27</v>
      </c>
      <c r="J172" s="19">
        <v>4</v>
      </c>
      <c r="K172" s="16">
        <v>12</v>
      </c>
      <c r="L172" s="95" t="s">
        <v>580</v>
      </c>
      <c r="M172" s="96" t="s">
        <v>563</v>
      </c>
      <c r="N172" s="96" t="s">
        <v>583</v>
      </c>
      <c r="O172" s="96" t="s">
        <v>620</v>
      </c>
      <c r="P172" s="6"/>
      <c r="Q172" s="216">
        <f aca="true" t="shared" si="13" ref="Q172:S173">Q173</f>
        <v>0</v>
      </c>
      <c r="R172" s="216">
        <f t="shared" si="13"/>
        <v>330</v>
      </c>
      <c r="S172" s="216">
        <f t="shared" si="13"/>
        <v>330</v>
      </c>
    </row>
    <row r="173" spans="1:19" ht="20.25" customHeight="1" hidden="1">
      <c r="A173" s="99"/>
      <c r="B173" s="98"/>
      <c r="C173" s="97"/>
      <c r="D173" s="101"/>
      <c r="E173" s="115"/>
      <c r="F173" s="115"/>
      <c r="G173" s="89"/>
      <c r="H173" s="5" t="s">
        <v>8</v>
      </c>
      <c r="I173" s="8">
        <v>27</v>
      </c>
      <c r="J173" s="19">
        <v>4</v>
      </c>
      <c r="K173" s="16">
        <v>12</v>
      </c>
      <c r="L173" s="95" t="s">
        <v>580</v>
      </c>
      <c r="M173" s="96" t="s">
        <v>563</v>
      </c>
      <c r="N173" s="96" t="s">
        <v>583</v>
      </c>
      <c r="O173" s="96" t="s">
        <v>7</v>
      </c>
      <c r="P173" s="6"/>
      <c r="Q173" s="216">
        <f t="shared" si="13"/>
        <v>0</v>
      </c>
      <c r="R173" s="216">
        <f t="shared" si="13"/>
        <v>330</v>
      </c>
      <c r="S173" s="216">
        <f t="shared" si="13"/>
        <v>330</v>
      </c>
    </row>
    <row r="174" spans="1:19" ht="37.5" customHeight="1" hidden="1">
      <c r="A174" s="99"/>
      <c r="B174" s="98"/>
      <c r="C174" s="97"/>
      <c r="D174" s="101"/>
      <c r="E174" s="115"/>
      <c r="F174" s="115"/>
      <c r="G174" s="89"/>
      <c r="H174" s="5" t="s">
        <v>9</v>
      </c>
      <c r="I174" s="8">
        <v>27</v>
      </c>
      <c r="J174" s="19">
        <v>4</v>
      </c>
      <c r="K174" s="16">
        <v>12</v>
      </c>
      <c r="L174" s="95" t="s">
        <v>580</v>
      </c>
      <c r="M174" s="96" t="s">
        <v>563</v>
      </c>
      <c r="N174" s="96" t="s">
        <v>583</v>
      </c>
      <c r="O174" s="96" t="s">
        <v>7</v>
      </c>
      <c r="P174" s="6">
        <v>810</v>
      </c>
      <c r="Q174" s="216">
        <v>0</v>
      </c>
      <c r="R174" s="216">
        <v>330</v>
      </c>
      <c r="S174" s="216">
        <v>330</v>
      </c>
    </row>
    <row r="175" spans="1:19" s="179" customFormat="1" ht="26.25" customHeight="1">
      <c r="A175" s="142"/>
      <c r="B175" s="143"/>
      <c r="C175" s="142"/>
      <c r="D175" s="150"/>
      <c r="E175" s="151"/>
      <c r="F175" s="151"/>
      <c r="G175" s="136"/>
      <c r="H175" s="312" t="s">
        <v>617</v>
      </c>
      <c r="I175" s="152">
        <v>27</v>
      </c>
      <c r="J175" s="147">
        <v>5</v>
      </c>
      <c r="K175" s="139"/>
      <c r="L175" s="140"/>
      <c r="M175" s="141"/>
      <c r="N175" s="141"/>
      <c r="O175" s="141"/>
      <c r="P175" s="146"/>
      <c r="Q175" s="217">
        <f>Q176+Q185+Q197+Q202</f>
        <v>49693.59999999999</v>
      </c>
      <c r="R175" s="217">
        <f>R176+R185+R197+R202</f>
        <v>4437.200000000001</v>
      </c>
      <c r="S175" s="217">
        <f>S176+S185+S197+S202</f>
        <v>3727</v>
      </c>
    </row>
    <row r="176" spans="1:19" s="179" customFormat="1" ht="29.25" customHeight="1">
      <c r="A176" s="142"/>
      <c r="B176" s="143"/>
      <c r="C176" s="142"/>
      <c r="D176" s="150"/>
      <c r="E176" s="151"/>
      <c r="F176" s="151"/>
      <c r="G176" s="136"/>
      <c r="H176" s="312" t="s">
        <v>618</v>
      </c>
      <c r="I176" s="152">
        <v>27</v>
      </c>
      <c r="J176" s="147">
        <v>5</v>
      </c>
      <c r="K176" s="139">
        <v>1</v>
      </c>
      <c r="L176" s="140"/>
      <c r="M176" s="141"/>
      <c r="N176" s="141"/>
      <c r="O176" s="141"/>
      <c r="P176" s="146"/>
      <c r="Q176" s="217">
        <f aca="true" t="shared" si="14" ref="Q176:S177">Q177</f>
        <v>43249.49999999999</v>
      </c>
      <c r="R176" s="217">
        <f t="shared" si="14"/>
        <v>3941.9</v>
      </c>
      <c r="S176" s="217">
        <f t="shared" si="14"/>
        <v>3299.5</v>
      </c>
    </row>
    <row r="177" spans="1:19" ht="39.75" customHeight="1">
      <c r="A177" s="97"/>
      <c r="B177" s="98"/>
      <c r="C177" s="97"/>
      <c r="D177" s="101"/>
      <c r="E177" s="115"/>
      <c r="F177" s="115"/>
      <c r="G177" s="89"/>
      <c r="H177" s="18" t="s">
        <v>816</v>
      </c>
      <c r="I177" s="8">
        <v>27</v>
      </c>
      <c r="J177" s="19">
        <v>5</v>
      </c>
      <c r="K177" s="16">
        <v>1</v>
      </c>
      <c r="L177" s="95" t="s">
        <v>282</v>
      </c>
      <c r="M177" s="96" t="s">
        <v>563</v>
      </c>
      <c r="N177" s="96" t="s">
        <v>583</v>
      </c>
      <c r="O177" s="96" t="s">
        <v>620</v>
      </c>
      <c r="P177" s="6"/>
      <c r="Q177" s="216">
        <f t="shared" si="14"/>
        <v>43249.49999999999</v>
      </c>
      <c r="R177" s="216">
        <f t="shared" si="14"/>
        <v>3941.9</v>
      </c>
      <c r="S177" s="216">
        <f t="shared" si="14"/>
        <v>3299.5</v>
      </c>
    </row>
    <row r="178" spans="1:19" ht="42" customHeight="1">
      <c r="A178" s="97"/>
      <c r="B178" s="98"/>
      <c r="C178" s="97"/>
      <c r="D178" s="101"/>
      <c r="E178" s="115"/>
      <c r="F178" s="115"/>
      <c r="G178" s="89"/>
      <c r="H178" s="18" t="s">
        <v>119</v>
      </c>
      <c r="I178" s="8">
        <v>27</v>
      </c>
      <c r="J178" s="19">
        <v>5</v>
      </c>
      <c r="K178" s="16">
        <v>1</v>
      </c>
      <c r="L178" s="95" t="s">
        <v>282</v>
      </c>
      <c r="M178" s="96" t="s">
        <v>563</v>
      </c>
      <c r="N178" s="96" t="s">
        <v>817</v>
      </c>
      <c r="O178" s="96" t="s">
        <v>620</v>
      </c>
      <c r="P178" s="6"/>
      <c r="Q178" s="216">
        <f>Q179+Q181+Q183</f>
        <v>43249.49999999999</v>
      </c>
      <c r="R178" s="216">
        <f>R179+R181+R183</f>
        <v>3941.9</v>
      </c>
      <c r="S178" s="216">
        <f>S179+S181+S183</f>
        <v>3299.5</v>
      </c>
    </row>
    <row r="179" spans="1:19" ht="38.25" customHeight="1">
      <c r="A179" s="99"/>
      <c r="B179" s="98"/>
      <c r="C179" s="97"/>
      <c r="D179" s="101"/>
      <c r="E179" s="115"/>
      <c r="F179" s="115"/>
      <c r="G179" s="89"/>
      <c r="H179" s="18" t="s">
        <v>810</v>
      </c>
      <c r="I179" s="8">
        <v>27</v>
      </c>
      <c r="J179" s="19">
        <v>5</v>
      </c>
      <c r="K179" s="16">
        <v>1</v>
      </c>
      <c r="L179" s="95" t="s">
        <v>282</v>
      </c>
      <c r="M179" s="96" t="s">
        <v>563</v>
      </c>
      <c r="N179" s="96" t="s">
        <v>817</v>
      </c>
      <c r="O179" s="96" t="s">
        <v>820</v>
      </c>
      <c r="P179" s="6"/>
      <c r="Q179" s="216">
        <f>Q180</f>
        <v>40846.299999999996</v>
      </c>
      <c r="R179" s="216"/>
      <c r="S179" s="216"/>
    </row>
    <row r="180" spans="1:19" ht="23.25" customHeight="1">
      <c r="A180" s="99"/>
      <c r="B180" s="98"/>
      <c r="C180" s="97"/>
      <c r="D180" s="101"/>
      <c r="E180" s="115"/>
      <c r="F180" s="115"/>
      <c r="G180" s="89"/>
      <c r="H180" s="18" t="s">
        <v>525</v>
      </c>
      <c r="I180" s="8">
        <v>27</v>
      </c>
      <c r="J180" s="19">
        <v>5</v>
      </c>
      <c r="K180" s="16">
        <v>1</v>
      </c>
      <c r="L180" s="95" t="s">
        <v>282</v>
      </c>
      <c r="M180" s="96" t="s">
        <v>563</v>
      </c>
      <c r="N180" s="96" t="s">
        <v>817</v>
      </c>
      <c r="O180" s="96" t="s">
        <v>820</v>
      </c>
      <c r="P180" s="6">
        <v>410</v>
      </c>
      <c r="Q180" s="214">
        <f>3410.2+37436.1</f>
        <v>40846.299999999996</v>
      </c>
      <c r="R180" s="216"/>
      <c r="S180" s="216"/>
    </row>
    <row r="181" spans="1:19" ht="39.75" customHeight="1">
      <c r="A181" s="99"/>
      <c r="B181" s="98"/>
      <c r="C181" s="97"/>
      <c r="D181" s="101"/>
      <c r="E181" s="115"/>
      <c r="F181" s="115"/>
      <c r="G181" s="89"/>
      <c r="H181" s="18" t="s">
        <v>811</v>
      </c>
      <c r="I181" s="8">
        <v>27</v>
      </c>
      <c r="J181" s="19">
        <v>5</v>
      </c>
      <c r="K181" s="16">
        <v>1</v>
      </c>
      <c r="L181" s="95" t="s">
        <v>282</v>
      </c>
      <c r="M181" s="96" t="s">
        <v>563</v>
      </c>
      <c r="N181" s="96" t="s">
        <v>817</v>
      </c>
      <c r="O181" s="96" t="s">
        <v>821</v>
      </c>
      <c r="P181" s="6"/>
      <c r="Q181" s="216">
        <f>Q182</f>
        <v>1702</v>
      </c>
      <c r="R181" s="216">
        <f>R182</f>
        <v>2941.9</v>
      </c>
      <c r="S181" s="216">
        <f>S182</f>
        <v>2299.5</v>
      </c>
    </row>
    <row r="182" spans="1:19" ht="24" customHeight="1">
      <c r="A182" s="99"/>
      <c r="B182" s="98"/>
      <c r="C182" s="97"/>
      <c r="D182" s="101"/>
      <c r="E182" s="115"/>
      <c r="F182" s="115"/>
      <c r="G182" s="89"/>
      <c r="H182" s="18" t="s">
        <v>525</v>
      </c>
      <c r="I182" s="8">
        <v>27</v>
      </c>
      <c r="J182" s="19">
        <v>5</v>
      </c>
      <c r="K182" s="16">
        <v>1</v>
      </c>
      <c r="L182" s="95" t="s">
        <v>282</v>
      </c>
      <c r="M182" s="96" t="s">
        <v>563</v>
      </c>
      <c r="N182" s="96" t="s">
        <v>817</v>
      </c>
      <c r="O182" s="96" t="s">
        <v>821</v>
      </c>
      <c r="P182" s="6">
        <v>410</v>
      </c>
      <c r="Q182" s="214">
        <f>3125.5+142.1-1565.6</f>
        <v>1702</v>
      </c>
      <c r="R182" s="216">
        <v>2941.9</v>
      </c>
      <c r="S182" s="216">
        <v>2299.5</v>
      </c>
    </row>
    <row r="183" spans="1:19" ht="42" customHeight="1">
      <c r="A183" s="99"/>
      <c r="B183" s="98"/>
      <c r="C183" s="97"/>
      <c r="D183" s="101"/>
      <c r="E183" s="115"/>
      <c r="F183" s="115"/>
      <c r="G183" s="89"/>
      <c r="H183" s="18" t="s">
        <v>825</v>
      </c>
      <c r="I183" s="8">
        <v>27</v>
      </c>
      <c r="J183" s="19">
        <v>5</v>
      </c>
      <c r="K183" s="16">
        <v>1</v>
      </c>
      <c r="L183" s="95" t="s">
        <v>282</v>
      </c>
      <c r="M183" s="96" t="s">
        <v>563</v>
      </c>
      <c r="N183" s="96" t="s">
        <v>817</v>
      </c>
      <c r="O183" s="96" t="s">
        <v>824</v>
      </c>
      <c r="P183" s="6"/>
      <c r="Q183" s="216">
        <f>Q184</f>
        <v>701.2</v>
      </c>
      <c r="R183" s="216">
        <f>R184</f>
        <v>1000</v>
      </c>
      <c r="S183" s="216">
        <f>S184</f>
        <v>1000</v>
      </c>
    </row>
    <row r="184" spans="1:19" ht="24" customHeight="1">
      <c r="A184" s="99"/>
      <c r="B184" s="98"/>
      <c r="C184" s="97"/>
      <c r="D184" s="101"/>
      <c r="E184" s="115"/>
      <c r="F184" s="115"/>
      <c r="G184" s="89"/>
      <c r="H184" s="18" t="s">
        <v>525</v>
      </c>
      <c r="I184" s="8">
        <v>27</v>
      </c>
      <c r="J184" s="19">
        <v>5</v>
      </c>
      <c r="K184" s="16">
        <v>1</v>
      </c>
      <c r="L184" s="95" t="s">
        <v>282</v>
      </c>
      <c r="M184" s="96" t="s">
        <v>563</v>
      </c>
      <c r="N184" s="96" t="s">
        <v>817</v>
      </c>
      <c r="O184" s="96" t="s">
        <v>824</v>
      </c>
      <c r="P184" s="6">
        <v>410</v>
      </c>
      <c r="Q184" s="216">
        <f>700+1.2</f>
        <v>701.2</v>
      </c>
      <c r="R184" s="216">
        <v>1000</v>
      </c>
      <c r="S184" s="216">
        <v>1000</v>
      </c>
    </row>
    <row r="185" spans="1:19" s="179" customFormat="1" ht="21" customHeight="1">
      <c r="A185" s="142"/>
      <c r="B185" s="143"/>
      <c r="C185" s="142"/>
      <c r="D185" s="150"/>
      <c r="E185" s="151"/>
      <c r="F185" s="151"/>
      <c r="G185" s="136"/>
      <c r="H185" s="312" t="s">
        <v>739</v>
      </c>
      <c r="I185" s="146">
        <v>27</v>
      </c>
      <c r="J185" s="147">
        <v>5</v>
      </c>
      <c r="K185" s="139">
        <v>2</v>
      </c>
      <c r="L185" s="140"/>
      <c r="M185" s="141"/>
      <c r="N185" s="141"/>
      <c r="O185" s="141"/>
      <c r="P185" s="146"/>
      <c r="Q185" s="217">
        <f>Q186+Q194</f>
        <v>3265</v>
      </c>
      <c r="R185" s="217"/>
      <c r="S185" s="217"/>
    </row>
    <row r="186" spans="1:19" ht="39.75" customHeight="1">
      <c r="A186" s="99"/>
      <c r="B186" s="98"/>
      <c r="C186" s="97"/>
      <c r="D186" s="101"/>
      <c r="E186" s="115"/>
      <c r="F186" s="115"/>
      <c r="G186" s="89"/>
      <c r="H186" s="18" t="s">
        <v>644</v>
      </c>
      <c r="I186" s="27">
        <v>27</v>
      </c>
      <c r="J186" s="19">
        <v>5</v>
      </c>
      <c r="K186" s="16">
        <v>2</v>
      </c>
      <c r="L186" s="95" t="s">
        <v>584</v>
      </c>
      <c r="M186" s="96" t="s">
        <v>563</v>
      </c>
      <c r="N186" s="96" t="s">
        <v>583</v>
      </c>
      <c r="O186" s="96" t="s">
        <v>620</v>
      </c>
      <c r="P186" s="6"/>
      <c r="Q186" s="216">
        <f>Q187+Q191</f>
        <v>2845</v>
      </c>
      <c r="R186" s="216"/>
      <c r="S186" s="216"/>
    </row>
    <row r="187" spans="1:19" ht="39.75" customHeight="1">
      <c r="A187" s="99"/>
      <c r="B187" s="98"/>
      <c r="C187" s="97"/>
      <c r="D187" s="101"/>
      <c r="E187" s="115"/>
      <c r="F187" s="115"/>
      <c r="G187" s="89"/>
      <c r="H187" s="18" t="s">
        <v>308</v>
      </c>
      <c r="I187" s="27">
        <v>27</v>
      </c>
      <c r="J187" s="19">
        <v>5</v>
      </c>
      <c r="K187" s="16">
        <v>2</v>
      </c>
      <c r="L187" s="95" t="s">
        <v>584</v>
      </c>
      <c r="M187" s="96" t="s">
        <v>563</v>
      </c>
      <c r="N187" s="96" t="s">
        <v>564</v>
      </c>
      <c r="O187" s="96" t="s">
        <v>620</v>
      </c>
      <c r="P187" s="6"/>
      <c r="Q187" s="216">
        <f>Q188</f>
        <v>2845</v>
      </c>
      <c r="R187" s="216"/>
      <c r="S187" s="216"/>
    </row>
    <row r="188" spans="1:19" ht="27" customHeight="1">
      <c r="A188" s="99"/>
      <c r="B188" s="98"/>
      <c r="C188" s="97"/>
      <c r="D188" s="101"/>
      <c r="E188" s="115"/>
      <c r="F188" s="115"/>
      <c r="G188" s="89"/>
      <c r="H188" s="18" t="s">
        <v>269</v>
      </c>
      <c r="I188" s="27">
        <v>27</v>
      </c>
      <c r="J188" s="19">
        <v>5</v>
      </c>
      <c r="K188" s="16">
        <v>2</v>
      </c>
      <c r="L188" s="95" t="s">
        <v>584</v>
      </c>
      <c r="M188" s="96" t="s">
        <v>563</v>
      </c>
      <c r="N188" s="96" t="s">
        <v>564</v>
      </c>
      <c r="O188" s="96" t="s">
        <v>268</v>
      </c>
      <c r="P188" s="6"/>
      <c r="Q188" s="216">
        <f>Q189+Q190</f>
        <v>2845</v>
      </c>
      <c r="R188" s="216"/>
      <c r="S188" s="216"/>
    </row>
    <row r="189" spans="1:19" ht="22.5" customHeight="1">
      <c r="A189" s="99"/>
      <c r="B189" s="98"/>
      <c r="C189" s="97"/>
      <c r="D189" s="101"/>
      <c r="E189" s="115"/>
      <c r="F189" s="115"/>
      <c r="G189" s="89"/>
      <c r="H189" s="18" t="s">
        <v>720</v>
      </c>
      <c r="I189" s="27">
        <v>27</v>
      </c>
      <c r="J189" s="19">
        <v>5</v>
      </c>
      <c r="K189" s="16">
        <v>2</v>
      </c>
      <c r="L189" s="95" t="s">
        <v>584</v>
      </c>
      <c r="M189" s="96" t="s">
        <v>563</v>
      </c>
      <c r="N189" s="96" t="s">
        <v>564</v>
      </c>
      <c r="O189" s="96" t="s">
        <v>268</v>
      </c>
      <c r="P189" s="6">
        <v>240</v>
      </c>
      <c r="Q189" s="216">
        <f>240-175</f>
        <v>65</v>
      </c>
      <c r="R189" s="216"/>
      <c r="S189" s="216"/>
    </row>
    <row r="190" spans="1:19" ht="22.5" customHeight="1">
      <c r="A190" s="99"/>
      <c r="B190" s="98"/>
      <c r="C190" s="97"/>
      <c r="D190" s="101"/>
      <c r="E190" s="115"/>
      <c r="F190" s="115"/>
      <c r="G190" s="89"/>
      <c r="H190" s="116" t="s">
        <v>647</v>
      </c>
      <c r="I190" s="27">
        <v>27</v>
      </c>
      <c r="J190" s="19">
        <v>5</v>
      </c>
      <c r="K190" s="16">
        <v>2</v>
      </c>
      <c r="L190" s="95" t="s">
        <v>584</v>
      </c>
      <c r="M190" s="96" t="s">
        <v>563</v>
      </c>
      <c r="N190" s="96" t="s">
        <v>564</v>
      </c>
      <c r="O190" s="96" t="s">
        <v>268</v>
      </c>
      <c r="P190" s="6">
        <v>540</v>
      </c>
      <c r="Q190" s="216">
        <f>2605+175</f>
        <v>2780</v>
      </c>
      <c r="R190" s="216"/>
      <c r="S190" s="216"/>
    </row>
    <row r="191" spans="1:19" ht="35.25" customHeight="1" hidden="1">
      <c r="A191" s="99"/>
      <c r="B191" s="98"/>
      <c r="C191" s="97"/>
      <c r="D191" s="101"/>
      <c r="E191" s="115"/>
      <c r="F191" s="115"/>
      <c r="G191" s="89"/>
      <c r="H191" s="116" t="s">
        <v>121</v>
      </c>
      <c r="I191" s="27">
        <v>27</v>
      </c>
      <c r="J191" s="19">
        <v>5</v>
      </c>
      <c r="K191" s="16">
        <v>2</v>
      </c>
      <c r="L191" s="95" t="s">
        <v>584</v>
      </c>
      <c r="M191" s="96" t="s">
        <v>563</v>
      </c>
      <c r="N191" s="96" t="s">
        <v>663</v>
      </c>
      <c r="O191" s="96" t="s">
        <v>620</v>
      </c>
      <c r="P191" s="6"/>
      <c r="Q191" s="216">
        <f>Q192</f>
        <v>0</v>
      </c>
      <c r="R191" s="216"/>
      <c r="S191" s="216"/>
    </row>
    <row r="192" spans="1:19" ht="22.5" customHeight="1" hidden="1">
      <c r="A192" s="99"/>
      <c r="B192" s="98"/>
      <c r="C192" s="97"/>
      <c r="D192" s="101"/>
      <c r="E192" s="115"/>
      <c r="F192" s="115"/>
      <c r="G192" s="89"/>
      <c r="H192" s="18" t="s">
        <v>664</v>
      </c>
      <c r="I192" s="27">
        <v>27</v>
      </c>
      <c r="J192" s="19">
        <v>5</v>
      </c>
      <c r="K192" s="16">
        <v>2</v>
      </c>
      <c r="L192" s="95" t="s">
        <v>584</v>
      </c>
      <c r="M192" s="96" t="s">
        <v>563</v>
      </c>
      <c r="N192" s="96" t="s">
        <v>663</v>
      </c>
      <c r="O192" s="96" t="s">
        <v>74</v>
      </c>
      <c r="P192" s="6"/>
      <c r="Q192" s="216">
        <f>Q193</f>
        <v>0</v>
      </c>
      <c r="R192" s="216"/>
      <c r="S192" s="216"/>
    </row>
    <row r="193" spans="1:19" ht="22.5" customHeight="1" hidden="1">
      <c r="A193" s="99"/>
      <c r="B193" s="98"/>
      <c r="C193" s="97"/>
      <c r="D193" s="101"/>
      <c r="E193" s="115"/>
      <c r="F193" s="115"/>
      <c r="G193" s="89"/>
      <c r="H193" s="18" t="s">
        <v>720</v>
      </c>
      <c r="I193" s="27">
        <v>27</v>
      </c>
      <c r="J193" s="19">
        <v>5</v>
      </c>
      <c r="K193" s="16">
        <v>2</v>
      </c>
      <c r="L193" s="95" t="s">
        <v>584</v>
      </c>
      <c r="M193" s="96" t="s">
        <v>563</v>
      </c>
      <c r="N193" s="96" t="s">
        <v>663</v>
      </c>
      <c r="O193" s="96" t="s">
        <v>74</v>
      </c>
      <c r="P193" s="6">
        <v>240</v>
      </c>
      <c r="Q193" s="216">
        <f>17883.5-17883.5</f>
        <v>0</v>
      </c>
      <c r="R193" s="216"/>
      <c r="S193" s="216"/>
    </row>
    <row r="194" spans="1:19" ht="22.5" customHeight="1">
      <c r="A194" s="99"/>
      <c r="B194" s="98"/>
      <c r="C194" s="97"/>
      <c r="D194" s="101"/>
      <c r="E194" s="115"/>
      <c r="F194" s="115"/>
      <c r="G194" s="89"/>
      <c r="H194" s="11" t="s">
        <v>299</v>
      </c>
      <c r="I194" s="6">
        <v>27</v>
      </c>
      <c r="J194" s="19">
        <v>5</v>
      </c>
      <c r="K194" s="16">
        <v>2</v>
      </c>
      <c r="L194" s="95" t="s">
        <v>580</v>
      </c>
      <c r="M194" s="96" t="s">
        <v>563</v>
      </c>
      <c r="N194" s="96" t="s">
        <v>583</v>
      </c>
      <c r="O194" s="96" t="s">
        <v>620</v>
      </c>
      <c r="P194" s="6"/>
      <c r="Q194" s="216">
        <f>Q195</f>
        <v>420</v>
      </c>
      <c r="R194" s="216"/>
      <c r="S194" s="216"/>
    </row>
    <row r="195" spans="1:19" ht="21" customHeight="1">
      <c r="A195" s="99"/>
      <c r="B195" s="98"/>
      <c r="C195" s="97"/>
      <c r="D195" s="101"/>
      <c r="E195" s="115"/>
      <c r="F195" s="115"/>
      <c r="G195" s="89"/>
      <c r="H195" s="18" t="s">
        <v>748</v>
      </c>
      <c r="I195" s="27">
        <v>27</v>
      </c>
      <c r="J195" s="19">
        <v>5</v>
      </c>
      <c r="K195" s="16">
        <v>2</v>
      </c>
      <c r="L195" s="95" t="s">
        <v>580</v>
      </c>
      <c r="M195" s="96" t="s">
        <v>563</v>
      </c>
      <c r="N195" s="96" t="s">
        <v>583</v>
      </c>
      <c r="O195" s="96" t="s">
        <v>747</v>
      </c>
      <c r="P195" s="6"/>
      <c r="Q195" s="216">
        <f>Q196</f>
        <v>420</v>
      </c>
      <c r="R195" s="216"/>
      <c r="S195" s="216"/>
    </row>
    <row r="196" spans="1:19" ht="21" customHeight="1">
      <c r="A196" s="99"/>
      <c r="B196" s="98"/>
      <c r="C196" s="97"/>
      <c r="D196" s="101"/>
      <c r="E196" s="115"/>
      <c r="F196" s="115"/>
      <c r="G196" s="89"/>
      <c r="H196" s="18" t="s">
        <v>720</v>
      </c>
      <c r="I196" s="27">
        <v>27</v>
      </c>
      <c r="J196" s="19">
        <v>5</v>
      </c>
      <c r="K196" s="16">
        <v>2</v>
      </c>
      <c r="L196" s="95" t="s">
        <v>580</v>
      </c>
      <c r="M196" s="96" t="s">
        <v>563</v>
      </c>
      <c r="N196" s="96" t="s">
        <v>583</v>
      </c>
      <c r="O196" s="96" t="s">
        <v>747</v>
      </c>
      <c r="P196" s="6">
        <v>240</v>
      </c>
      <c r="Q196" s="216">
        <f>126+294</f>
        <v>420</v>
      </c>
      <c r="R196" s="216"/>
      <c r="S196" s="216"/>
    </row>
    <row r="197" spans="1:19" s="179" customFormat="1" ht="26.25" customHeight="1">
      <c r="A197" s="142"/>
      <c r="B197" s="143"/>
      <c r="C197" s="142"/>
      <c r="D197" s="150"/>
      <c r="E197" s="151"/>
      <c r="F197" s="151"/>
      <c r="G197" s="136"/>
      <c r="H197" s="236" t="s">
        <v>281</v>
      </c>
      <c r="I197" s="248">
        <v>27</v>
      </c>
      <c r="J197" s="147">
        <v>5</v>
      </c>
      <c r="K197" s="139">
        <v>3</v>
      </c>
      <c r="L197" s="140"/>
      <c r="M197" s="141"/>
      <c r="N197" s="141"/>
      <c r="O197" s="141"/>
      <c r="P197" s="146"/>
      <c r="Q197" s="217">
        <f>Q198</f>
        <v>313.1</v>
      </c>
      <c r="R197" s="217">
        <f aca="true" t="shared" si="15" ref="R197:S200">R198</f>
        <v>95.3</v>
      </c>
      <c r="S197" s="217">
        <f t="shared" si="15"/>
        <v>27.5</v>
      </c>
    </row>
    <row r="198" spans="1:19" ht="34.5" customHeight="1">
      <c r="A198" s="97"/>
      <c r="B198" s="98"/>
      <c r="C198" s="97"/>
      <c r="D198" s="101"/>
      <c r="E198" s="115"/>
      <c r="F198" s="115"/>
      <c r="G198" s="89"/>
      <c r="H198" s="18" t="s">
        <v>800</v>
      </c>
      <c r="I198" s="6">
        <v>27</v>
      </c>
      <c r="J198" s="19">
        <v>5</v>
      </c>
      <c r="K198" s="16">
        <v>3</v>
      </c>
      <c r="L198" s="95" t="s">
        <v>798</v>
      </c>
      <c r="M198" s="96" t="s">
        <v>563</v>
      </c>
      <c r="N198" s="96" t="s">
        <v>583</v>
      </c>
      <c r="O198" s="96" t="s">
        <v>620</v>
      </c>
      <c r="P198" s="6"/>
      <c r="Q198" s="216">
        <f>Q199</f>
        <v>313.1</v>
      </c>
      <c r="R198" s="216">
        <f t="shared" si="15"/>
        <v>95.3</v>
      </c>
      <c r="S198" s="216">
        <f t="shared" si="15"/>
        <v>27.5</v>
      </c>
    </row>
    <row r="199" spans="1:19" ht="31.5" customHeight="1">
      <c r="A199" s="97"/>
      <c r="B199" s="98"/>
      <c r="C199" s="97"/>
      <c r="D199" s="101"/>
      <c r="E199" s="115"/>
      <c r="F199" s="115"/>
      <c r="G199" s="89"/>
      <c r="H199" s="128" t="s">
        <v>122</v>
      </c>
      <c r="I199" s="6">
        <v>27</v>
      </c>
      <c r="J199" s="19">
        <v>5</v>
      </c>
      <c r="K199" s="16">
        <v>3</v>
      </c>
      <c r="L199" s="95" t="s">
        <v>798</v>
      </c>
      <c r="M199" s="96" t="s">
        <v>563</v>
      </c>
      <c r="N199" s="96" t="s">
        <v>818</v>
      </c>
      <c r="O199" s="96" t="s">
        <v>620</v>
      </c>
      <c r="P199" s="6"/>
      <c r="Q199" s="216">
        <f>Q200</f>
        <v>313.1</v>
      </c>
      <c r="R199" s="216">
        <f t="shared" si="15"/>
        <v>95.3</v>
      </c>
      <c r="S199" s="216">
        <f t="shared" si="15"/>
        <v>27.5</v>
      </c>
    </row>
    <row r="200" spans="1:19" ht="33" customHeight="1">
      <c r="A200" s="97"/>
      <c r="B200" s="98"/>
      <c r="C200" s="97"/>
      <c r="D200" s="101"/>
      <c r="E200" s="115"/>
      <c r="F200" s="115"/>
      <c r="G200" s="89"/>
      <c r="H200" s="18" t="s">
        <v>799</v>
      </c>
      <c r="I200" s="6">
        <v>27</v>
      </c>
      <c r="J200" s="19">
        <v>5</v>
      </c>
      <c r="K200" s="16">
        <v>3</v>
      </c>
      <c r="L200" s="95" t="s">
        <v>798</v>
      </c>
      <c r="M200" s="96" t="s">
        <v>563</v>
      </c>
      <c r="N200" s="96" t="s">
        <v>818</v>
      </c>
      <c r="O200" s="96" t="s">
        <v>819</v>
      </c>
      <c r="P200" s="6"/>
      <c r="Q200" s="216">
        <f>Q201</f>
        <v>313.1</v>
      </c>
      <c r="R200" s="216">
        <f t="shared" si="15"/>
        <v>95.3</v>
      </c>
      <c r="S200" s="216">
        <f t="shared" si="15"/>
        <v>27.5</v>
      </c>
    </row>
    <row r="201" spans="1:19" ht="27" customHeight="1">
      <c r="A201" s="97"/>
      <c r="B201" s="98"/>
      <c r="C201" s="97"/>
      <c r="D201" s="101"/>
      <c r="E201" s="115"/>
      <c r="F201" s="115"/>
      <c r="G201" s="89"/>
      <c r="H201" s="18" t="s">
        <v>720</v>
      </c>
      <c r="I201" s="6">
        <v>27</v>
      </c>
      <c r="J201" s="19">
        <v>5</v>
      </c>
      <c r="K201" s="16">
        <v>3</v>
      </c>
      <c r="L201" s="95" t="s">
        <v>798</v>
      </c>
      <c r="M201" s="96" t="s">
        <v>563</v>
      </c>
      <c r="N201" s="96" t="s">
        <v>818</v>
      </c>
      <c r="O201" s="96" t="s">
        <v>819</v>
      </c>
      <c r="P201" s="6">
        <v>240</v>
      </c>
      <c r="Q201" s="216">
        <v>313.1</v>
      </c>
      <c r="R201" s="216">
        <v>95.3</v>
      </c>
      <c r="S201" s="216">
        <v>27.5</v>
      </c>
    </row>
    <row r="202" spans="1:19" s="179" customFormat="1" ht="24.75" customHeight="1">
      <c r="A202" s="142"/>
      <c r="B202" s="143"/>
      <c r="C202" s="142"/>
      <c r="D202" s="150"/>
      <c r="E202" s="151"/>
      <c r="F202" s="151"/>
      <c r="G202" s="136"/>
      <c r="H202" s="249" t="s">
        <v>646</v>
      </c>
      <c r="I202" s="250">
        <v>27</v>
      </c>
      <c r="J202" s="147">
        <v>5</v>
      </c>
      <c r="K202" s="139">
        <v>5</v>
      </c>
      <c r="L202" s="140"/>
      <c r="M202" s="141"/>
      <c r="N202" s="141"/>
      <c r="O202" s="141"/>
      <c r="P202" s="146"/>
      <c r="Q202" s="217">
        <f>Q203+Q208</f>
        <v>2866</v>
      </c>
      <c r="R202" s="217">
        <f>R203+R208</f>
        <v>400</v>
      </c>
      <c r="S202" s="217">
        <f>S203+S208</f>
        <v>400</v>
      </c>
    </row>
    <row r="203" spans="1:19" s="179" customFormat="1" ht="24.75" customHeight="1">
      <c r="A203" s="142"/>
      <c r="B203" s="143"/>
      <c r="C203" s="142"/>
      <c r="D203" s="150"/>
      <c r="E203" s="151"/>
      <c r="F203" s="151"/>
      <c r="G203" s="136"/>
      <c r="H203" s="11" t="s">
        <v>299</v>
      </c>
      <c r="I203" s="6">
        <v>27</v>
      </c>
      <c r="J203" s="19">
        <v>5</v>
      </c>
      <c r="K203" s="16">
        <v>5</v>
      </c>
      <c r="L203" s="95" t="s">
        <v>580</v>
      </c>
      <c r="M203" s="96" t="s">
        <v>563</v>
      </c>
      <c r="N203" s="96" t="s">
        <v>583</v>
      </c>
      <c r="O203" s="96" t="s">
        <v>620</v>
      </c>
      <c r="P203" s="146"/>
      <c r="Q203" s="217">
        <f>Q204+Q206</f>
        <v>2500</v>
      </c>
      <c r="R203" s="217">
        <f>R204+R206</f>
        <v>0</v>
      </c>
      <c r="S203" s="217">
        <f>S204+S206</f>
        <v>0</v>
      </c>
    </row>
    <row r="204" spans="1:19" ht="48" customHeight="1">
      <c r="A204" s="99"/>
      <c r="B204" s="98"/>
      <c r="C204" s="97"/>
      <c r="D204" s="101"/>
      <c r="E204" s="115"/>
      <c r="F204" s="115"/>
      <c r="G204" s="89"/>
      <c r="H204" s="116" t="s">
        <v>264</v>
      </c>
      <c r="I204" s="8">
        <v>27</v>
      </c>
      <c r="J204" s="19">
        <v>5</v>
      </c>
      <c r="K204" s="16">
        <v>5</v>
      </c>
      <c r="L204" s="95" t="s">
        <v>580</v>
      </c>
      <c r="M204" s="96" t="s">
        <v>563</v>
      </c>
      <c r="N204" s="96" t="s">
        <v>583</v>
      </c>
      <c r="O204" s="96" t="s">
        <v>652</v>
      </c>
      <c r="P204" s="6"/>
      <c r="Q204" s="216">
        <f>Q205</f>
        <v>1359.1</v>
      </c>
      <c r="R204" s="216">
        <f>R205</f>
        <v>0</v>
      </c>
      <c r="S204" s="216">
        <f>S205</f>
        <v>0</v>
      </c>
    </row>
    <row r="205" spans="1:19" ht="26.25" customHeight="1">
      <c r="A205" s="99"/>
      <c r="B205" s="98"/>
      <c r="C205" s="97"/>
      <c r="D205" s="101"/>
      <c r="E205" s="115"/>
      <c r="F205" s="115"/>
      <c r="G205" s="89"/>
      <c r="H205" s="116" t="s">
        <v>647</v>
      </c>
      <c r="I205" s="8">
        <v>27</v>
      </c>
      <c r="J205" s="19">
        <v>5</v>
      </c>
      <c r="K205" s="16">
        <v>5</v>
      </c>
      <c r="L205" s="95" t="s">
        <v>580</v>
      </c>
      <c r="M205" s="96" t="s">
        <v>563</v>
      </c>
      <c r="N205" s="96" t="s">
        <v>583</v>
      </c>
      <c r="O205" s="96" t="s">
        <v>652</v>
      </c>
      <c r="P205" s="6">
        <v>540</v>
      </c>
      <c r="Q205" s="214">
        <v>1359.1</v>
      </c>
      <c r="R205" s="216"/>
      <c r="S205" s="216"/>
    </row>
    <row r="206" spans="1:19" ht="39" customHeight="1">
      <c r="A206" s="99"/>
      <c r="B206" s="98"/>
      <c r="C206" s="97"/>
      <c r="D206" s="101"/>
      <c r="E206" s="115"/>
      <c r="F206" s="115"/>
      <c r="G206" s="89"/>
      <c r="H206" s="116" t="s">
        <v>266</v>
      </c>
      <c r="I206" s="8">
        <v>27</v>
      </c>
      <c r="J206" s="19">
        <v>5</v>
      </c>
      <c r="K206" s="16">
        <v>5</v>
      </c>
      <c r="L206" s="95" t="s">
        <v>580</v>
      </c>
      <c r="M206" s="96" t="s">
        <v>563</v>
      </c>
      <c r="N206" s="96" t="s">
        <v>583</v>
      </c>
      <c r="O206" s="96" t="s">
        <v>265</v>
      </c>
      <c r="P206" s="6"/>
      <c r="Q206" s="216">
        <f>Q207</f>
        <v>1140.9</v>
      </c>
      <c r="R206" s="216"/>
      <c r="S206" s="216"/>
    </row>
    <row r="207" spans="1:19" ht="26.25" customHeight="1">
      <c r="A207" s="99"/>
      <c r="B207" s="98"/>
      <c r="C207" s="97"/>
      <c r="D207" s="101"/>
      <c r="E207" s="115"/>
      <c r="F207" s="115"/>
      <c r="G207" s="89"/>
      <c r="H207" s="116" t="s">
        <v>647</v>
      </c>
      <c r="I207" s="8">
        <v>27</v>
      </c>
      <c r="J207" s="19">
        <v>5</v>
      </c>
      <c r="K207" s="16">
        <v>5</v>
      </c>
      <c r="L207" s="95" t="s">
        <v>580</v>
      </c>
      <c r="M207" s="96" t="s">
        <v>563</v>
      </c>
      <c r="N207" s="96" t="s">
        <v>583</v>
      </c>
      <c r="O207" s="96" t="s">
        <v>265</v>
      </c>
      <c r="P207" s="6">
        <v>540</v>
      </c>
      <c r="Q207" s="214">
        <v>1140.9</v>
      </c>
      <c r="R207" s="216"/>
      <c r="S207" s="216"/>
    </row>
    <row r="208" spans="1:19" ht="28.5" customHeight="1">
      <c r="A208" s="99"/>
      <c r="B208" s="98"/>
      <c r="C208" s="97"/>
      <c r="D208" s="101"/>
      <c r="E208" s="115"/>
      <c r="F208" s="115"/>
      <c r="G208" s="89"/>
      <c r="H208" s="5" t="s">
        <v>267</v>
      </c>
      <c r="I208" s="8">
        <v>27</v>
      </c>
      <c r="J208" s="19">
        <v>5</v>
      </c>
      <c r="K208" s="16">
        <v>5</v>
      </c>
      <c r="L208" s="95" t="s">
        <v>585</v>
      </c>
      <c r="M208" s="96" t="s">
        <v>565</v>
      </c>
      <c r="N208" s="96" t="s">
        <v>583</v>
      </c>
      <c r="O208" s="96" t="s">
        <v>354</v>
      </c>
      <c r="P208" s="6"/>
      <c r="Q208" s="216">
        <f>Q209</f>
        <v>366</v>
      </c>
      <c r="R208" s="216">
        <f>R209</f>
        <v>400</v>
      </c>
      <c r="S208" s="216">
        <f>S209</f>
        <v>400</v>
      </c>
    </row>
    <row r="209" spans="1:19" ht="28.5" customHeight="1">
      <c r="A209" s="99"/>
      <c r="B209" s="98"/>
      <c r="C209" s="97"/>
      <c r="D209" s="101"/>
      <c r="E209" s="115"/>
      <c r="F209" s="115"/>
      <c r="G209" s="89"/>
      <c r="H209" s="117" t="s">
        <v>720</v>
      </c>
      <c r="I209" s="6">
        <v>27</v>
      </c>
      <c r="J209" s="19">
        <v>5</v>
      </c>
      <c r="K209" s="16">
        <v>5</v>
      </c>
      <c r="L209" s="95" t="s">
        <v>585</v>
      </c>
      <c r="M209" s="96" t="s">
        <v>565</v>
      </c>
      <c r="N209" s="96" t="s">
        <v>583</v>
      </c>
      <c r="O209" s="96" t="s">
        <v>354</v>
      </c>
      <c r="P209" s="6">
        <v>240</v>
      </c>
      <c r="Q209" s="216">
        <v>366</v>
      </c>
      <c r="R209" s="216">
        <v>400</v>
      </c>
      <c r="S209" s="216">
        <v>400</v>
      </c>
    </row>
    <row r="210" spans="1:19" s="179" customFormat="1" ht="24" customHeight="1">
      <c r="A210" s="142"/>
      <c r="B210" s="143"/>
      <c r="C210" s="153"/>
      <c r="D210" s="150"/>
      <c r="E210" s="154"/>
      <c r="F210" s="154"/>
      <c r="G210" s="155">
        <v>611</v>
      </c>
      <c r="H210" s="149" t="s">
        <v>550</v>
      </c>
      <c r="I210" s="152">
        <v>27</v>
      </c>
      <c r="J210" s="156">
        <v>6</v>
      </c>
      <c r="K210" s="139"/>
      <c r="L210" s="140"/>
      <c r="M210" s="141"/>
      <c r="N210" s="141"/>
      <c r="O210" s="141"/>
      <c r="P210" s="146"/>
      <c r="Q210" s="217">
        <f>Q211+Q214</f>
        <v>1667.4</v>
      </c>
      <c r="R210" s="217">
        <f>R211+R214</f>
        <v>136.9</v>
      </c>
      <c r="S210" s="217">
        <f>S211+S214</f>
        <v>136.8</v>
      </c>
    </row>
    <row r="211" spans="1:19" s="179" customFormat="1" ht="24" customHeight="1">
      <c r="A211" s="142"/>
      <c r="B211" s="143"/>
      <c r="C211" s="153"/>
      <c r="D211" s="150"/>
      <c r="E211" s="154"/>
      <c r="F211" s="154"/>
      <c r="G211" s="155"/>
      <c r="H211" s="149" t="s">
        <v>549</v>
      </c>
      <c r="I211" s="152">
        <v>27</v>
      </c>
      <c r="J211" s="156">
        <v>6</v>
      </c>
      <c r="K211" s="139">
        <v>3</v>
      </c>
      <c r="L211" s="140"/>
      <c r="M211" s="141"/>
      <c r="N211" s="141"/>
      <c r="O211" s="141"/>
      <c r="P211" s="146"/>
      <c r="Q211" s="217">
        <f aca="true" t="shared" si="16" ref="Q211:S212">Q212</f>
        <v>27.4</v>
      </c>
      <c r="R211" s="217">
        <f t="shared" si="16"/>
        <v>27.4</v>
      </c>
      <c r="S211" s="217">
        <f t="shared" si="16"/>
        <v>27.4</v>
      </c>
    </row>
    <row r="212" spans="1:19" ht="48" customHeight="1">
      <c r="A212" s="97"/>
      <c r="B212" s="98"/>
      <c r="C212" s="103"/>
      <c r="D212" s="101"/>
      <c r="E212" s="113"/>
      <c r="F212" s="113"/>
      <c r="G212" s="105"/>
      <c r="H212" s="5" t="s">
        <v>768</v>
      </c>
      <c r="I212" s="8">
        <v>27</v>
      </c>
      <c r="J212" s="21">
        <v>6</v>
      </c>
      <c r="K212" s="16">
        <v>3</v>
      </c>
      <c r="L212" s="95" t="s">
        <v>580</v>
      </c>
      <c r="M212" s="96" t="s">
        <v>563</v>
      </c>
      <c r="N212" s="96" t="s">
        <v>583</v>
      </c>
      <c r="O212" s="96" t="s">
        <v>767</v>
      </c>
      <c r="P212" s="6"/>
      <c r="Q212" s="216">
        <f t="shared" si="16"/>
        <v>27.4</v>
      </c>
      <c r="R212" s="216">
        <f t="shared" si="16"/>
        <v>27.4</v>
      </c>
      <c r="S212" s="216">
        <f t="shared" si="16"/>
        <v>27.4</v>
      </c>
    </row>
    <row r="213" spans="1:19" ht="24" customHeight="1">
      <c r="A213" s="97"/>
      <c r="B213" s="98"/>
      <c r="C213" s="103"/>
      <c r="D213" s="101"/>
      <c r="E213" s="113"/>
      <c r="F213" s="113"/>
      <c r="G213" s="105"/>
      <c r="H213" s="5" t="s">
        <v>720</v>
      </c>
      <c r="I213" s="8">
        <v>27</v>
      </c>
      <c r="J213" s="21">
        <v>6</v>
      </c>
      <c r="K213" s="16">
        <v>3</v>
      </c>
      <c r="L213" s="95" t="s">
        <v>580</v>
      </c>
      <c r="M213" s="96" t="s">
        <v>563</v>
      </c>
      <c r="N213" s="96" t="s">
        <v>583</v>
      </c>
      <c r="O213" s="96" t="s">
        <v>767</v>
      </c>
      <c r="P213" s="6">
        <v>240</v>
      </c>
      <c r="Q213" s="216">
        <v>27.4</v>
      </c>
      <c r="R213" s="216">
        <v>27.4</v>
      </c>
      <c r="S213" s="216">
        <v>27.4</v>
      </c>
    </row>
    <row r="214" spans="1:19" s="179" customFormat="1" ht="24.75" customHeight="1">
      <c r="A214" s="142"/>
      <c r="B214" s="143"/>
      <c r="C214" s="153"/>
      <c r="D214" s="150"/>
      <c r="E214" s="154"/>
      <c r="F214" s="154"/>
      <c r="G214" s="155">
        <v>621</v>
      </c>
      <c r="H214" s="149" t="s">
        <v>548</v>
      </c>
      <c r="I214" s="152">
        <v>27</v>
      </c>
      <c r="J214" s="156">
        <v>6</v>
      </c>
      <c r="K214" s="139">
        <v>5</v>
      </c>
      <c r="L214" s="140"/>
      <c r="M214" s="141"/>
      <c r="N214" s="141"/>
      <c r="O214" s="141"/>
      <c r="P214" s="146"/>
      <c r="Q214" s="217">
        <f>Q215+Q218</f>
        <v>1640</v>
      </c>
      <c r="R214" s="217">
        <f>R215+R218</f>
        <v>109.5</v>
      </c>
      <c r="S214" s="217">
        <f>S215+S218</f>
        <v>109.4</v>
      </c>
    </row>
    <row r="215" spans="1:19" ht="18.75" customHeight="1">
      <c r="A215" s="99"/>
      <c r="B215" s="98"/>
      <c r="C215" s="103"/>
      <c r="D215" s="107"/>
      <c r="E215" s="104"/>
      <c r="F215" s="104"/>
      <c r="G215" s="105"/>
      <c r="H215" s="172" t="s">
        <v>815</v>
      </c>
      <c r="I215" s="8">
        <v>27</v>
      </c>
      <c r="J215" s="19">
        <v>6</v>
      </c>
      <c r="K215" s="16">
        <v>5</v>
      </c>
      <c r="L215" s="95" t="s">
        <v>580</v>
      </c>
      <c r="M215" s="96" t="s">
        <v>563</v>
      </c>
      <c r="N215" s="96" t="s">
        <v>583</v>
      </c>
      <c r="O215" s="96" t="s">
        <v>814</v>
      </c>
      <c r="P215" s="6"/>
      <c r="Q215" s="216">
        <f>SUM(Q216:Q217)</f>
        <v>132</v>
      </c>
      <c r="R215" s="216">
        <f>SUM(R216:R216)</f>
        <v>109.5</v>
      </c>
      <c r="S215" s="216">
        <f>SUM(S216:S216)</f>
        <v>109.4</v>
      </c>
    </row>
    <row r="216" spans="1:19" ht="23.25" customHeight="1">
      <c r="A216" s="99"/>
      <c r="B216" s="98"/>
      <c r="C216" s="103"/>
      <c r="D216" s="107"/>
      <c r="E216" s="104"/>
      <c r="F216" s="104"/>
      <c r="G216" s="105"/>
      <c r="H216" s="3" t="s">
        <v>533</v>
      </c>
      <c r="I216" s="8">
        <v>27</v>
      </c>
      <c r="J216" s="19">
        <v>6</v>
      </c>
      <c r="K216" s="16">
        <v>5</v>
      </c>
      <c r="L216" s="95" t="s">
        <v>580</v>
      </c>
      <c r="M216" s="96" t="s">
        <v>563</v>
      </c>
      <c r="N216" s="96" t="s">
        <v>583</v>
      </c>
      <c r="O216" s="96" t="s">
        <v>814</v>
      </c>
      <c r="P216" s="6">
        <v>120</v>
      </c>
      <c r="Q216" s="216">
        <f>110-7</f>
        <v>103</v>
      </c>
      <c r="R216" s="239">
        <v>109.5</v>
      </c>
      <c r="S216" s="239">
        <v>109.4</v>
      </c>
    </row>
    <row r="217" spans="1:19" ht="23.25" customHeight="1">
      <c r="A217" s="99"/>
      <c r="B217" s="98"/>
      <c r="C217" s="103"/>
      <c r="D217" s="107"/>
      <c r="E217" s="104"/>
      <c r="F217" s="104"/>
      <c r="G217" s="105"/>
      <c r="H217" s="5" t="s">
        <v>720</v>
      </c>
      <c r="I217" s="8">
        <v>27</v>
      </c>
      <c r="J217" s="19">
        <v>6</v>
      </c>
      <c r="K217" s="16">
        <v>5</v>
      </c>
      <c r="L217" s="95" t="s">
        <v>580</v>
      </c>
      <c r="M217" s="96" t="s">
        <v>563</v>
      </c>
      <c r="N217" s="96" t="s">
        <v>583</v>
      </c>
      <c r="O217" s="96" t="s">
        <v>814</v>
      </c>
      <c r="P217" s="6">
        <v>240</v>
      </c>
      <c r="Q217" s="216">
        <v>29</v>
      </c>
      <c r="R217" s="239"/>
      <c r="S217" s="239"/>
    </row>
    <row r="218" spans="1:19" ht="35.25" customHeight="1">
      <c r="A218" s="99"/>
      <c r="B218" s="98"/>
      <c r="C218" s="103"/>
      <c r="D218" s="109"/>
      <c r="E218" s="104"/>
      <c r="F218" s="104"/>
      <c r="G218" s="105">
        <v>622</v>
      </c>
      <c r="H218" s="3" t="s">
        <v>644</v>
      </c>
      <c r="I218" s="8">
        <v>27</v>
      </c>
      <c r="J218" s="21">
        <v>6</v>
      </c>
      <c r="K218" s="16">
        <v>5</v>
      </c>
      <c r="L218" s="95" t="s">
        <v>584</v>
      </c>
      <c r="M218" s="96" t="s">
        <v>563</v>
      </c>
      <c r="N218" s="96" t="s">
        <v>583</v>
      </c>
      <c r="O218" s="96" t="s">
        <v>620</v>
      </c>
      <c r="P218" s="6"/>
      <c r="Q218" s="216">
        <f>Q219</f>
        <v>1508</v>
      </c>
      <c r="R218" s="216"/>
      <c r="S218" s="216"/>
    </row>
    <row r="219" spans="1:19" ht="33.75" customHeight="1">
      <c r="A219" s="99"/>
      <c r="B219" s="98"/>
      <c r="C219" s="106"/>
      <c r="D219" s="107"/>
      <c r="E219" s="104"/>
      <c r="F219" s="104"/>
      <c r="G219" s="105"/>
      <c r="H219" s="116" t="s">
        <v>310</v>
      </c>
      <c r="I219" s="8">
        <v>27</v>
      </c>
      <c r="J219" s="21">
        <v>6</v>
      </c>
      <c r="K219" s="16">
        <v>5</v>
      </c>
      <c r="L219" s="95" t="s">
        <v>584</v>
      </c>
      <c r="M219" s="96" t="s">
        <v>563</v>
      </c>
      <c r="N219" s="96" t="s">
        <v>592</v>
      </c>
      <c r="O219" s="96" t="s">
        <v>620</v>
      </c>
      <c r="P219" s="6"/>
      <c r="Q219" s="216">
        <f>Q220</f>
        <v>1508</v>
      </c>
      <c r="R219" s="216"/>
      <c r="S219" s="216"/>
    </row>
    <row r="220" spans="1:19" ht="24.75" customHeight="1">
      <c r="A220" s="99"/>
      <c r="B220" s="98"/>
      <c r="C220" s="106"/>
      <c r="D220" s="107"/>
      <c r="E220" s="104"/>
      <c r="F220" s="104"/>
      <c r="G220" s="105"/>
      <c r="H220" s="116" t="s">
        <v>269</v>
      </c>
      <c r="I220" s="8">
        <v>27</v>
      </c>
      <c r="J220" s="21">
        <v>6</v>
      </c>
      <c r="K220" s="16">
        <v>5</v>
      </c>
      <c r="L220" s="95" t="s">
        <v>584</v>
      </c>
      <c r="M220" s="96" t="s">
        <v>563</v>
      </c>
      <c r="N220" s="96" t="s">
        <v>592</v>
      </c>
      <c r="O220" s="96" t="s">
        <v>268</v>
      </c>
      <c r="P220" s="6"/>
      <c r="Q220" s="216">
        <f>Q221</f>
        <v>1508</v>
      </c>
      <c r="R220" s="216"/>
      <c r="S220" s="216"/>
    </row>
    <row r="221" spans="1:19" ht="33.75" customHeight="1">
      <c r="A221" s="99"/>
      <c r="B221" s="98"/>
      <c r="C221" s="106"/>
      <c r="D221" s="107"/>
      <c r="E221" s="104"/>
      <c r="F221" s="104"/>
      <c r="G221" s="105"/>
      <c r="H221" s="116" t="s">
        <v>720</v>
      </c>
      <c r="I221" s="8">
        <v>27</v>
      </c>
      <c r="J221" s="21">
        <v>6</v>
      </c>
      <c r="K221" s="16">
        <v>5</v>
      </c>
      <c r="L221" s="95" t="s">
        <v>584</v>
      </c>
      <c r="M221" s="96" t="s">
        <v>563</v>
      </c>
      <c r="N221" s="96" t="s">
        <v>592</v>
      </c>
      <c r="O221" s="96" t="s">
        <v>268</v>
      </c>
      <c r="P221" s="6">
        <v>240</v>
      </c>
      <c r="Q221" s="216">
        <f>9675-2987-5180</f>
        <v>1508</v>
      </c>
      <c r="R221" s="216"/>
      <c r="S221" s="216"/>
    </row>
    <row r="222" spans="1:19" s="179" customFormat="1" ht="26.25" customHeight="1">
      <c r="A222" s="142"/>
      <c r="B222" s="143"/>
      <c r="C222" s="157"/>
      <c r="D222" s="144"/>
      <c r="E222" s="145"/>
      <c r="F222" s="145"/>
      <c r="G222" s="155">
        <v>612</v>
      </c>
      <c r="H222" s="149" t="s">
        <v>545</v>
      </c>
      <c r="I222" s="152">
        <v>27</v>
      </c>
      <c r="J222" s="156">
        <v>7</v>
      </c>
      <c r="K222" s="139"/>
      <c r="L222" s="140"/>
      <c r="M222" s="141"/>
      <c r="N222" s="141"/>
      <c r="O222" s="141"/>
      <c r="P222" s="146"/>
      <c r="Q222" s="217">
        <f>Q223+Q230</f>
        <v>7320.8</v>
      </c>
      <c r="R222" s="217">
        <f>R223+R230</f>
        <v>8550</v>
      </c>
      <c r="S222" s="217">
        <f>S223+S230</f>
        <v>8550</v>
      </c>
    </row>
    <row r="223" spans="1:19" s="179" customFormat="1" ht="20.25" customHeight="1">
      <c r="A223" s="142"/>
      <c r="B223" s="143"/>
      <c r="C223" s="370">
        <v>703</v>
      </c>
      <c r="D223" s="371"/>
      <c r="E223" s="371"/>
      <c r="F223" s="371"/>
      <c r="G223" s="136">
        <v>612</v>
      </c>
      <c r="H223" s="137" t="s">
        <v>347</v>
      </c>
      <c r="I223" s="146">
        <v>27</v>
      </c>
      <c r="J223" s="139">
        <v>7</v>
      </c>
      <c r="K223" s="139">
        <v>3</v>
      </c>
      <c r="L223" s="140"/>
      <c r="M223" s="141"/>
      <c r="N223" s="141"/>
      <c r="O223" s="141"/>
      <c r="P223" s="146"/>
      <c r="Q223" s="217">
        <f>Q224</f>
        <v>7196.1</v>
      </c>
      <c r="R223" s="217">
        <f aca="true" t="shared" si="17" ref="R223:S225">R224</f>
        <v>8000</v>
      </c>
      <c r="S223" s="217">
        <f t="shared" si="17"/>
        <v>8000</v>
      </c>
    </row>
    <row r="224" spans="1:19" s="179" customFormat="1" ht="29.25" customHeight="1">
      <c r="A224" s="142"/>
      <c r="B224" s="143"/>
      <c r="C224" s="153"/>
      <c r="D224" s="235"/>
      <c r="E224" s="166"/>
      <c r="F224" s="166"/>
      <c r="G224" s="136"/>
      <c r="H224" s="257" t="s">
        <v>665</v>
      </c>
      <c r="I224" s="10">
        <v>27</v>
      </c>
      <c r="J224" s="16">
        <v>7</v>
      </c>
      <c r="K224" s="16">
        <v>3</v>
      </c>
      <c r="L224" s="95" t="s">
        <v>666</v>
      </c>
      <c r="M224" s="96" t="s">
        <v>563</v>
      </c>
      <c r="N224" s="96" t="s">
        <v>583</v>
      </c>
      <c r="O224" s="96" t="s">
        <v>620</v>
      </c>
      <c r="P224" s="6"/>
      <c r="Q224" s="216">
        <f>Q225</f>
        <v>7196.1</v>
      </c>
      <c r="R224" s="216">
        <f t="shared" si="17"/>
        <v>8000</v>
      </c>
      <c r="S224" s="216">
        <f t="shared" si="17"/>
        <v>8000</v>
      </c>
    </row>
    <row r="225" spans="1:19" s="179" customFormat="1" ht="35.25" customHeight="1">
      <c r="A225" s="142"/>
      <c r="B225" s="143"/>
      <c r="C225" s="153"/>
      <c r="D225" s="235"/>
      <c r="E225" s="166"/>
      <c r="F225" s="166"/>
      <c r="G225" s="136"/>
      <c r="H225" s="257" t="s">
        <v>667</v>
      </c>
      <c r="I225" s="10">
        <v>27</v>
      </c>
      <c r="J225" s="16">
        <v>7</v>
      </c>
      <c r="K225" s="16">
        <v>3</v>
      </c>
      <c r="L225" s="95" t="s">
        <v>666</v>
      </c>
      <c r="M225" s="96" t="s">
        <v>563</v>
      </c>
      <c r="N225" s="96" t="s">
        <v>588</v>
      </c>
      <c r="O225" s="96" t="s">
        <v>620</v>
      </c>
      <c r="P225" s="6"/>
      <c r="Q225" s="216">
        <f>Q226+Q228</f>
        <v>7196.1</v>
      </c>
      <c r="R225" s="216">
        <f t="shared" si="17"/>
        <v>8000</v>
      </c>
      <c r="S225" s="216">
        <f t="shared" si="17"/>
        <v>8000</v>
      </c>
    </row>
    <row r="226" spans="1:19" s="179" customFormat="1" ht="20.25" customHeight="1">
      <c r="A226" s="142"/>
      <c r="B226" s="143"/>
      <c r="C226" s="153"/>
      <c r="D226" s="235"/>
      <c r="E226" s="166"/>
      <c r="F226" s="166"/>
      <c r="G226" s="136"/>
      <c r="H226" s="257" t="s">
        <v>335</v>
      </c>
      <c r="I226" s="10">
        <v>27</v>
      </c>
      <c r="J226" s="16">
        <v>7</v>
      </c>
      <c r="K226" s="16">
        <v>3</v>
      </c>
      <c r="L226" s="95" t="s">
        <v>666</v>
      </c>
      <c r="M226" s="96" t="s">
        <v>563</v>
      </c>
      <c r="N226" s="96" t="s">
        <v>588</v>
      </c>
      <c r="O226" s="96" t="s">
        <v>270</v>
      </c>
      <c r="P226" s="6"/>
      <c r="Q226" s="216">
        <f>Q227</f>
        <v>5758.1</v>
      </c>
      <c r="R226" s="216">
        <f>R227</f>
        <v>8000</v>
      </c>
      <c r="S226" s="216">
        <f>S227</f>
        <v>8000</v>
      </c>
    </row>
    <row r="227" spans="1:19" s="179" customFormat="1" ht="20.25" customHeight="1">
      <c r="A227" s="142"/>
      <c r="B227" s="143"/>
      <c r="C227" s="153"/>
      <c r="D227" s="235"/>
      <c r="E227" s="166"/>
      <c r="F227" s="166"/>
      <c r="G227" s="136"/>
      <c r="H227" s="257" t="s">
        <v>722</v>
      </c>
      <c r="I227" s="10">
        <v>27</v>
      </c>
      <c r="J227" s="16">
        <v>7</v>
      </c>
      <c r="K227" s="16">
        <v>3</v>
      </c>
      <c r="L227" s="95" t="s">
        <v>666</v>
      </c>
      <c r="M227" s="96" t="s">
        <v>563</v>
      </c>
      <c r="N227" s="96" t="s">
        <v>588</v>
      </c>
      <c r="O227" s="96" t="s">
        <v>270</v>
      </c>
      <c r="P227" s="6">
        <v>610</v>
      </c>
      <c r="Q227" s="216">
        <v>5758.1</v>
      </c>
      <c r="R227" s="216">
        <v>8000</v>
      </c>
      <c r="S227" s="216">
        <v>8000</v>
      </c>
    </row>
    <row r="228" spans="1:19" ht="31.5" customHeight="1">
      <c r="A228" s="97"/>
      <c r="B228" s="98"/>
      <c r="C228" s="103"/>
      <c r="D228" s="111"/>
      <c r="E228" s="114"/>
      <c r="F228" s="114"/>
      <c r="G228" s="89"/>
      <c r="H228" s="257" t="s">
        <v>61</v>
      </c>
      <c r="I228" s="10">
        <v>27</v>
      </c>
      <c r="J228" s="16">
        <v>7</v>
      </c>
      <c r="K228" s="16">
        <v>3</v>
      </c>
      <c r="L228" s="95" t="s">
        <v>666</v>
      </c>
      <c r="M228" s="96" t="s">
        <v>563</v>
      </c>
      <c r="N228" s="96" t="s">
        <v>588</v>
      </c>
      <c r="O228" s="96" t="s">
        <v>60</v>
      </c>
      <c r="P228" s="10"/>
      <c r="Q228" s="214">
        <f>Q229</f>
        <v>1438</v>
      </c>
      <c r="R228" s="216"/>
      <c r="S228" s="216"/>
    </row>
    <row r="229" spans="1:19" ht="20.25" customHeight="1">
      <c r="A229" s="97"/>
      <c r="B229" s="98"/>
      <c r="C229" s="103"/>
      <c r="D229" s="111"/>
      <c r="E229" s="114"/>
      <c r="F229" s="114"/>
      <c r="G229" s="89"/>
      <c r="H229" s="257" t="s">
        <v>722</v>
      </c>
      <c r="I229" s="10">
        <v>27</v>
      </c>
      <c r="J229" s="16">
        <v>7</v>
      </c>
      <c r="K229" s="16">
        <v>3</v>
      </c>
      <c r="L229" s="95" t="s">
        <v>666</v>
      </c>
      <c r="M229" s="96" t="s">
        <v>563</v>
      </c>
      <c r="N229" s="96" t="s">
        <v>588</v>
      </c>
      <c r="O229" s="96" t="s">
        <v>60</v>
      </c>
      <c r="P229" s="10">
        <v>610</v>
      </c>
      <c r="Q229" s="214">
        <f>1186.9+251.1</f>
        <v>1438</v>
      </c>
      <c r="R229" s="216"/>
      <c r="S229" s="216"/>
    </row>
    <row r="230" spans="1:19" s="179" customFormat="1" ht="18.75" customHeight="1">
      <c r="A230" s="142"/>
      <c r="B230" s="143"/>
      <c r="C230" s="370">
        <v>704</v>
      </c>
      <c r="D230" s="371"/>
      <c r="E230" s="371"/>
      <c r="F230" s="371"/>
      <c r="G230" s="136">
        <v>622</v>
      </c>
      <c r="H230" s="137" t="s">
        <v>338</v>
      </c>
      <c r="I230" s="146">
        <v>27</v>
      </c>
      <c r="J230" s="139">
        <v>7</v>
      </c>
      <c r="K230" s="139">
        <v>7</v>
      </c>
      <c r="L230" s="140"/>
      <c r="M230" s="141"/>
      <c r="N230" s="141"/>
      <c r="O230" s="141"/>
      <c r="P230" s="138"/>
      <c r="Q230" s="213">
        <f>Q231</f>
        <v>124.7</v>
      </c>
      <c r="R230" s="213">
        <f>R231</f>
        <v>550</v>
      </c>
      <c r="S230" s="213">
        <f>S231</f>
        <v>550</v>
      </c>
    </row>
    <row r="231" spans="1:19" ht="18.75" customHeight="1">
      <c r="A231" s="99"/>
      <c r="B231" s="98"/>
      <c r="C231" s="97"/>
      <c r="D231" s="94"/>
      <c r="E231" s="94"/>
      <c r="F231" s="94"/>
      <c r="G231" s="89"/>
      <c r="H231" s="5" t="s">
        <v>669</v>
      </c>
      <c r="I231" s="6">
        <v>27</v>
      </c>
      <c r="J231" s="16">
        <v>7</v>
      </c>
      <c r="K231" s="16">
        <v>7</v>
      </c>
      <c r="L231" s="95" t="s">
        <v>668</v>
      </c>
      <c r="M231" s="96" t="s">
        <v>563</v>
      </c>
      <c r="N231" s="96" t="s">
        <v>583</v>
      </c>
      <c r="O231" s="96" t="s">
        <v>620</v>
      </c>
      <c r="P231" s="10"/>
      <c r="Q231" s="214">
        <f>Q232+Q239+Q242</f>
        <v>124.7</v>
      </c>
      <c r="R231" s="214">
        <f>R232+R239+R242</f>
        <v>550</v>
      </c>
      <c r="S231" s="214">
        <f>S232+S239+S242</f>
        <v>550</v>
      </c>
    </row>
    <row r="232" spans="1:19" ht="38.25" customHeight="1">
      <c r="A232" s="99"/>
      <c r="B232" s="98"/>
      <c r="C232" s="97"/>
      <c r="D232" s="363">
        <v>4270000</v>
      </c>
      <c r="E232" s="363"/>
      <c r="F232" s="363"/>
      <c r="G232" s="89">
        <v>622</v>
      </c>
      <c r="H232" s="18" t="s">
        <v>671</v>
      </c>
      <c r="I232" s="6">
        <v>27</v>
      </c>
      <c r="J232" s="16">
        <v>7</v>
      </c>
      <c r="K232" s="16">
        <v>7</v>
      </c>
      <c r="L232" s="95" t="s">
        <v>668</v>
      </c>
      <c r="M232" s="96" t="s">
        <v>563</v>
      </c>
      <c r="N232" s="96" t="s">
        <v>564</v>
      </c>
      <c r="O232" s="96" t="s">
        <v>620</v>
      </c>
      <c r="P232" s="10"/>
      <c r="Q232" s="214">
        <f>Q233+Q237+Q235</f>
        <v>102.7</v>
      </c>
      <c r="R232" s="214">
        <f>R233+R237</f>
        <v>200</v>
      </c>
      <c r="S232" s="214">
        <f>S233+S237</f>
        <v>200</v>
      </c>
    </row>
    <row r="233" spans="1:19" ht="28.5" customHeight="1">
      <c r="A233" s="99"/>
      <c r="B233" s="98"/>
      <c r="C233" s="97"/>
      <c r="D233" s="101"/>
      <c r="E233" s="115"/>
      <c r="F233" s="115"/>
      <c r="G233" s="89"/>
      <c r="H233" s="18" t="s">
        <v>262</v>
      </c>
      <c r="I233" s="6">
        <v>27</v>
      </c>
      <c r="J233" s="16">
        <v>7</v>
      </c>
      <c r="K233" s="16">
        <v>7</v>
      </c>
      <c r="L233" s="95" t="s">
        <v>668</v>
      </c>
      <c r="M233" s="96" t="s">
        <v>563</v>
      </c>
      <c r="N233" s="96" t="s">
        <v>564</v>
      </c>
      <c r="O233" s="96" t="s">
        <v>263</v>
      </c>
      <c r="P233" s="6"/>
      <c r="Q233" s="216">
        <f>Q234</f>
        <v>22.700000000000003</v>
      </c>
      <c r="R233" s="216">
        <f>R234</f>
        <v>200</v>
      </c>
      <c r="S233" s="216">
        <f>S234</f>
        <v>200</v>
      </c>
    </row>
    <row r="234" spans="1:19" ht="21.75" customHeight="1">
      <c r="A234" s="99"/>
      <c r="B234" s="98"/>
      <c r="C234" s="97"/>
      <c r="D234" s="101"/>
      <c r="E234" s="115"/>
      <c r="F234" s="115"/>
      <c r="G234" s="89"/>
      <c r="H234" s="257" t="s">
        <v>722</v>
      </c>
      <c r="I234" s="6">
        <v>27</v>
      </c>
      <c r="J234" s="16">
        <v>7</v>
      </c>
      <c r="K234" s="16">
        <v>7</v>
      </c>
      <c r="L234" s="95" t="s">
        <v>668</v>
      </c>
      <c r="M234" s="96" t="s">
        <v>563</v>
      </c>
      <c r="N234" s="96" t="s">
        <v>564</v>
      </c>
      <c r="O234" s="96" t="s">
        <v>263</v>
      </c>
      <c r="P234" s="6">
        <v>610</v>
      </c>
      <c r="Q234" s="216">
        <f>200-40-50-87.3</f>
        <v>22.700000000000003</v>
      </c>
      <c r="R234" s="216">
        <v>200</v>
      </c>
      <c r="S234" s="216">
        <v>200</v>
      </c>
    </row>
    <row r="235" spans="1:19" ht="21.75" customHeight="1">
      <c r="A235" s="99"/>
      <c r="B235" s="98"/>
      <c r="C235" s="97"/>
      <c r="D235" s="101"/>
      <c r="E235" s="115"/>
      <c r="F235" s="115"/>
      <c r="G235" s="89"/>
      <c r="H235" s="257" t="s">
        <v>189</v>
      </c>
      <c r="I235" s="6">
        <v>27</v>
      </c>
      <c r="J235" s="16">
        <v>7</v>
      </c>
      <c r="K235" s="16">
        <v>7</v>
      </c>
      <c r="L235" s="95" t="s">
        <v>668</v>
      </c>
      <c r="M235" s="96" t="s">
        <v>563</v>
      </c>
      <c r="N235" s="96" t="s">
        <v>564</v>
      </c>
      <c r="O235" s="96" t="s">
        <v>188</v>
      </c>
      <c r="P235" s="6"/>
      <c r="Q235" s="216">
        <f>Q236</f>
        <v>40</v>
      </c>
      <c r="R235" s="216"/>
      <c r="S235" s="216"/>
    </row>
    <row r="236" spans="1:19" ht="21.75" customHeight="1">
      <c r="A236" s="99"/>
      <c r="B236" s="98"/>
      <c r="C236" s="97"/>
      <c r="D236" s="101"/>
      <c r="E236" s="115"/>
      <c r="F236" s="115"/>
      <c r="G236" s="89"/>
      <c r="H236" s="116" t="s">
        <v>720</v>
      </c>
      <c r="I236" s="6">
        <v>27</v>
      </c>
      <c r="J236" s="16">
        <v>7</v>
      </c>
      <c r="K236" s="16">
        <v>7</v>
      </c>
      <c r="L236" s="95" t="s">
        <v>668</v>
      </c>
      <c r="M236" s="96" t="s">
        <v>563</v>
      </c>
      <c r="N236" s="96" t="s">
        <v>564</v>
      </c>
      <c r="O236" s="96" t="s">
        <v>188</v>
      </c>
      <c r="P236" s="6">
        <v>240</v>
      </c>
      <c r="Q236" s="216">
        <v>40</v>
      </c>
      <c r="R236" s="216"/>
      <c r="S236" s="216"/>
    </row>
    <row r="237" spans="1:19" ht="36.75" customHeight="1">
      <c r="A237" s="99"/>
      <c r="B237" s="98"/>
      <c r="C237" s="97"/>
      <c r="D237" s="101"/>
      <c r="E237" s="115"/>
      <c r="F237" s="115"/>
      <c r="G237" s="89"/>
      <c r="H237" s="5" t="s">
        <v>670</v>
      </c>
      <c r="I237" s="6">
        <v>27</v>
      </c>
      <c r="J237" s="16">
        <v>7</v>
      </c>
      <c r="K237" s="16">
        <v>7</v>
      </c>
      <c r="L237" s="95" t="s">
        <v>668</v>
      </c>
      <c r="M237" s="96" t="s">
        <v>563</v>
      </c>
      <c r="N237" s="96" t="s">
        <v>564</v>
      </c>
      <c r="O237" s="96" t="s">
        <v>241</v>
      </c>
      <c r="P237" s="6"/>
      <c r="Q237" s="216">
        <f>Q238</f>
        <v>40</v>
      </c>
      <c r="R237" s="216">
        <f>R238</f>
        <v>0</v>
      </c>
      <c r="S237" s="216">
        <f>S238</f>
        <v>0</v>
      </c>
    </row>
    <row r="238" spans="1:19" ht="27" customHeight="1">
      <c r="A238" s="99"/>
      <c r="B238" s="98"/>
      <c r="C238" s="103"/>
      <c r="D238" s="101"/>
      <c r="E238" s="113"/>
      <c r="F238" s="113"/>
      <c r="G238" s="105"/>
      <c r="H238" s="257" t="s">
        <v>722</v>
      </c>
      <c r="I238" s="6">
        <v>27</v>
      </c>
      <c r="J238" s="19">
        <v>7</v>
      </c>
      <c r="K238" s="16">
        <v>7</v>
      </c>
      <c r="L238" s="95" t="s">
        <v>668</v>
      </c>
      <c r="M238" s="96" t="s">
        <v>563</v>
      </c>
      <c r="N238" s="96" t="s">
        <v>564</v>
      </c>
      <c r="O238" s="96" t="s">
        <v>241</v>
      </c>
      <c r="P238" s="6">
        <v>610</v>
      </c>
      <c r="Q238" s="216">
        <v>40</v>
      </c>
      <c r="R238" s="216">
        <v>0</v>
      </c>
      <c r="S238" s="216">
        <v>0</v>
      </c>
    </row>
    <row r="239" spans="1:19" ht="33.75" customHeight="1">
      <c r="A239" s="99"/>
      <c r="B239" s="98"/>
      <c r="C239" s="103"/>
      <c r="D239" s="101"/>
      <c r="E239" s="113"/>
      <c r="F239" s="113"/>
      <c r="G239" s="105"/>
      <c r="H239" s="129" t="s">
        <v>672</v>
      </c>
      <c r="I239" s="6">
        <v>27</v>
      </c>
      <c r="J239" s="19">
        <v>7</v>
      </c>
      <c r="K239" s="16">
        <v>7</v>
      </c>
      <c r="L239" s="95" t="s">
        <v>668</v>
      </c>
      <c r="M239" s="96" t="s">
        <v>563</v>
      </c>
      <c r="N239" s="96" t="s">
        <v>592</v>
      </c>
      <c r="O239" s="96" t="s">
        <v>620</v>
      </c>
      <c r="P239" s="6"/>
      <c r="Q239" s="216">
        <f aca="true" t="shared" si="18" ref="Q239:S240">Q240</f>
        <v>12.5</v>
      </c>
      <c r="R239" s="216">
        <f t="shared" si="18"/>
        <v>200</v>
      </c>
      <c r="S239" s="216">
        <f t="shared" si="18"/>
        <v>200</v>
      </c>
    </row>
    <row r="240" spans="1:19" ht="27" customHeight="1">
      <c r="A240" s="99"/>
      <c r="B240" s="98"/>
      <c r="C240" s="103"/>
      <c r="D240" s="101"/>
      <c r="E240" s="113"/>
      <c r="F240" s="113"/>
      <c r="G240" s="105"/>
      <c r="H240" s="129" t="s">
        <v>262</v>
      </c>
      <c r="I240" s="6">
        <v>27</v>
      </c>
      <c r="J240" s="19">
        <v>7</v>
      </c>
      <c r="K240" s="16">
        <v>7</v>
      </c>
      <c r="L240" s="95" t="s">
        <v>668</v>
      </c>
      <c r="M240" s="96" t="s">
        <v>563</v>
      </c>
      <c r="N240" s="96" t="s">
        <v>592</v>
      </c>
      <c r="O240" s="96" t="s">
        <v>263</v>
      </c>
      <c r="P240" s="6"/>
      <c r="Q240" s="216">
        <f t="shared" si="18"/>
        <v>12.5</v>
      </c>
      <c r="R240" s="216">
        <f t="shared" si="18"/>
        <v>200</v>
      </c>
      <c r="S240" s="216">
        <f t="shared" si="18"/>
        <v>200</v>
      </c>
    </row>
    <row r="241" spans="1:19" ht="27" customHeight="1">
      <c r="A241" s="99"/>
      <c r="B241" s="98"/>
      <c r="C241" s="103"/>
      <c r="D241" s="101"/>
      <c r="E241" s="113"/>
      <c r="F241" s="113"/>
      <c r="G241" s="105"/>
      <c r="H241" s="257" t="s">
        <v>722</v>
      </c>
      <c r="I241" s="6">
        <v>27</v>
      </c>
      <c r="J241" s="19">
        <v>7</v>
      </c>
      <c r="K241" s="16">
        <v>7</v>
      </c>
      <c r="L241" s="95" t="s">
        <v>668</v>
      </c>
      <c r="M241" s="96" t="s">
        <v>563</v>
      </c>
      <c r="N241" s="96" t="s">
        <v>592</v>
      </c>
      <c r="O241" s="96" t="s">
        <v>263</v>
      </c>
      <c r="P241" s="6">
        <v>610</v>
      </c>
      <c r="Q241" s="216">
        <f>100-50-37.5</f>
        <v>12.5</v>
      </c>
      <c r="R241" s="216">
        <v>200</v>
      </c>
      <c r="S241" s="216">
        <v>200</v>
      </c>
    </row>
    <row r="242" spans="1:19" ht="33" customHeight="1">
      <c r="A242" s="99"/>
      <c r="B242" s="98"/>
      <c r="C242" s="103"/>
      <c r="D242" s="101"/>
      <c r="E242" s="113"/>
      <c r="F242" s="113"/>
      <c r="G242" s="105"/>
      <c r="H242" s="129" t="s">
        <v>673</v>
      </c>
      <c r="I242" s="6">
        <v>27</v>
      </c>
      <c r="J242" s="19">
        <v>7</v>
      </c>
      <c r="K242" s="16">
        <v>7</v>
      </c>
      <c r="L242" s="95" t="s">
        <v>668</v>
      </c>
      <c r="M242" s="96" t="s">
        <v>563</v>
      </c>
      <c r="N242" s="96" t="s">
        <v>593</v>
      </c>
      <c r="O242" s="96" t="s">
        <v>620</v>
      </c>
      <c r="P242" s="6"/>
      <c r="Q242" s="216">
        <f aca="true" t="shared" si="19" ref="Q242:S243">Q243</f>
        <v>9.5</v>
      </c>
      <c r="R242" s="216">
        <f t="shared" si="19"/>
        <v>150</v>
      </c>
      <c r="S242" s="216">
        <f t="shared" si="19"/>
        <v>150</v>
      </c>
    </row>
    <row r="243" spans="1:19" ht="27" customHeight="1">
      <c r="A243" s="99"/>
      <c r="B243" s="98"/>
      <c r="C243" s="103"/>
      <c r="D243" s="101"/>
      <c r="E243" s="113"/>
      <c r="F243" s="113"/>
      <c r="G243" s="105"/>
      <c r="H243" s="129" t="s">
        <v>262</v>
      </c>
      <c r="I243" s="6">
        <v>27</v>
      </c>
      <c r="J243" s="19">
        <v>7</v>
      </c>
      <c r="K243" s="16">
        <v>7</v>
      </c>
      <c r="L243" s="95" t="s">
        <v>668</v>
      </c>
      <c r="M243" s="96" t="s">
        <v>563</v>
      </c>
      <c r="N243" s="96" t="s">
        <v>593</v>
      </c>
      <c r="O243" s="96" t="s">
        <v>263</v>
      </c>
      <c r="P243" s="6"/>
      <c r="Q243" s="216">
        <f t="shared" si="19"/>
        <v>9.5</v>
      </c>
      <c r="R243" s="216">
        <f t="shared" si="19"/>
        <v>150</v>
      </c>
      <c r="S243" s="216">
        <f t="shared" si="19"/>
        <v>150</v>
      </c>
    </row>
    <row r="244" spans="1:19" ht="27" customHeight="1">
      <c r="A244" s="99"/>
      <c r="B244" s="98"/>
      <c r="C244" s="103"/>
      <c r="D244" s="101"/>
      <c r="E244" s="113"/>
      <c r="F244" s="113"/>
      <c r="G244" s="105"/>
      <c r="H244" s="257" t="s">
        <v>722</v>
      </c>
      <c r="I244" s="6">
        <v>27</v>
      </c>
      <c r="J244" s="19">
        <v>7</v>
      </c>
      <c r="K244" s="16">
        <v>7</v>
      </c>
      <c r="L244" s="95" t="s">
        <v>668</v>
      </c>
      <c r="M244" s="96" t="s">
        <v>563</v>
      </c>
      <c r="N244" s="96" t="s">
        <v>593</v>
      </c>
      <c r="O244" s="96" t="s">
        <v>263</v>
      </c>
      <c r="P244" s="6">
        <v>610</v>
      </c>
      <c r="Q244" s="216">
        <f>100-15.3-75.2</f>
        <v>9.5</v>
      </c>
      <c r="R244" s="216">
        <v>150</v>
      </c>
      <c r="S244" s="216">
        <v>150</v>
      </c>
    </row>
    <row r="245" spans="1:19" s="179" customFormat="1" ht="24.75" customHeight="1">
      <c r="A245" s="142"/>
      <c r="B245" s="143"/>
      <c r="C245" s="142"/>
      <c r="D245" s="380">
        <v>10000</v>
      </c>
      <c r="E245" s="381"/>
      <c r="F245" s="381"/>
      <c r="G245" s="136">
        <v>240</v>
      </c>
      <c r="H245" s="137" t="s">
        <v>542</v>
      </c>
      <c r="I245" s="138">
        <v>27</v>
      </c>
      <c r="J245" s="139">
        <v>8</v>
      </c>
      <c r="K245" s="139"/>
      <c r="L245" s="140"/>
      <c r="M245" s="141"/>
      <c r="N245" s="141"/>
      <c r="O245" s="141"/>
      <c r="P245" s="138"/>
      <c r="Q245" s="213">
        <f aca="true" t="shared" si="20" ref="Q245:S246">Q246</f>
        <v>45098</v>
      </c>
      <c r="R245" s="213">
        <f t="shared" si="20"/>
        <v>28683.5</v>
      </c>
      <c r="S245" s="213">
        <f t="shared" si="20"/>
        <v>26972.6</v>
      </c>
    </row>
    <row r="246" spans="1:19" s="179" customFormat="1" ht="25.5" customHeight="1">
      <c r="A246" s="142"/>
      <c r="B246" s="143"/>
      <c r="C246" s="153"/>
      <c r="D246" s="150"/>
      <c r="E246" s="379">
        <v>15200</v>
      </c>
      <c r="F246" s="379"/>
      <c r="G246" s="136">
        <v>240</v>
      </c>
      <c r="H246" s="137" t="s">
        <v>381</v>
      </c>
      <c r="I246" s="138">
        <v>27</v>
      </c>
      <c r="J246" s="139">
        <v>8</v>
      </c>
      <c r="K246" s="139">
        <v>1</v>
      </c>
      <c r="L246" s="140"/>
      <c r="M246" s="141"/>
      <c r="N246" s="141"/>
      <c r="O246" s="141"/>
      <c r="P246" s="138"/>
      <c r="Q246" s="213">
        <f t="shared" si="20"/>
        <v>45098</v>
      </c>
      <c r="R246" s="213">
        <f t="shared" si="20"/>
        <v>28683.5</v>
      </c>
      <c r="S246" s="213">
        <f t="shared" si="20"/>
        <v>26972.6</v>
      </c>
    </row>
    <row r="247" spans="1:19" ht="25.5" customHeight="1">
      <c r="A247" s="99"/>
      <c r="B247" s="98"/>
      <c r="C247" s="103"/>
      <c r="D247" s="101"/>
      <c r="E247" s="367">
        <v>20400</v>
      </c>
      <c r="F247" s="367"/>
      <c r="G247" s="89">
        <v>850</v>
      </c>
      <c r="H247" s="5" t="s">
        <v>665</v>
      </c>
      <c r="I247" s="10">
        <v>27</v>
      </c>
      <c r="J247" s="16">
        <v>8</v>
      </c>
      <c r="K247" s="16">
        <v>1</v>
      </c>
      <c r="L247" s="95" t="s">
        <v>666</v>
      </c>
      <c r="M247" s="96" t="s">
        <v>563</v>
      </c>
      <c r="N247" s="96" t="s">
        <v>583</v>
      </c>
      <c r="O247" s="96" t="s">
        <v>620</v>
      </c>
      <c r="P247" s="10"/>
      <c r="Q247" s="214">
        <f>Q248+Q257+Q262</f>
        <v>45098</v>
      </c>
      <c r="R247" s="214">
        <f>R248+R257+R262</f>
        <v>28683.5</v>
      </c>
      <c r="S247" s="214">
        <f>S248+S257+S262</f>
        <v>26972.6</v>
      </c>
    </row>
    <row r="248" spans="1:19" ht="39.75" customHeight="1">
      <c r="A248" s="99"/>
      <c r="B248" s="98"/>
      <c r="C248" s="103"/>
      <c r="D248" s="101"/>
      <c r="E248" s="113"/>
      <c r="F248" s="113"/>
      <c r="G248" s="105">
        <v>120</v>
      </c>
      <c r="H248" s="18" t="s">
        <v>301</v>
      </c>
      <c r="I248" s="6">
        <v>27</v>
      </c>
      <c r="J248" s="16">
        <v>8</v>
      </c>
      <c r="K248" s="16">
        <v>1</v>
      </c>
      <c r="L248" s="95" t="s">
        <v>666</v>
      </c>
      <c r="M248" s="96" t="s">
        <v>563</v>
      </c>
      <c r="N248" s="96" t="s">
        <v>564</v>
      </c>
      <c r="O248" s="96" t="s">
        <v>620</v>
      </c>
      <c r="P248" s="6"/>
      <c r="Q248" s="216">
        <f>Q249+Q253+Q255+Q251</f>
        <v>13072.400000000001</v>
      </c>
      <c r="R248" s="216">
        <f>R249+R253+R255</f>
        <v>14682.6</v>
      </c>
      <c r="S248" s="216">
        <f>S249+S253+S255</f>
        <v>14521.6</v>
      </c>
    </row>
    <row r="249" spans="1:19" ht="25.5" customHeight="1">
      <c r="A249" s="99"/>
      <c r="B249" s="98"/>
      <c r="C249" s="103"/>
      <c r="D249" s="101"/>
      <c r="E249" s="113"/>
      <c r="F249" s="113"/>
      <c r="G249" s="105"/>
      <c r="H249" s="18" t="s">
        <v>303</v>
      </c>
      <c r="I249" s="10">
        <v>27</v>
      </c>
      <c r="J249" s="16">
        <v>8</v>
      </c>
      <c r="K249" s="16">
        <v>1</v>
      </c>
      <c r="L249" s="95" t="s">
        <v>666</v>
      </c>
      <c r="M249" s="96" t="s">
        <v>563</v>
      </c>
      <c r="N249" s="96" t="s">
        <v>564</v>
      </c>
      <c r="O249" s="96" t="s">
        <v>302</v>
      </c>
      <c r="P249" s="6"/>
      <c r="Q249" s="216">
        <f>Q250</f>
        <v>9887.2</v>
      </c>
      <c r="R249" s="216">
        <f>R250</f>
        <v>12161</v>
      </c>
      <c r="S249" s="216">
        <f>S250</f>
        <v>12000</v>
      </c>
    </row>
    <row r="250" spans="1:19" ht="24.75" customHeight="1">
      <c r="A250" s="99"/>
      <c r="B250" s="98"/>
      <c r="C250" s="103"/>
      <c r="D250" s="101"/>
      <c r="E250" s="113"/>
      <c r="F250" s="113"/>
      <c r="G250" s="105"/>
      <c r="H250" s="257" t="s">
        <v>722</v>
      </c>
      <c r="I250" s="10">
        <v>27</v>
      </c>
      <c r="J250" s="16">
        <v>8</v>
      </c>
      <c r="K250" s="16">
        <v>1</v>
      </c>
      <c r="L250" s="95" t="s">
        <v>666</v>
      </c>
      <c r="M250" s="96" t="s">
        <v>563</v>
      </c>
      <c r="N250" s="96" t="s">
        <v>564</v>
      </c>
      <c r="O250" s="96" t="s">
        <v>302</v>
      </c>
      <c r="P250" s="6">
        <v>610</v>
      </c>
      <c r="Q250" s="216">
        <v>9887.2</v>
      </c>
      <c r="R250" s="216">
        <v>12161</v>
      </c>
      <c r="S250" s="216">
        <v>12000</v>
      </c>
    </row>
    <row r="251" spans="1:19" ht="30" customHeight="1">
      <c r="A251" s="99"/>
      <c r="B251" s="98"/>
      <c r="C251" s="103"/>
      <c r="D251" s="101"/>
      <c r="E251" s="113"/>
      <c r="F251" s="113"/>
      <c r="G251" s="105"/>
      <c r="H251" s="257" t="s">
        <v>61</v>
      </c>
      <c r="I251" s="10">
        <v>27</v>
      </c>
      <c r="J251" s="16">
        <v>8</v>
      </c>
      <c r="K251" s="16">
        <v>1</v>
      </c>
      <c r="L251" s="95" t="s">
        <v>666</v>
      </c>
      <c r="M251" s="96" t="s">
        <v>563</v>
      </c>
      <c r="N251" s="96" t="s">
        <v>564</v>
      </c>
      <c r="O251" s="96" t="s">
        <v>60</v>
      </c>
      <c r="P251" s="6"/>
      <c r="Q251" s="216">
        <f>Q252</f>
        <v>1224.1</v>
      </c>
      <c r="R251" s="216"/>
      <c r="S251" s="216"/>
    </row>
    <row r="252" spans="1:19" ht="24.75" customHeight="1">
      <c r="A252" s="99"/>
      <c r="B252" s="98"/>
      <c r="C252" s="103"/>
      <c r="D252" s="101"/>
      <c r="E252" s="113"/>
      <c r="F252" s="113"/>
      <c r="G252" s="105"/>
      <c r="H252" s="257" t="s">
        <v>722</v>
      </c>
      <c r="I252" s="10">
        <v>27</v>
      </c>
      <c r="J252" s="16">
        <v>8</v>
      </c>
      <c r="K252" s="16">
        <v>1</v>
      </c>
      <c r="L252" s="95" t="s">
        <v>666</v>
      </c>
      <c r="M252" s="96" t="s">
        <v>563</v>
      </c>
      <c r="N252" s="96" t="s">
        <v>564</v>
      </c>
      <c r="O252" s="96" t="s">
        <v>60</v>
      </c>
      <c r="P252" s="6">
        <v>610</v>
      </c>
      <c r="Q252" s="216">
        <v>1224.1</v>
      </c>
      <c r="R252" s="216"/>
      <c r="S252" s="216"/>
    </row>
    <row r="253" spans="1:19" ht="24.75" customHeight="1">
      <c r="A253" s="99"/>
      <c r="B253" s="98"/>
      <c r="C253" s="103"/>
      <c r="D253" s="101"/>
      <c r="E253" s="113"/>
      <c r="F253" s="113"/>
      <c r="G253" s="105"/>
      <c r="H253" s="5" t="s">
        <v>813</v>
      </c>
      <c r="I253" s="10">
        <v>27</v>
      </c>
      <c r="J253" s="16">
        <v>8</v>
      </c>
      <c r="K253" s="16">
        <v>1</v>
      </c>
      <c r="L253" s="95" t="s">
        <v>666</v>
      </c>
      <c r="M253" s="96" t="s">
        <v>563</v>
      </c>
      <c r="N253" s="96" t="s">
        <v>564</v>
      </c>
      <c r="O253" s="96" t="s">
        <v>812</v>
      </c>
      <c r="P253" s="6"/>
      <c r="Q253" s="216">
        <f>Q254</f>
        <v>340</v>
      </c>
      <c r="R253" s="216">
        <f>R254</f>
        <v>340</v>
      </c>
      <c r="S253" s="216">
        <f>S254</f>
        <v>340</v>
      </c>
    </row>
    <row r="254" spans="1:19" ht="24" customHeight="1">
      <c r="A254" s="99"/>
      <c r="B254" s="98"/>
      <c r="C254" s="103"/>
      <c r="D254" s="101"/>
      <c r="E254" s="113"/>
      <c r="F254" s="113"/>
      <c r="G254" s="105"/>
      <c r="H254" s="257" t="s">
        <v>722</v>
      </c>
      <c r="I254" s="10">
        <v>27</v>
      </c>
      <c r="J254" s="16">
        <v>8</v>
      </c>
      <c r="K254" s="16">
        <v>1</v>
      </c>
      <c r="L254" s="95" t="s">
        <v>666</v>
      </c>
      <c r="M254" s="96" t="s">
        <v>563</v>
      </c>
      <c r="N254" s="96" t="s">
        <v>564</v>
      </c>
      <c r="O254" s="96" t="s">
        <v>812</v>
      </c>
      <c r="P254" s="6">
        <v>610</v>
      </c>
      <c r="Q254" s="216">
        <v>340</v>
      </c>
      <c r="R254" s="216">
        <v>340</v>
      </c>
      <c r="S254" s="216">
        <v>340</v>
      </c>
    </row>
    <row r="255" spans="1:19" ht="27" customHeight="1">
      <c r="A255" s="99"/>
      <c r="B255" s="98"/>
      <c r="C255" s="103"/>
      <c r="D255" s="101"/>
      <c r="E255" s="113"/>
      <c r="F255" s="113"/>
      <c r="G255" s="105"/>
      <c r="H255" s="5" t="s">
        <v>675</v>
      </c>
      <c r="I255" s="10">
        <v>27</v>
      </c>
      <c r="J255" s="16">
        <v>8</v>
      </c>
      <c r="K255" s="16">
        <v>1</v>
      </c>
      <c r="L255" s="95" t="s">
        <v>666</v>
      </c>
      <c r="M255" s="96" t="s">
        <v>563</v>
      </c>
      <c r="N255" s="96" t="s">
        <v>564</v>
      </c>
      <c r="O255" s="96" t="s">
        <v>6</v>
      </c>
      <c r="P255" s="6"/>
      <c r="Q255" s="216">
        <f>Q256</f>
        <v>1621.1</v>
      </c>
      <c r="R255" s="216">
        <f>R256</f>
        <v>2181.6</v>
      </c>
      <c r="S255" s="216">
        <f>S256</f>
        <v>2181.6</v>
      </c>
    </row>
    <row r="256" spans="1:19" ht="30" customHeight="1">
      <c r="A256" s="99"/>
      <c r="B256" s="98"/>
      <c r="C256" s="103"/>
      <c r="D256" s="101"/>
      <c r="E256" s="113"/>
      <c r="F256" s="113"/>
      <c r="G256" s="105"/>
      <c r="H256" s="257" t="s">
        <v>722</v>
      </c>
      <c r="I256" s="10">
        <v>27</v>
      </c>
      <c r="J256" s="16">
        <v>8</v>
      </c>
      <c r="K256" s="16">
        <v>1</v>
      </c>
      <c r="L256" s="95" t="s">
        <v>666</v>
      </c>
      <c r="M256" s="96" t="s">
        <v>563</v>
      </c>
      <c r="N256" s="96" t="s">
        <v>564</v>
      </c>
      <c r="O256" s="96" t="s">
        <v>6</v>
      </c>
      <c r="P256" s="6">
        <v>610</v>
      </c>
      <c r="Q256" s="216">
        <f>1572+49.1</f>
        <v>1621.1</v>
      </c>
      <c r="R256" s="216">
        <v>2181.6</v>
      </c>
      <c r="S256" s="216">
        <v>2181.6</v>
      </c>
    </row>
    <row r="257" spans="1:19" ht="32.25" customHeight="1">
      <c r="A257" s="99"/>
      <c r="B257" s="98"/>
      <c r="C257" s="103"/>
      <c r="D257" s="101"/>
      <c r="E257" s="113"/>
      <c r="F257" s="113"/>
      <c r="G257" s="105"/>
      <c r="H257" s="5" t="s">
        <v>676</v>
      </c>
      <c r="I257" s="10">
        <v>27</v>
      </c>
      <c r="J257" s="16">
        <v>8</v>
      </c>
      <c r="K257" s="16">
        <v>1</v>
      </c>
      <c r="L257" s="95" t="s">
        <v>666</v>
      </c>
      <c r="M257" s="96" t="s">
        <v>563</v>
      </c>
      <c r="N257" s="96" t="s">
        <v>592</v>
      </c>
      <c r="O257" s="96" t="s">
        <v>620</v>
      </c>
      <c r="P257" s="6"/>
      <c r="Q257" s="216">
        <f>Q258+Q260</f>
        <v>11780.6</v>
      </c>
      <c r="R257" s="216">
        <f aca="true" t="shared" si="21" ref="Q257:S258">R258</f>
        <v>14000.9</v>
      </c>
      <c r="S257" s="216">
        <f t="shared" si="21"/>
        <v>12451</v>
      </c>
    </row>
    <row r="258" spans="1:19" ht="33" customHeight="1">
      <c r="A258" s="99"/>
      <c r="B258" s="98"/>
      <c r="C258" s="103"/>
      <c r="D258" s="101"/>
      <c r="E258" s="113"/>
      <c r="F258" s="113"/>
      <c r="G258" s="105"/>
      <c r="H258" s="5" t="s">
        <v>262</v>
      </c>
      <c r="I258" s="10">
        <v>27</v>
      </c>
      <c r="J258" s="16">
        <v>8</v>
      </c>
      <c r="K258" s="16">
        <v>1</v>
      </c>
      <c r="L258" s="95" t="s">
        <v>666</v>
      </c>
      <c r="M258" s="96" t="s">
        <v>563</v>
      </c>
      <c r="N258" s="96" t="s">
        <v>592</v>
      </c>
      <c r="O258" s="96" t="s">
        <v>263</v>
      </c>
      <c r="P258" s="6"/>
      <c r="Q258" s="216">
        <f t="shared" si="21"/>
        <v>9107.6</v>
      </c>
      <c r="R258" s="216">
        <f t="shared" si="21"/>
        <v>14000.9</v>
      </c>
      <c r="S258" s="216">
        <f t="shared" si="21"/>
        <v>12451</v>
      </c>
    </row>
    <row r="259" spans="1:19" ht="27" customHeight="1">
      <c r="A259" s="99"/>
      <c r="B259" s="98"/>
      <c r="C259" s="103"/>
      <c r="D259" s="101"/>
      <c r="E259" s="113"/>
      <c r="F259" s="113"/>
      <c r="G259" s="105"/>
      <c r="H259" s="5" t="s">
        <v>722</v>
      </c>
      <c r="I259" s="10">
        <v>27</v>
      </c>
      <c r="J259" s="16">
        <v>8</v>
      </c>
      <c r="K259" s="16">
        <v>1</v>
      </c>
      <c r="L259" s="95" t="s">
        <v>666</v>
      </c>
      <c r="M259" s="96" t="s">
        <v>563</v>
      </c>
      <c r="N259" s="96" t="s">
        <v>592</v>
      </c>
      <c r="O259" s="96" t="s">
        <v>263</v>
      </c>
      <c r="P259" s="6">
        <v>610</v>
      </c>
      <c r="Q259" s="216">
        <f>11247.6-2000-2200+2000+60</f>
        <v>9107.6</v>
      </c>
      <c r="R259" s="216">
        <v>14000.9</v>
      </c>
      <c r="S259" s="216">
        <v>12451</v>
      </c>
    </row>
    <row r="260" spans="1:19" ht="33.75" customHeight="1">
      <c r="A260" s="99"/>
      <c r="B260" s="98"/>
      <c r="C260" s="103"/>
      <c r="D260" s="101"/>
      <c r="E260" s="113"/>
      <c r="F260" s="113"/>
      <c r="G260" s="105"/>
      <c r="H260" s="257" t="s">
        <v>61</v>
      </c>
      <c r="I260" s="10">
        <v>27</v>
      </c>
      <c r="J260" s="16">
        <v>8</v>
      </c>
      <c r="K260" s="16">
        <v>1</v>
      </c>
      <c r="L260" s="95" t="s">
        <v>666</v>
      </c>
      <c r="M260" s="96" t="s">
        <v>563</v>
      </c>
      <c r="N260" s="96" t="s">
        <v>592</v>
      </c>
      <c r="O260" s="96" t="s">
        <v>60</v>
      </c>
      <c r="P260" s="6"/>
      <c r="Q260" s="216">
        <f>Q261</f>
        <v>2673</v>
      </c>
      <c r="R260" s="216"/>
      <c r="S260" s="216"/>
    </row>
    <row r="261" spans="1:19" ht="27" customHeight="1">
      <c r="A261" s="99"/>
      <c r="B261" s="98"/>
      <c r="C261" s="103"/>
      <c r="D261" s="101"/>
      <c r="E261" s="113"/>
      <c r="F261" s="113"/>
      <c r="G261" s="105"/>
      <c r="H261" s="257" t="s">
        <v>722</v>
      </c>
      <c r="I261" s="10">
        <v>27</v>
      </c>
      <c r="J261" s="16">
        <v>8</v>
      </c>
      <c r="K261" s="16">
        <v>1</v>
      </c>
      <c r="L261" s="95" t="s">
        <v>666</v>
      </c>
      <c r="M261" s="96" t="s">
        <v>563</v>
      </c>
      <c r="N261" s="96" t="s">
        <v>592</v>
      </c>
      <c r="O261" s="96" t="s">
        <v>60</v>
      </c>
      <c r="P261" s="6">
        <v>610</v>
      </c>
      <c r="Q261" s="216">
        <v>2673</v>
      </c>
      <c r="R261" s="216"/>
      <c r="S261" s="216"/>
    </row>
    <row r="262" spans="1:19" ht="42" customHeight="1">
      <c r="A262" s="99"/>
      <c r="B262" s="98"/>
      <c r="C262" s="103"/>
      <c r="D262" s="101"/>
      <c r="E262" s="113"/>
      <c r="F262" s="113"/>
      <c r="G262" s="105"/>
      <c r="H262" s="5" t="s">
        <v>368</v>
      </c>
      <c r="I262" s="10">
        <v>27</v>
      </c>
      <c r="J262" s="16">
        <v>8</v>
      </c>
      <c r="K262" s="16">
        <v>1</v>
      </c>
      <c r="L262" s="95" t="s">
        <v>666</v>
      </c>
      <c r="M262" s="96" t="s">
        <v>563</v>
      </c>
      <c r="N262" s="96" t="s">
        <v>593</v>
      </c>
      <c r="O262" s="96" t="s">
        <v>620</v>
      </c>
      <c r="P262" s="6"/>
      <c r="Q262" s="216">
        <f>Q265+Q267+Q269+Q263</f>
        <v>20245</v>
      </c>
      <c r="R262" s="216">
        <f>R265+R267+R270</f>
        <v>0</v>
      </c>
      <c r="S262" s="216">
        <f>S265+S267+S270</f>
        <v>0</v>
      </c>
    </row>
    <row r="263" spans="1:19" ht="27" customHeight="1">
      <c r="A263" s="99"/>
      <c r="B263" s="98"/>
      <c r="C263" s="103"/>
      <c r="D263" s="101"/>
      <c r="E263" s="113"/>
      <c r="F263" s="113"/>
      <c r="G263" s="105"/>
      <c r="H263" s="5" t="s">
        <v>262</v>
      </c>
      <c r="I263" s="10">
        <v>27</v>
      </c>
      <c r="J263" s="16">
        <v>8</v>
      </c>
      <c r="K263" s="16">
        <v>1</v>
      </c>
      <c r="L263" s="95" t="s">
        <v>666</v>
      </c>
      <c r="M263" s="96" t="s">
        <v>563</v>
      </c>
      <c r="N263" s="96" t="s">
        <v>593</v>
      </c>
      <c r="O263" s="96" t="s">
        <v>263</v>
      </c>
      <c r="P263" s="6"/>
      <c r="Q263" s="216">
        <f>Q264</f>
        <v>4200</v>
      </c>
      <c r="R263" s="216"/>
      <c r="S263" s="216"/>
    </row>
    <row r="264" spans="1:19" ht="30" customHeight="1">
      <c r="A264" s="99"/>
      <c r="B264" s="98"/>
      <c r="C264" s="103"/>
      <c r="D264" s="101"/>
      <c r="E264" s="113"/>
      <c r="F264" s="113"/>
      <c r="G264" s="105"/>
      <c r="H264" s="5" t="s">
        <v>722</v>
      </c>
      <c r="I264" s="10">
        <v>27</v>
      </c>
      <c r="J264" s="16">
        <v>8</v>
      </c>
      <c r="K264" s="16">
        <v>1</v>
      </c>
      <c r="L264" s="95" t="s">
        <v>666</v>
      </c>
      <c r="M264" s="96" t="s">
        <v>563</v>
      </c>
      <c r="N264" s="96" t="s">
        <v>593</v>
      </c>
      <c r="O264" s="96" t="s">
        <v>263</v>
      </c>
      <c r="P264" s="6">
        <v>610</v>
      </c>
      <c r="Q264" s="216">
        <f>2200+2000</f>
        <v>4200</v>
      </c>
      <c r="R264" s="216"/>
      <c r="S264" s="216"/>
    </row>
    <row r="265" spans="1:19" ht="24" customHeight="1">
      <c r="A265" s="99"/>
      <c r="B265" s="98"/>
      <c r="C265" s="103"/>
      <c r="D265" s="101"/>
      <c r="E265" s="113"/>
      <c r="F265" s="113"/>
      <c r="G265" s="105"/>
      <c r="H265" s="5" t="s">
        <v>677</v>
      </c>
      <c r="I265" s="10">
        <v>27</v>
      </c>
      <c r="J265" s="16">
        <v>8</v>
      </c>
      <c r="K265" s="16">
        <v>1</v>
      </c>
      <c r="L265" s="95" t="s">
        <v>666</v>
      </c>
      <c r="M265" s="96" t="s">
        <v>563</v>
      </c>
      <c r="N265" s="96" t="s">
        <v>593</v>
      </c>
      <c r="O265" s="96" t="s">
        <v>674</v>
      </c>
      <c r="P265" s="6"/>
      <c r="Q265" s="216">
        <f>Q266</f>
        <v>70</v>
      </c>
      <c r="R265" s="216">
        <f>R266</f>
        <v>0</v>
      </c>
      <c r="S265" s="216">
        <f>S266</f>
        <v>0</v>
      </c>
    </row>
    <row r="266" spans="1:19" ht="27.75" customHeight="1">
      <c r="A266" s="99"/>
      <c r="B266" s="98"/>
      <c r="C266" s="103"/>
      <c r="D266" s="107"/>
      <c r="E266" s="104"/>
      <c r="F266" s="104"/>
      <c r="G266" s="105"/>
      <c r="H266" s="5" t="s">
        <v>722</v>
      </c>
      <c r="I266" s="13">
        <v>27</v>
      </c>
      <c r="J266" s="16">
        <v>8</v>
      </c>
      <c r="K266" s="16">
        <v>1</v>
      </c>
      <c r="L266" s="95" t="s">
        <v>666</v>
      </c>
      <c r="M266" s="96" t="s">
        <v>563</v>
      </c>
      <c r="N266" s="96" t="s">
        <v>593</v>
      </c>
      <c r="O266" s="96" t="s">
        <v>674</v>
      </c>
      <c r="P266" s="6">
        <v>610</v>
      </c>
      <c r="Q266" s="216">
        <f>200+20-150</f>
        <v>70</v>
      </c>
      <c r="R266" s="216">
        <v>0</v>
      </c>
      <c r="S266" s="216">
        <v>0</v>
      </c>
    </row>
    <row r="267" spans="1:19" ht="26.25" customHeight="1">
      <c r="A267" s="99"/>
      <c r="B267" s="98"/>
      <c r="C267" s="103"/>
      <c r="D267" s="107"/>
      <c r="E267" s="104"/>
      <c r="F267" s="104"/>
      <c r="G267" s="105"/>
      <c r="H267" s="5" t="s">
        <v>294</v>
      </c>
      <c r="I267" s="13">
        <v>27</v>
      </c>
      <c r="J267" s="16">
        <v>8</v>
      </c>
      <c r="K267" s="16">
        <v>1</v>
      </c>
      <c r="L267" s="95" t="s">
        <v>666</v>
      </c>
      <c r="M267" s="96" t="s">
        <v>563</v>
      </c>
      <c r="N267" s="96" t="s">
        <v>593</v>
      </c>
      <c r="O267" s="96" t="s">
        <v>295</v>
      </c>
      <c r="P267" s="6"/>
      <c r="Q267" s="216">
        <f>Q268</f>
        <v>13375</v>
      </c>
      <c r="R267" s="216">
        <f>R268</f>
        <v>0</v>
      </c>
      <c r="S267" s="216">
        <f>S268</f>
        <v>0</v>
      </c>
    </row>
    <row r="268" spans="1:19" ht="27.75" customHeight="1">
      <c r="A268" s="99"/>
      <c r="B268" s="98"/>
      <c r="C268" s="103"/>
      <c r="D268" s="109"/>
      <c r="E268" s="104"/>
      <c r="F268" s="104"/>
      <c r="G268" s="105">
        <v>850</v>
      </c>
      <c r="H268" s="18" t="s">
        <v>722</v>
      </c>
      <c r="I268" s="13">
        <v>27</v>
      </c>
      <c r="J268" s="16">
        <v>8</v>
      </c>
      <c r="K268" s="16">
        <v>1</v>
      </c>
      <c r="L268" s="95" t="s">
        <v>666</v>
      </c>
      <c r="M268" s="96" t="s">
        <v>563</v>
      </c>
      <c r="N268" s="96" t="s">
        <v>593</v>
      </c>
      <c r="O268" s="96" t="s">
        <v>295</v>
      </c>
      <c r="P268" s="6">
        <v>610</v>
      </c>
      <c r="Q268" s="216">
        <f>13000+25+350</f>
        <v>13375</v>
      </c>
      <c r="R268" s="216">
        <v>0</v>
      </c>
      <c r="S268" s="216">
        <v>0</v>
      </c>
    </row>
    <row r="269" spans="1:19" ht="27.75" customHeight="1">
      <c r="A269" s="99"/>
      <c r="B269" s="98"/>
      <c r="C269" s="97"/>
      <c r="D269" s="109"/>
      <c r="E269" s="104"/>
      <c r="F269" s="104"/>
      <c r="G269" s="89"/>
      <c r="H269" s="18" t="s">
        <v>124</v>
      </c>
      <c r="I269" s="13">
        <v>27</v>
      </c>
      <c r="J269" s="16">
        <v>8</v>
      </c>
      <c r="K269" s="16">
        <v>1</v>
      </c>
      <c r="L269" s="95" t="s">
        <v>666</v>
      </c>
      <c r="M269" s="96" t="s">
        <v>563</v>
      </c>
      <c r="N269" s="96" t="s">
        <v>94</v>
      </c>
      <c r="O269" s="96" t="s">
        <v>620</v>
      </c>
      <c r="P269" s="10"/>
      <c r="Q269" s="214">
        <f>Q270</f>
        <v>2600</v>
      </c>
      <c r="R269" s="216"/>
      <c r="S269" s="216"/>
    </row>
    <row r="270" spans="1:19" ht="33.75" customHeight="1">
      <c r="A270" s="99"/>
      <c r="B270" s="98"/>
      <c r="C270" s="97"/>
      <c r="D270" s="363">
        <v>4360000</v>
      </c>
      <c r="E270" s="364"/>
      <c r="F270" s="364"/>
      <c r="G270" s="89">
        <v>340</v>
      </c>
      <c r="H270" s="313" t="s">
        <v>797</v>
      </c>
      <c r="I270" s="10">
        <v>27</v>
      </c>
      <c r="J270" s="16">
        <v>8</v>
      </c>
      <c r="K270" s="16">
        <v>1</v>
      </c>
      <c r="L270" s="95" t="s">
        <v>666</v>
      </c>
      <c r="M270" s="96" t="s">
        <v>563</v>
      </c>
      <c r="N270" s="96" t="s">
        <v>94</v>
      </c>
      <c r="O270" s="96" t="s">
        <v>796</v>
      </c>
      <c r="P270" s="10"/>
      <c r="Q270" s="214">
        <f>Q271</f>
        <v>2600</v>
      </c>
      <c r="R270" s="214">
        <f>R271</f>
        <v>0</v>
      </c>
      <c r="S270" s="214">
        <f>S271</f>
        <v>0</v>
      </c>
    </row>
    <row r="271" spans="1:19" ht="20.25" customHeight="1">
      <c r="A271" s="99"/>
      <c r="B271" s="98"/>
      <c r="C271" s="97"/>
      <c r="D271" s="101"/>
      <c r="E271" s="100"/>
      <c r="F271" s="100"/>
      <c r="G271" s="89"/>
      <c r="H271" s="5" t="s">
        <v>722</v>
      </c>
      <c r="I271" s="13">
        <v>27</v>
      </c>
      <c r="J271" s="16">
        <v>8</v>
      </c>
      <c r="K271" s="16">
        <v>1</v>
      </c>
      <c r="L271" s="95" t="s">
        <v>666</v>
      </c>
      <c r="M271" s="96" t="s">
        <v>563</v>
      </c>
      <c r="N271" s="96" t="s">
        <v>94</v>
      </c>
      <c r="O271" s="96" t="s">
        <v>796</v>
      </c>
      <c r="P271" s="10">
        <v>610</v>
      </c>
      <c r="Q271" s="214">
        <v>2600</v>
      </c>
      <c r="R271" s="214">
        <v>0</v>
      </c>
      <c r="S271" s="214">
        <v>0</v>
      </c>
    </row>
    <row r="272" spans="1:19" s="179" customFormat="1" ht="21" customHeight="1">
      <c r="A272" s="142"/>
      <c r="B272" s="143"/>
      <c r="C272" s="153"/>
      <c r="D272" s="150"/>
      <c r="E272" s="154"/>
      <c r="F272" s="154"/>
      <c r="G272" s="155"/>
      <c r="H272" s="149" t="s">
        <v>622</v>
      </c>
      <c r="I272" s="138">
        <v>27</v>
      </c>
      <c r="J272" s="139">
        <v>9</v>
      </c>
      <c r="K272" s="139" t="s">
        <v>621</v>
      </c>
      <c r="L272" s="140"/>
      <c r="M272" s="141"/>
      <c r="N272" s="141"/>
      <c r="O272" s="141"/>
      <c r="P272" s="146"/>
      <c r="Q272" s="217">
        <f>Q273</f>
        <v>81.3</v>
      </c>
      <c r="R272" s="217">
        <f aca="true" t="shared" si="22" ref="R272:S274">R273</f>
        <v>74.5</v>
      </c>
      <c r="S272" s="217">
        <f t="shared" si="22"/>
        <v>74.5</v>
      </c>
    </row>
    <row r="273" spans="1:19" s="179" customFormat="1" ht="21" customHeight="1">
      <c r="A273" s="142"/>
      <c r="B273" s="143"/>
      <c r="C273" s="153"/>
      <c r="D273" s="150"/>
      <c r="E273" s="154"/>
      <c r="F273" s="154"/>
      <c r="G273" s="155"/>
      <c r="H273" s="149" t="s">
        <v>567</v>
      </c>
      <c r="I273" s="146">
        <v>27</v>
      </c>
      <c r="J273" s="139">
        <v>9</v>
      </c>
      <c r="K273" s="139">
        <v>7</v>
      </c>
      <c r="L273" s="139" t="s">
        <v>534</v>
      </c>
      <c r="M273" s="141" t="s">
        <v>534</v>
      </c>
      <c r="N273" s="141"/>
      <c r="O273" s="141" t="s">
        <v>534</v>
      </c>
      <c r="P273" s="146"/>
      <c r="Q273" s="213">
        <f>Q274</f>
        <v>81.3</v>
      </c>
      <c r="R273" s="213">
        <f t="shared" si="22"/>
        <v>74.5</v>
      </c>
      <c r="S273" s="213">
        <f t="shared" si="22"/>
        <v>74.5</v>
      </c>
    </row>
    <row r="274" spans="1:19" ht="48" customHeight="1">
      <c r="A274" s="99"/>
      <c r="B274" s="98"/>
      <c r="C274" s="103"/>
      <c r="D274" s="101"/>
      <c r="E274" s="113"/>
      <c r="F274" s="113"/>
      <c r="G274" s="105"/>
      <c r="H274" s="34" t="s">
        <v>719</v>
      </c>
      <c r="I274" s="6">
        <v>27</v>
      </c>
      <c r="J274" s="16">
        <v>9</v>
      </c>
      <c r="K274" s="16">
        <v>7</v>
      </c>
      <c r="L274" s="16">
        <v>91</v>
      </c>
      <c r="M274" s="96" t="s">
        <v>563</v>
      </c>
      <c r="N274" s="96" t="s">
        <v>583</v>
      </c>
      <c r="O274" s="96" t="s">
        <v>650</v>
      </c>
      <c r="P274" s="6"/>
      <c r="Q274" s="214">
        <f>Q275</f>
        <v>81.3</v>
      </c>
      <c r="R274" s="214">
        <f t="shared" si="22"/>
        <v>74.5</v>
      </c>
      <c r="S274" s="214">
        <f t="shared" si="22"/>
        <v>74.5</v>
      </c>
    </row>
    <row r="275" spans="1:19" ht="27" customHeight="1">
      <c r="A275" s="99"/>
      <c r="B275" s="98"/>
      <c r="C275" s="103"/>
      <c r="D275" s="101"/>
      <c r="E275" s="113"/>
      <c r="F275" s="113"/>
      <c r="G275" s="105"/>
      <c r="H275" s="34" t="s">
        <v>720</v>
      </c>
      <c r="I275" s="6">
        <v>27</v>
      </c>
      <c r="J275" s="16">
        <v>9</v>
      </c>
      <c r="K275" s="16">
        <v>7</v>
      </c>
      <c r="L275" s="16">
        <v>91</v>
      </c>
      <c r="M275" s="96" t="s">
        <v>563</v>
      </c>
      <c r="N275" s="96" t="s">
        <v>583</v>
      </c>
      <c r="O275" s="96" t="s">
        <v>650</v>
      </c>
      <c r="P275" s="6">
        <v>240</v>
      </c>
      <c r="Q275" s="214">
        <v>81.3</v>
      </c>
      <c r="R275" s="214">
        <v>74.5</v>
      </c>
      <c r="S275" s="214">
        <v>74.5</v>
      </c>
    </row>
    <row r="276" spans="1:19" s="179" customFormat="1" ht="24" customHeight="1">
      <c r="A276" s="142"/>
      <c r="B276" s="143"/>
      <c r="C276" s="153"/>
      <c r="D276" s="150"/>
      <c r="E276" s="154"/>
      <c r="F276" s="154"/>
      <c r="G276" s="155">
        <v>321</v>
      </c>
      <c r="H276" s="149" t="s">
        <v>541</v>
      </c>
      <c r="I276" s="152">
        <v>27</v>
      </c>
      <c r="J276" s="156">
        <v>10</v>
      </c>
      <c r="K276" s="139"/>
      <c r="L276" s="140"/>
      <c r="M276" s="141"/>
      <c r="N276" s="141"/>
      <c r="O276" s="141"/>
      <c r="P276" s="146"/>
      <c r="Q276" s="217">
        <f>Q277+Q280+Q292</f>
        <v>6520.8</v>
      </c>
      <c r="R276" s="217">
        <f>R277+R280+R292</f>
        <v>5692.9</v>
      </c>
      <c r="S276" s="217">
        <f>S277+S280+S292</f>
        <v>5692.300000000001</v>
      </c>
    </row>
    <row r="277" spans="1:19" s="179" customFormat="1" ht="18.75" customHeight="1">
      <c r="A277" s="142"/>
      <c r="B277" s="143"/>
      <c r="C277" s="153"/>
      <c r="D277" s="150"/>
      <c r="E277" s="154"/>
      <c r="F277" s="154"/>
      <c r="G277" s="155">
        <v>612</v>
      </c>
      <c r="H277" s="149" t="s">
        <v>380</v>
      </c>
      <c r="I277" s="152">
        <v>27</v>
      </c>
      <c r="J277" s="156">
        <v>10</v>
      </c>
      <c r="K277" s="139">
        <v>1</v>
      </c>
      <c r="L277" s="140"/>
      <c r="M277" s="141"/>
      <c r="N277" s="141"/>
      <c r="O277" s="141"/>
      <c r="P277" s="146"/>
      <c r="Q277" s="217">
        <f aca="true" t="shared" si="23" ref="Q277:S278">Q278</f>
        <v>1849.5</v>
      </c>
      <c r="R277" s="217">
        <f t="shared" si="23"/>
        <v>2100</v>
      </c>
      <c r="S277" s="217">
        <f t="shared" si="23"/>
        <v>2100</v>
      </c>
    </row>
    <row r="278" spans="1:19" ht="30.75" customHeight="1">
      <c r="A278" s="99"/>
      <c r="B278" s="98"/>
      <c r="C278" s="103"/>
      <c r="D278" s="101"/>
      <c r="E278" s="367">
        <v>4360400</v>
      </c>
      <c r="F278" s="367"/>
      <c r="G278" s="89">
        <v>340</v>
      </c>
      <c r="H278" s="11" t="s">
        <v>304</v>
      </c>
      <c r="I278" s="6">
        <v>27</v>
      </c>
      <c r="J278" s="21">
        <v>10</v>
      </c>
      <c r="K278" s="16">
        <v>1</v>
      </c>
      <c r="L278" s="95" t="s">
        <v>580</v>
      </c>
      <c r="M278" s="96" t="s">
        <v>563</v>
      </c>
      <c r="N278" s="96" t="s">
        <v>583</v>
      </c>
      <c r="O278" s="96" t="s">
        <v>305</v>
      </c>
      <c r="P278" s="10"/>
      <c r="Q278" s="214">
        <f t="shared" si="23"/>
        <v>1849.5</v>
      </c>
      <c r="R278" s="214">
        <f t="shared" si="23"/>
        <v>2100</v>
      </c>
      <c r="S278" s="214">
        <f t="shared" si="23"/>
        <v>2100</v>
      </c>
    </row>
    <row r="279" spans="1:19" ht="30.75" customHeight="1">
      <c r="A279" s="99"/>
      <c r="B279" s="98"/>
      <c r="C279" s="103"/>
      <c r="D279" s="107"/>
      <c r="E279" s="104"/>
      <c r="F279" s="104"/>
      <c r="G279" s="89"/>
      <c r="H279" s="11" t="s">
        <v>725</v>
      </c>
      <c r="I279" s="6">
        <v>27</v>
      </c>
      <c r="J279" s="21">
        <v>10</v>
      </c>
      <c r="K279" s="16">
        <v>1</v>
      </c>
      <c r="L279" s="119" t="s">
        <v>580</v>
      </c>
      <c r="M279" s="120" t="s">
        <v>563</v>
      </c>
      <c r="N279" s="120" t="s">
        <v>583</v>
      </c>
      <c r="O279" s="120" t="s">
        <v>305</v>
      </c>
      <c r="P279" s="10">
        <v>320</v>
      </c>
      <c r="Q279" s="214">
        <f>2058-208.5</f>
        <v>1849.5</v>
      </c>
      <c r="R279" s="214">
        <v>2100</v>
      </c>
      <c r="S279" s="214">
        <v>2100</v>
      </c>
    </row>
    <row r="280" spans="1:19" s="179" customFormat="1" ht="27" customHeight="1">
      <c r="A280" s="142"/>
      <c r="B280" s="143"/>
      <c r="C280" s="142"/>
      <c r="D280" s="380">
        <v>4520000</v>
      </c>
      <c r="E280" s="380"/>
      <c r="F280" s="380"/>
      <c r="G280" s="136">
        <v>612</v>
      </c>
      <c r="H280" s="314" t="s">
        <v>540</v>
      </c>
      <c r="I280" s="138">
        <v>27</v>
      </c>
      <c r="J280" s="139">
        <v>10</v>
      </c>
      <c r="K280" s="139">
        <v>3</v>
      </c>
      <c r="L280" s="140"/>
      <c r="M280" s="141"/>
      <c r="N280" s="141"/>
      <c r="O280" s="246"/>
      <c r="P280" s="152"/>
      <c r="Q280" s="218">
        <f>Q281+Q285</f>
        <v>3321.8</v>
      </c>
      <c r="R280" s="218">
        <f>R281+R285</f>
        <v>2460.8</v>
      </c>
      <c r="S280" s="218">
        <f>S281+S285</f>
        <v>2460.2000000000003</v>
      </c>
    </row>
    <row r="281" spans="1:19" ht="27" customHeight="1">
      <c r="A281" s="99"/>
      <c r="B281" s="98"/>
      <c r="C281" s="97"/>
      <c r="D281" s="107"/>
      <c r="E281" s="102"/>
      <c r="F281" s="102"/>
      <c r="G281" s="89"/>
      <c r="H281" s="191" t="s">
        <v>669</v>
      </c>
      <c r="I281" s="25">
        <v>27</v>
      </c>
      <c r="J281" s="121">
        <v>10</v>
      </c>
      <c r="K281" s="26">
        <v>3</v>
      </c>
      <c r="L281" s="122" t="s">
        <v>668</v>
      </c>
      <c r="M281" s="123" t="s">
        <v>563</v>
      </c>
      <c r="N281" s="123" t="s">
        <v>583</v>
      </c>
      <c r="O281" s="123" t="s">
        <v>620</v>
      </c>
      <c r="P281" s="6"/>
      <c r="Q281" s="214">
        <f>Q282</f>
        <v>1021.8</v>
      </c>
      <c r="R281" s="214">
        <f aca="true" t="shared" si="24" ref="R281:S283">R282</f>
        <v>170.5</v>
      </c>
      <c r="S281" s="214">
        <f t="shared" si="24"/>
        <v>169.9</v>
      </c>
    </row>
    <row r="282" spans="1:19" ht="29.25" customHeight="1">
      <c r="A282" s="99"/>
      <c r="B282" s="98"/>
      <c r="C282" s="97"/>
      <c r="D282" s="107"/>
      <c r="E282" s="102"/>
      <c r="F282" s="102"/>
      <c r="G282" s="89"/>
      <c r="H282" s="191" t="s">
        <v>678</v>
      </c>
      <c r="I282" s="25">
        <v>27</v>
      </c>
      <c r="J282" s="121">
        <v>10</v>
      </c>
      <c r="K282" s="26">
        <v>3</v>
      </c>
      <c r="L282" s="122" t="s">
        <v>668</v>
      </c>
      <c r="M282" s="123" t="s">
        <v>563</v>
      </c>
      <c r="N282" s="123" t="s">
        <v>588</v>
      </c>
      <c r="O282" s="123" t="s">
        <v>620</v>
      </c>
      <c r="P282" s="6"/>
      <c r="Q282" s="214">
        <f>Q283</f>
        <v>1021.8</v>
      </c>
      <c r="R282" s="214">
        <f t="shared" si="24"/>
        <v>170.5</v>
      </c>
      <c r="S282" s="214">
        <f t="shared" si="24"/>
        <v>169.9</v>
      </c>
    </row>
    <row r="283" spans="1:19" ht="21.75" customHeight="1">
      <c r="A283" s="99"/>
      <c r="B283" s="98"/>
      <c r="C283" s="97"/>
      <c r="D283" s="107"/>
      <c r="E283" s="102"/>
      <c r="F283" s="102"/>
      <c r="G283" s="89"/>
      <c r="H283" s="191" t="s">
        <v>679</v>
      </c>
      <c r="I283" s="25">
        <v>27</v>
      </c>
      <c r="J283" s="121">
        <v>10</v>
      </c>
      <c r="K283" s="26">
        <v>3</v>
      </c>
      <c r="L283" s="122" t="s">
        <v>668</v>
      </c>
      <c r="M283" s="123" t="s">
        <v>563</v>
      </c>
      <c r="N283" s="123" t="s">
        <v>588</v>
      </c>
      <c r="O283" s="123" t="s">
        <v>272</v>
      </c>
      <c r="P283" s="6"/>
      <c r="Q283" s="214">
        <f>Q284</f>
        <v>1021.8</v>
      </c>
      <c r="R283" s="214">
        <f t="shared" si="24"/>
        <v>170.5</v>
      </c>
      <c r="S283" s="214">
        <f t="shared" si="24"/>
        <v>169.9</v>
      </c>
    </row>
    <row r="284" spans="1:19" ht="29.25" customHeight="1">
      <c r="A284" s="99"/>
      <c r="B284" s="98"/>
      <c r="C284" s="97"/>
      <c r="D284" s="107"/>
      <c r="E284" s="102"/>
      <c r="F284" s="102"/>
      <c r="G284" s="89"/>
      <c r="H284" s="34" t="s">
        <v>725</v>
      </c>
      <c r="I284" s="25">
        <v>27</v>
      </c>
      <c r="J284" s="121">
        <v>10</v>
      </c>
      <c r="K284" s="26">
        <v>3</v>
      </c>
      <c r="L284" s="122" t="s">
        <v>668</v>
      </c>
      <c r="M284" s="123" t="s">
        <v>563</v>
      </c>
      <c r="N284" s="123" t="s">
        <v>588</v>
      </c>
      <c r="O284" s="123" t="s">
        <v>272</v>
      </c>
      <c r="P284" s="6">
        <v>320</v>
      </c>
      <c r="Q284" s="214">
        <f>270.8+751</f>
        <v>1021.8</v>
      </c>
      <c r="R284" s="214">
        <v>170.5</v>
      </c>
      <c r="S284" s="214">
        <v>169.9</v>
      </c>
    </row>
    <row r="285" spans="1:19" ht="29.25" customHeight="1">
      <c r="A285" s="99"/>
      <c r="B285" s="98"/>
      <c r="C285" s="97"/>
      <c r="D285" s="107"/>
      <c r="E285" s="102"/>
      <c r="F285" s="102"/>
      <c r="G285" s="89"/>
      <c r="H285" s="34" t="s">
        <v>299</v>
      </c>
      <c r="I285" s="25">
        <v>27</v>
      </c>
      <c r="J285" s="121">
        <v>10</v>
      </c>
      <c r="K285" s="26">
        <v>3</v>
      </c>
      <c r="L285" s="122" t="s">
        <v>580</v>
      </c>
      <c r="M285" s="123" t="s">
        <v>563</v>
      </c>
      <c r="N285" s="123" t="s">
        <v>583</v>
      </c>
      <c r="O285" s="123" t="s">
        <v>620</v>
      </c>
      <c r="P285" s="6"/>
      <c r="Q285" s="216">
        <f>Q286+Q288+Q290</f>
        <v>2300</v>
      </c>
      <c r="R285" s="216">
        <f>R286+R288+R290</f>
        <v>2290.3</v>
      </c>
      <c r="S285" s="216">
        <f>S286+S288+S290</f>
        <v>2290.3</v>
      </c>
    </row>
    <row r="286" spans="1:19" ht="57.75" customHeight="1">
      <c r="A286" s="99"/>
      <c r="B286" s="98"/>
      <c r="C286" s="97"/>
      <c r="D286" s="363">
        <v>5220000</v>
      </c>
      <c r="E286" s="364"/>
      <c r="F286" s="364"/>
      <c r="G286" s="89">
        <v>612</v>
      </c>
      <c r="H286" s="11" t="s">
        <v>539</v>
      </c>
      <c r="I286" s="6">
        <v>27</v>
      </c>
      <c r="J286" s="21">
        <v>10</v>
      </c>
      <c r="K286" s="16">
        <v>3</v>
      </c>
      <c r="L286" s="95" t="s">
        <v>580</v>
      </c>
      <c r="M286" s="96" t="s">
        <v>563</v>
      </c>
      <c r="N286" s="96" t="s">
        <v>583</v>
      </c>
      <c r="O286" s="124" t="s">
        <v>651</v>
      </c>
      <c r="P286" s="8"/>
      <c r="Q286" s="216">
        <f>Q287</f>
        <v>1284</v>
      </c>
      <c r="R286" s="216">
        <f>R287</f>
        <v>1273.5</v>
      </c>
      <c r="S286" s="216">
        <f>S287</f>
        <v>1273.5</v>
      </c>
    </row>
    <row r="287" spans="1:19" ht="28.5" customHeight="1">
      <c r="A287" s="99"/>
      <c r="B287" s="98"/>
      <c r="C287" s="97"/>
      <c r="D287" s="101"/>
      <c r="E287" s="100"/>
      <c r="F287" s="100"/>
      <c r="G287" s="89"/>
      <c r="H287" s="11" t="s">
        <v>725</v>
      </c>
      <c r="I287" s="6">
        <v>27</v>
      </c>
      <c r="J287" s="21">
        <v>10</v>
      </c>
      <c r="K287" s="16">
        <v>3</v>
      </c>
      <c r="L287" s="95" t="s">
        <v>580</v>
      </c>
      <c r="M287" s="96" t="s">
        <v>563</v>
      </c>
      <c r="N287" s="96" t="s">
        <v>583</v>
      </c>
      <c r="O287" s="124" t="s">
        <v>651</v>
      </c>
      <c r="P287" s="13">
        <v>320</v>
      </c>
      <c r="Q287" s="214">
        <f>1273.5+10.5</f>
        <v>1284</v>
      </c>
      <c r="R287" s="214">
        <v>1273.5</v>
      </c>
      <c r="S287" s="214">
        <v>1273.5</v>
      </c>
    </row>
    <row r="288" spans="1:19" ht="42" customHeight="1">
      <c r="A288" s="99"/>
      <c r="B288" s="98"/>
      <c r="C288" s="103"/>
      <c r="D288" s="101"/>
      <c r="E288" s="113"/>
      <c r="F288" s="113"/>
      <c r="G288" s="89"/>
      <c r="H288" s="11" t="s">
        <v>297</v>
      </c>
      <c r="I288" s="10">
        <v>27</v>
      </c>
      <c r="J288" s="7">
        <v>10</v>
      </c>
      <c r="K288" s="16">
        <v>3</v>
      </c>
      <c r="L288" s="95" t="s">
        <v>580</v>
      </c>
      <c r="M288" s="96" t="s">
        <v>563</v>
      </c>
      <c r="N288" s="96" t="s">
        <v>583</v>
      </c>
      <c r="O288" s="96" t="s">
        <v>296</v>
      </c>
      <c r="P288" s="10"/>
      <c r="Q288" s="214">
        <f>Q289</f>
        <v>642</v>
      </c>
      <c r="R288" s="214">
        <f>R289</f>
        <v>636.8</v>
      </c>
      <c r="S288" s="214">
        <f>S289</f>
        <v>636.8</v>
      </c>
    </row>
    <row r="289" spans="1:19" ht="32.25" customHeight="1">
      <c r="A289" s="99"/>
      <c r="B289" s="98"/>
      <c r="C289" s="103"/>
      <c r="D289" s="101"/>
      <c r="E289" s="113"/>
      <c r="F289" s="113"/>
      <c r="G289" s="89"/>
      <c r="H289" s="11" t="s">
        <v>725</v>
      </c>
      <c r="I289" s="10">
        <v>27</v>
      </c>
      <c r="J289" s="7">
        <v>10</v>
      </c>
      <c r="K289" s="16">
        <v>3</v>
      </c>
      <c r="L289" s="95" t="s">
        <v>580</v>
      </c>
      <c r="M289" s="96" t="s">
        <v>563</v>
      </c>
      <c r="N289" s="96" t="s">
        <v>583</v>
      </c>
      <c r="O289" s="96" t="s">
        <v>296</v>
      </c>
      <c r="P289" s="10">
        <v>320</v>
      </c>
      <c r="Q289" s="214">
        <f>636.8+5.2</f>
        <v>642</v>
      </c>
      <c r="R289" s="239">
        <v>636.8</v>
      </c>
      <c r="S289" s="239">
        <v>636.8</v>
      </c>
    </row>
    <row r="290" spans="1:19" ht="27" customHeight="1">
      <c r="A290" s="99"/>
      <c r="B290" s="98"/>
      <c r="C290" s="103"/>
      <c r="D290" s="101"/>
      <c r="E290" s="113"/>
      <c r="F290" s="113"/>
      <c r="G290" s="89"/>
      <c r="H290" s="5" t="s">
        <v>307</v>
      </c>
      <c r="I290" s="6">
        <v>27</v>
      </c>
      <c r="J290" s="19">
        <v>10</v>
      </c>
      <c r="K290" s="16">
        <v>3</v>
      </c>
      <c r="L290" s="95" t="s">
        <v>580</v>
      </c>
      <c r="M290" s="96" t="s">
        <v>563</v>
      </c>
      <c r="N290" s="96" t="s">
        <v>583</v>
      </c>
      <c r="O290" s="96" t="s">
        <v>306</v>
      </c>
      <c r="P290" s="6"/>
      <c r="Q290" s="214">
        <f>Q291</f>
        <v>374</v>
      </c>
      <c r="R290" s="214">
        <f>R291</f>
        <v>380</v>
      </c>
      <c r="S290" s="214">
        <f>S291</f>
        <v>380</v>
      </c>
    </row>
    <row r="291" spans="1:19" ht="27" customHeight="1">
      <c r="A291" s="99"/>
      <c r="B291" s="98"/>
      <c r="C291" s="103"/>
      <c r="D291" s="101"/>
      <c r="E291" s="113"/>
      <c r="F291" s="113"/>
      <c r="G291" s="89"/>
      <c r="H291" s="5" t="s">
        <v>724</v>
      </c>
      <c r="I291" s="8">
        <v>27</v>
      </c>
      <c r="J291" s="19">
        <v>10</v>
      </c>
      <c r="K291" s="16">
        <v>3</v>
      </c>
      <c r="L291" s="95" t="s">
        <v>580</v>
      </c>
      <c r="M291" s="96" t="s">
        <v>563</v>
      </c>
      <c r="N291" s="96" t="s">
        <v>583</v>
      </c>
      <c r="O291" s="96" t="s">
        <v>306</v>
      </c>
      <c r="P291" s="6">
        <v>310</v>
      </c>
      <c r="Q291" s="214">
        <v>374</v>
      </c>
      <c r="R291" s="214">
        <v>380</v>
      </c>
      <c r="S291" s="214">
        <v>380</v>
      </c>
    </row>
    <row r="292" spans="1:19" s="179" customFormat="1" ht="25.5" customHeight="1">
      <c r="A292" s="142"/>
      <c r="B292" s="143"/>
      <c r="C292" s="153"/>
      <c r="D292" s="150"/>
      <c r="E292" s="145"/>
      <c r="F292" s="145"/>
      <c r="G292" s="155">
        <v>622</v>
      </c>
      <c r="H292" s="149" t="s">
        <v>538</v>
      </c>
      <c r="I292" s="152">
        <v>27</v>
      </c>
      <c r="J292" s="156">
        <v>10</v>
      </c>
      <c r="K292" s="139">
        <v>6</v>
      </c>
      <c r="L292" s="185"/>
      <c r="M292" s="186"/>
      <c r="N292" s="186"/>
      <c r="O292" s="186"/>
      <c r="P292" s="146"/>
      <c r="Q292" s="217">
        <f>Q293</f>
        <v>1349.5</v>
      </c>
      <c r="R292" s="217">
        <f>R293</f>
        <v>1132.1</v>
      </c>
      <c r="S292" s="217">
        <f>S293</f>
        <v>1132.1</v>
      </c>
    </row>
    <row r="293" spans="1:19" s="179" customFormat="1" ht="25.5" customHeight="1">
      <c r="A293" s="142"/>
      <c r="B293" s="143"/>
      <c r="C293" s="153"/>
      <c r="D293" s="150"/>
      <c r="E293" s="145"/>
      <c r="F293" s="145"/>
      <c r="G293" s="136"/>
      <c r="H293" s="11" t="s">
        <v>299</v>
      </c>
      <c r="I293" s="6">
        <v>27</v>
      </c>
      <c r="J293" s="19">
        <v>10</v>
      </c>
      <c r="K293" s="16">
        <v>6</v>
      </c>
      <c r="L293" s="122" t="s">
        <v>580</v>
      </c>
      <c r="M293" s="123" t="s">
        <v>563</v>
      </c>
      <c r="N293" s="123" t="s">
        <v>583</v>
      </c>
      <c r="O293" s="123" t="s">
        <v>620</v>
      </c>
      <c r="P293" s="6"/>
      <c r="Q293" s="216">
        <f>Q294+Q296+Q299</f>
        <v>1349.5</v>
      </c>
      <c r="R293" s="216">
        <f>R294+R296+R299</f>
        <v>1132.1</v>
      </c>
      <c r="S293" s="216">
        <f>S294+S296+S299</f>
        <v>1132.1</v>
      </c>
    </row>
    <row r="294" spans="1:19" ht="30.75" customHeight="1">
      <c r="A294" s="99"/>
      <c r="B294" s="98"/>
      <c r="C294" s="103"/>
      <c r="D294" s="101"/>
      <c r="E294" s="367">
        <v>5225700</v>
      </c>
      <c r="F294" s="367"/>
      <c r="G294" s="89">
        <v>612</v>
      </c>
      <c r="H294" s="11" t="s">
        <v>52</v>
      </c>
      <c r="I294" s="10">
        <v>27</v>
      </c>
      <c r="J294" s="16">
        <v>10</v>
      </c>
      <c r="K294" s="16">
        <v>6</v>
      </c>
      <c r="L294" s="95" t="s">
        <v>580</v>
      </c>
      <c r="M294" s="96" t="s">
        <v>563</v>
      </c>
      <c r="N294" s="96" t="s">
        <v>583</v>
      </c>
      <c r="O294" s="96" t="s">
        <v>51</v>
      </c>
      <c r="P294" s="6"/>
      <c r="Q294" s="216">
        <f>Q295</f>
        <v>45</v>
      </c>
      <c r="R294" s="216">
        <f>R295</f>
        <v>45</v>
      </c>
      <c r="S294" s="216">
        <f>S295</f>
        <v>45</v>
      </c>
    </row>
    <row r="295" spans="1:19" ht="21.75" customHeight="1">
      <c r="A295" s="99"/>
      <c r="B295" s="98"/>
      <c r="C295" s="103"/>
      <c r="D295" s="101"/>
      <c r="E295" s="104"/>
      <c r="F295" s="104"/>
      <c r="G295" s="89"/>
      <c r="H295" s="5" t="s">
        <v>524</v>
      </c>
      <c r="I295" s="10">
        <v>27</v>
      </c>
      <c r="J295" s="16">
        <v>10</v>
      </c>
      <c r="K295" s="16">
        <v>6</v>
      </c>
      <c r="L295" s="95" t="s">
        <v>580</v>
      </c>
      <c r="M295" s="96" t="s">
        <v>563</v>
      </c>
      <c r="N295" s="96" t="s">
        <v>583</v>
      </c>
      <c r="O295" s="96" t="s">
        <v>51</v>
      </c>
      <c r="P295" s="10">
        <v>630</v>
      </c>
      <c r="Q295" s="214">
        <v>45</v>
      </c>
      <c r="R295" s="214">
        <v>45</v>
      </c>
      <c r="S295" s="214">
        <v>45</v>
      </c>
    </row>
    <row r="296" spans="1:19" ht="30.75" customHeight="1">
      <c r="A296" s="99"/>
      <c r="B296" s="98"/>
      <c r="C296" s="103"/>
      <c r="D296" s="101"/>
      <c r="E296" s="104"/>
      <c r="F296" s="104"/>
      <c r="G296" s="89"/>
      <c r="H296" s="11" t="s">
        <v>815</v>
      </c>
      <c r="I296" s="10">
        <v>27</v>
      </c>
      <c r="J296" s="16">
        <v>10</v>
      </c>
      <c r="K296" s="16">
        <v>6</v>
      </c>
      <c r="L296" s="95" t="s">
        <v>580</v>
      </c>
      <c r="M296" s="96" t="s">
        <v>563</v>
      </c>
      <c r="N296" s="96" t="s">
        <v>583</v>
      </c>
      <c r="O296" s="96" t="s">
        <v>814</v>
      </c>
      <c r="P296" s="6"/>
      <c r="Q296" s="216">
        <f>Q297+Q298</f>
        <v>1304.5</v>
      </c>
      <c r="R296" s="216">
        <f>R297</f>
        <v>1087.1</v>
      </c>
      <c r="S296" s="216">
        <f>S297</f>
        <v>1087.1</v>
      </c>
    </row>
    <row r="297" spans="1:19" ht="26.25" customHeight="1">
      <c r="A297" s="99"/>
      <c r="B297" s="98"/>
      <c r="C297" s="103"/>
      <c r="D297" s="101"/>
      <c r="E297" s="104"/>
      <c r="F297" s="104"/>
      <c r="G297" s="89"/>
      <c r="H297" s="11" t="s">
        <v>533</v>
      </c>
      <c r="I297" s="10">
        <v>27</v>
      </c>
      <c r="J297" s="16">
        <v>10</v>
      </c>
      <c r="K297" s="16">
        <v>6</v>
      </c>
      <c r="L297" s="95" t="s">
        <v>580</v>
      </c>
      <c r="M297" s="96" t="s">
        <v>563</v>
      </c>
      <c r="N297" s="96" t="s">
        <v>583</v>
      </c>
      <c r="O297" s="96" t="s">
        <v>814</v>
      </c>
      <c r="P297" s="6">
        <v>120</v>
      </c>
      <c r="Q297" s="216">
        <f>1087.1-0.1+189.7</f>
        <v>1276.7</v>
      </c>
      <c r="R297" s="239">
        <v>1087.1</v>
      </c>
      <c r="S297" s="239">
        <v>1087.1</v>
      </c>
    </row>
    <row r="298" spans="1:19" ht="26.25" customHeight="1">
      <c r="A298" s="99"/>
      <c r="B298" s="98"/>
      <c r="C298" s="103"/>
      <c r="D298" s="107"/>
      <c r="E298" s="104"/>
      <c r="F298" s="104"/>
      <c r="G298" s="89"/>
      <c r="H298" s="200" t="s">
        <v>720</v>
      </c>
      <c r="I298" s="10">
        <v>27</v>
      </c>
      <c r="J298" s="7">
        <v>10</v>
      </c>
      <c r="K298" s="16">
        <v>6</v>
      </c>
      <c r="L298" s="95" t="s">
        <v>580</v>
      </c>
      <c r="M298" s="96" t="s">
        <v>563</v>
      </c>
      <c r="N298" s="96" t="s">
        <v>583</v>
      </c>
      <c r="O298" s="96" t="s">
        <v>814</v>
      </c>
      <c r="P298" s="6">
        <v>240</v>
      </c>
      <c r="Q298" s="216">
        <f>0.1+27.7</f>
        <v>27.8</v>
      </c>
      <c r="R298" s="239"/>
      <c r="S298" s="239"/>
    </row>
    <row r="299" spans="1:19" ht="34.5" customHeight="1" hidden="1">
      <c r="A299" s="99"/>
      <c r="B299" s="98"/>
      <c r="C299" s="103"/>
      <c r="D299" s="107"/>
      <c r="E299" s="104"/>
      <c r="F299" s="104"/>
      <c r="G299" s="89"/>
      <c r="H299" s="11" t="s">
        <v>681</v>
      </c>
      <c r="I299" s="6">
        <v>27</v>
      </c>
      <c r="J299" s="19">
        <v>10</v>
      </c>
      <c r="K299" s="16">
        <v>6</v>
      </c>
      <c r="L299" s="95" t="s">
        <v>580</v>
      </c>
      <c r="M299" s="96" t="s">
        <v>563</v>
      </c>
      <c r="N299" s="96" t="s">
        <v>583</v>
      </c>
      <c r="O299" s="96" t="s">
        <v>680</v>
      </c>
      <c r="P299" s="6"/>
      <c r="Q299" s="216">
        <f>Q300</f>
        <v>0</v>
      </c>
      <c r="R299" s="216">
        <f>R300</f>
        <v>0</v>
      </c>
      <c r="S299" s="216">
        <f>S300</f>
        <v>0</v>
      </c>
    </row>
    <row r="300" spans="1:19" ht="26.25" customHeight="1" hidden="1">
      <c r="A300" s="99"/>
      <c r="B300" s="98"/>
      <c r="C300" s="103"/>
      <c r="D300" s="107"/>
      <c r="E300" s="104"/>
      <c r="F300" s="104"/>
      <c r="G300" s="89"/>
      <c r="H300" s="200" t="s">
        <v>720</v>
      </c>
      <c r="I300" s="6">
        <v>27</v>
      </c>
      <c r="J300" s="19">
        <v>10</v>
      </c>
      <c r="K300" s="16">
        <v>6</v>
      </c>
      <c r="L300" s="95" t="s">
        <v>580</v>
      </c>
      <c r="M300" s="96" t="s">
        <v>563</v>
      </c>
      <c r="N300" s="96" t="s">
        <v>583</v>
      </c>
      <c r="O300" s="96" t="s">
        <v>680</v>
      </c>
      <c r="P300" s="6">
        <v>240</v>
      </c>
      <c r="Q300" s="216">
        <f>515-515</f>
        <v>0</v>
      </c>
      <c r="R300" s="239">
        <v>0</v>
      </c>
      <c r="S300" s="239">
        <v>0</v>
      </c>
    </row>
    <row r="301" spans="1:19" s="179" customFormat="1" ht="18.75" customHeight="1">
      <c r="A301" s="142"/>
      <c r="B301" s="143"/>
      <c r="C301" s="153"/>
      <c r="D301" s="144"/>
      <c r="E301" s="145"/>
      <c r="F301" s="145"/>
      <c r="G301" s="155">
        <v>612</v>
      </c>
      <c r="H301" s="149" t="s">
        <v>537</v>
      </c>
      <c r="I301" s="152">
        <v>27</v>
      </c>
      <c r="J301" s="156">
        <v>11</v>
      </c>
      <c r="K301" s="139"/>
      <c r="L301" s="140"/>
      <c r="M301" s="141"/>
      <c r="N301" s="141"/>
      <c r="O301" s="141"/>
      <c r="P301" s="146"/>
      <c r="Q301" s="217">
        <f aca="true" t="shared" si="25" ref="Q301:S302">Q302</f>
        <v>37557.5</v>
      </c>
      <c r="R301" s="217">
        <f t="shared" si="25"/>
        <v>10084.8</v>
      </c>
      <c r="S301" s="217">
        <f t="shared" si="25"/>
        <v>7300</v>
      </c>
    </row>
    <row r="302" spans="1:19" s="179" customFormat="1" ht="19.5" customHeight="1">
      <c r="A302" s="142"/>
      <c r="B302" s="143"/>
      <c r="C302" s="142"/>
      <c r="D302" s="380">
        <v>5250000</v>
      </c>
      <c r="E302" s="381"/>
      <c r="F302" s="381"/>
      <c r="G302" s="136">
        <v>530</v>
      </c>
      <c r="H302" s="137" t="s">
        <v>378</v>
      </c>
      <c r="I302" s="138">
        <v>27</v>
      </c>
      <c r="J302" s="139">
        <v>11</v>
      </c>
      <c r="K302" s="139">
        <v>1</v>
      </c>
      <c r="L302" s="140"/>
      <c r="M302" s="141"/>
      <c r="N302" s="141"/>
      <c r="O302" s="141"/>
      <c r="P302" s="138"/>
      <c r="Q302" s="213">
        <f t="shared" si="25"/>
        <v>37557.5</v>
      </c>
      <c r="R302" s="213">
        <f t="shared" si="25"/>
        <v>10084.8</v>
      </c>
      <c r="S302" s="213">
        <f t="shared" si="25"/>
        <v>7300</v>
      </c>
    </row>
    <row r="303" spans="1:19" ht="34.5" customHeight="1">
      <c r="A303" s="99"/>
      <c r="B303" s="98"/>
      <c r="C303" s="103"/>
      <c r="D303" s="101"/>
      <c r="E303" s="113"/>
      <c r="F303" s="113"/>
      <c r="G303" s="105"/>
      <c r="H303" s="5" t="s">
        <v>682</v>
      </c>
      <c r="I303" s="6">
        <v>27</v>
      </c>
      <c r="J303" s="7">
        <v>11</v>
      </c>
      <c r="K303" s="16">
        <v>1</v>
      </c>
      <c r="L303" s="95" t="s">
        <v>683</v>
      </c>
      <c r="M303" s="96" t="s">
        <v>563</v>
      </c>
      <c r="N303" s="96" t="s">
        <v>583</v>
      </c>
      <c r="O303" s="96" t="s">
        <v>620</v>
      </c>
      <c r="P303" s="6"/>
      <c r="Q303" s="214">
        <f>Q307+Q304+Q312</f>
        <v>37557.5</v>
      </c>
      <c r="R303" s="214">
        <f>R307+R310</f>
        <v>10084.8</v>
      </c>
      <c r="S303" s="214">
        <f>S307+S310</f>
        <v>7300</v>
      </c>
    </row>
    <row r="304" spans="1:19" ht="34.5" customHeight="1">
      <c r="A304" s="99"/>
      <c r="B304" s="98"/>
      <c r="C304" s="103"/>
      <c r="D304" s="101"/>
      <c r="E304" s="113"/>
      <c r="F304" s="113"/>
      <c r="G304" s="89"/>
      <c r="H304" s="11" t="s">
        <v>96</v>
      </c>
      <c r="I304" s="10">
        <v>27</v>
      </c>
      <c r="J304" s="16">
        <v>11</v>
      </c>
      <c r="K304" s="16">
        <v>1</v>
      </c>
      <c r="L304" s="122" t="s">
        <v>683</v>
      </c>
      <c r="M304" s="123" t="s">
        <v>563</v>
      </c>
      <c r="N304" s="123" t="s">
        <v>564</v>
      </c>
      <c r="O304" s="123" t="s">
        <v>620</v>
      </c>
      <c r="P304" s="10"/>
      <c r="Q304" s="214">
        <f>Q305</f>
        <v>150</v>
      </c>
      <c r="R304" s="214"/>
      <c r="S304" s="214"/>
    </row>
    <row r="305" spans="1:19" ht="26.25" customHeight="1">
      <c r="A305" s="99"/>
      <c r="B305" s="98"/>
      <c r="C305" s="103"/>
      <c r="D305" s="101"/>
      <c r="E305" s="113"/>
      <c r="F305" s="113"/>
      <c r="G305" s="89"/>
      <c r="H305" s="11" t="s">
        <v>314</v>
      </c>
      <c r="I305" s="10">
        <v>27</v>
      </c>
      <c r="J305" s="16">
        <v>11</v>
      </c>
      <c r="K305" s="16">
        <v>1</v>
      </c>
      <c r="L305" s="122" t="s">
        <v>683</v>
      </c>
      <c r="M305" s="123" t="s">
        <v>563</v>
      </c>
      <c r="N305" s="123" t="s">
        <v>564</v>
      </c>
      <c r="O305" s="123" t="s">
        <v>313</v>
      </c>
      <c r="P305" s="10"/>
      <c r="Q305" s="214">
        <f>Q306</f>
        <v>150</v>
      </c>
      <c r="R305" s="214"/>
      <c r="S305" s="214"/>
    </row>
    <row r="306" spans="1:19" ht="27.75" customHeight="1">
      <c r="A306" s="99"/>
      <c r="B306" s="98"/>
      <c r="C306" s="103"/>
      <c r="D306" s="101"/>
      <c r="E306" s="113"/>
      <c r="F306" s="113"/>
      <c r="G306" s="89"/>
      <c r="H306" s="11" t="s">
        <v>722</v>
      </c>
      <c r="I306" s="10">
        <v>27</v>
      </c>
      <c r="J306" s="16">
        <v>11</v>
      </c>
      <c r="K306" s="16">
        <v>1</v>
      </c>
      <c r="L306" s="122" t="s">
        <v>683</v>
      </c>
      <c r="M306" s="123" t="s">
        <v>563</v>
      </c>
      <c r="N306" s="123" t="s">
        <v>564</v>
      </c>
      <c r="O306" s="123" t="s">
        <v>313</v>
      </c>
      <c r="P306" s="10">
        <v>610</v>
      </c>
      <c r="Q306" s="214">
        <v>150</v>
      </c>
      <c r="R306" s="214"/>
      <c r="S306" s="214"/>
    </row>
    <row r="307" spans="1:19" ht="24.75" customHeight="1">
      <c r="A307" s="99"/>
      <c r="B307" s="98"/>
      <c r="C307" s="103"/>
      <c r="D307" s="101"/>
      <c r="E307" s="113"/>
      <c r="F307" s="113"/>
      <c r="G307" s="89"/>
      <c r="H307" s="11" t="s">
        <v>315</v>
      </c>
      <c r="I307" s="10">
        <v>27</v>
      </c>
      <c r="J307" s="16">
        <v>11</v>
      </c>
      <c r="K307" s="16">
        <v>1</v>
      </c>
      <c r="L307" s="122" t="s">
        <v>683</v>
      </c>
      <c r="M307" s="123" t="s">
        <v>563</v>
      </c>
      <c r="N307" s="123" t="s">
        <v>592</v>
      </c>
      <c r="O307" s="123" t="s">
        <v>620</v>
      </c>
      <c r="P307" s="10"/>
      <c r="Q307" s="214">
        <f>Q308+Q310</f>
        <v>8131.6</v>
      </c>
      <c r="R307" s="214">
        <f aca="true" t="shared" si="26" ref="Q307:S308">R308</f>
        <v>7200</v>
      </c>
      <c r="S307" s="214">
        <f t="shared" si="26"/>
        <v>7300</v>
      </c>
    </row>
    <row r="308" spans="1:19" ht="22.5" customHeight="1">
      <c r="A308" s="99"/>
      <c r="B308" s="98"/>
      <c r="C308" s="103"/>
      <c r="D308" s="101"/>
      <c r="E308" s="113"/>
      <c r="F308" s="113"/>
      <c r="G308" s="89"/>
      <c r="H308" s="11" t="s">
        <v>314</v>
      </c>
      <c r="I308" s="10">
        <v>27</v>
      </c>
      <c r="J308" s="16">
        <v>11</v>
      </c>
      <c r="K308" s="16">
        <v>1</v>
      </c>
      <c r="L308" s="122" t="s">
        <v>683</v>
      </c>
      <c r="M308" s="123" t="s">
        <v>563</v>
      </c>
      <c r="N308" s="123" t="s">
        <v>592</v>
      </c>
      <c r="O308" s="123" t="s">
        <v>313</v>
      </c>
      <c r="P308" s="10"/>
      <c r="Q308" s="214">
        <f t="shared" si="26"/>
        <v>6607.1</v>
      </c>
      <c r="R308" s="214">
        <f t="shared" si="26"/>
        <v>7200</v>
      </c>
      <c r="S308" s="214">
        <f t="shared" si="26"/>
        <v>7300</v>
      </c>
    </row>
    <row r="309" spans="1:19" ht="22.5" customHeight="1">
      <c r="A309" s="99"/>
      <c r="B309" s="98"/>
      <c r="C309" s="103"/>
      <c r="D309" s="101"/>
      <c r="E309" s="113"/>
      <c r="F309" s="113"/>
      <c r="G309" s="89"/>
      <c r="H309" s="11" t="s">
        <v>722</v>
      </c>
      <c r="I309" s="10">
        <v>27</v>
      </c>
      <c r="J309" s="16">
        <v>11</v>
      </c>
      <c r="K309" s="16">
        <v>1</v>
      </c>
      <c r="L309" s="122" t="s">
        <v>683</v>
      </c>
      <c r="M309" s="123" t="s">
        <v>563</v>
      </c>
      <c r="N309" s="123" t="s">
        <v>592</v>
      </c>
      <c r="O309" s="123" t="s">
        <v>313</v>
      </c>
      <c r="P309" s="10">
        <v>610</v>
      </c>
      <c r="Q309" s="214">
        <f>6257.1-300+150+500</f>
        <v>6607.1</v>
      </c>
      <c r="R309" s="214">
        <v>7200</v>
      </c>
      <c r="S309" s="214">
        <v>7300</v>
      </c>
    </row>
    <row r="310" spans="1:19" ht="37.5" customHeight="1">
      <c r="A310" s="99"/>
      <c r="B310" s="98"/>
      <c r="C310" s="103"/>
      <c r="D310" s="101"/>
      <c r="E310" s="113"/>
      <c r="F310" s="113"/>
      <c r="G310" s="89"/>
      <c r="H310" s="11" t="s">
        <v>61</v>
      </c>
      <c r="I310" s="10">
        <v>27</v>
      </c>
      <c r="J310" s="16">
        <v>11</v>
      </c>
      <c r="K310" s="16">
        <v>1</v>
      </c>
      <c r="L310" s="122" t="s">
        <v>683</v>
      </c>
      <c r="M310" s="123" t="s">
        <v>563</v>
      </c>
      <c r="N310" s="123" t="s">
        <v>592</v>
      </c>
      <c r="O310" s="123" t="s">
        <v>60</v>
      </c>
      <c r="P310" s="10"/>
      <c r="Q310" s="214">
        <f>Q311</f>
        <v>1524.5</v>
      </c>
      <c r="R310" s="214">
        <f>R311</f>
        <v>2884.8</v>
      </c>
      <c r="S310" s="214">
        <f>S311</f>
        <v>0</v>
      </c>
    </row>
    <row r="311" spans="1:19" ht="27" customHeight="1">
      <c r="A311" s="99"/>
      <c r="B311" s="98"/>
      <c r="C311" s="103"/>
      <c r="D311" s="101"/>
      <c r="E311" s="113"/>
      <c r="F311" s="113"/>
      <c r="G311" s="89"/>
      <c r="H311" s="11" t="s">
        <v>722</v>
      </c>
      <c r="I311" s="10">
        <v>27</v>
      </c>
      <c r="J311" s="16">
        <v>11</v>
      </c>
      <c r="K311" s="16">
        <v>1</v>
      </c>
      <c r="L311" s="122" t="s">
        <v>683</v>
      </c>
      <c r="M311" s="123" t="s">
        <v>563</v>
      </c>
      <c r="N311" s="123" t="s">
        <v>592</v>
      </c>
      <c r="O311" s="123" t="s">
        <v>60</v>
      </c>
      <c r="P311" s="10">
        <v>610</v>
      </c>
      <c r="Q311" s="214">
        <f>932.7+591.8</f>
        <v>1524.5</v>
      </c>
      <c r="R311" s="214">
        <v>2884.8</v>
      </c>
      <c r="S311" s="214">
        <v>0</v>
      </c>
    </row>
    <row r="312" spans="1:19" ht="36" customHeight="1">
      <c r="A312" s="99"/>
      <c r="B312" s="98"/>
      <c r="C312" s="103"/>
      <c r="D312" s="101"/>
      <c r="E312" s="113"/>
      <c r="F312" s="113"/>
      <c r="G312" s="89"/>
      <c r="H312" s="11" t="s">
        <v>203</v>
      </c>
      <c r="I312" s="10">
        <v>27</v>
      </c>
      <c r="J312" s="16">
        <v>11</v>
      </c>
      <c r="K312" s="16">
        <v>1</v>
      </c>
      <c r="L312" s="122" t="s">
        <v>683</v>
      </c>
      <c r="M312" s="123" t="s">
        <v>563</v>
      </c>
      <c r="N312" s="123" t="s">
        <v>593</v>
      </c>
      <c r="O312" s="123" t="s">
        <v>620</v>
      </c>
      <c r="P312" s="10"/>
      <c r="Q312" s="214">
        <f>Q313+Q315+Q317</f>
        <v>29275.9</v>
      </c>
      <c r="R312" s="214"/>
      <c r="S312" s="214"/>
    </row>
    <row r="313" spans="1:19" ht="36.75" customHeight="1">
      <c r="A313" s="99"/>
      <c r="B313" s="98"/>
      <c r="C313" s="103"/>
      <c r="D313" s="101"/>
      <c r="E313" s="113"/>
      <c r="F313" s="113"/>
      <c r="G313" s="89"/>
      <c r="H313" s="11" t="s">
        <v>204</v>
      </c>
      <c r="I313" s="10">
        <v>27</v>
      </c>
      <c r="J313" s="16">
        <v>11</v>
      </c>
      <c r="K313" s="16">
        <v>1</v>
      </c>
      <c r="L313" s="122" t="s">
        <v>683</v>
      </c>
      <c r="M313" s="123" t="s">
        <v>563</v>
      </c>
      <c r="N313" s="123" t="s">
        <v>593</v>
      </c>
      <c r="O313" s="123" t="s">
        <v>202</v>
      </c>
      <c r="P313" s="10"/>
      <c r="Q313" s="214">
        <f>Q314</f>
        <v>8130</v>
      </c>
      <c r="R313" s="214"/>
      <c r="S313" s="214"/>
    </row>
    <row r="314" spans="1:19" ht="27" customHeight="1">
      <c r="A314" s="99"/>
      <c r="B314" s="98"/>
      <c r="C314" s="103"/>
      <c r="D314" s="101"/>
      <c r="E314" s="113"/>
      <c r="F314" s="113"/>
      <c r="G314" s="89"/>
      <c r="H314" s="11" t="s">
        <v>722</v>
      </c>
      <c r="I314" s="10">
        <v>27</v>
      </c>
      <c r="J314" s="16">
        <v>11</v>
      </c>
      <c r="K314" s="16">
        <v>1</v>
      </c>
      <c r="L314" s="122" t="s">
        <v>683</v>
      </c>
      <c r="M314" s="123" t="s">
        <v>563</v>
      </c>
      <c r="N314" s="123" t="s">
        <v>593</v>
      </c>
      <c r="O314" s="123" t="s">
        <v>202</v>
      </c>
      <c r="P314" s="10">
        <v>610</v>
      </c>
      <c r="Q314" s="214">
        <v>8130</v>
      </c>
      <c r="R314" s="214"/>
      <c r="S314" s="214"/>
    </row>
    <row r="315" spans="1:19" ht="33.75" customHeight="1">
      <c r="A315" s="99"/>
      <c r="B315" s="98"/>
      <c r="C315" s="103"/>
      <c r="D315" s="101"/>
      <c r="E315" s="113"/>
      <c r="F315" s="113"/>
      <c r="G315" s="89"/>
      <c r="H315" s="11" t="s">
        <v>221</v>
      </c>
      <c r="I315" s="10">
        <v>27</v>
      </c>
      <c r="J315" s="16">
        <v>11</v>
      </c>
      <c r="K315" s="16">
        <v>1</v>
      </c>
      <c r="L315" s="122" t="s">
        <v>683</v>
      </c>
      <c r="M315" s="123" t="s">
        <v>563</v>
      </c>
      <c r="N315" s="123" t="s">
        <v>593</v>
      </c>
      <c r="O315" s="123" t="s">
        <v>219</v>
      </c>
      <c r="P315" s="10"/>
      <c r="Q315" s="214">
        <f>Q316</f>
        <v>259</v>
      </c>
      <c r="R315" s="214"/>
      <c r="S315" s="214"/>
    </row>
    <row r="316" spans="1:19" ht="27" customHeight="1">
      <c r="A316" s="99"/>
      <c r="B316" s="98"/>
      <c r="C316" s="103"/>
      <c r="D316" s="101"/>
      <c r="E316" s="113"/>
      <c r="F316" s="113"/>
      <c r="G316" s="89"/>
      <c r="H316" s="11" t="s">
        <v>722</v>
      </c>
      <c r="I316" s="10">
        <v>27</v>
      </c>
      <c r="J316" s="16">
        <v>11</v>
      </c>
      <c r="K316" s="16">
        <v>1</v>
      </c>
      <c r="L316" s="122" t="s">
        <v>683</v>
      </c>
      <c r="M316" s="123" t="s">
        <v>563</v>
      </c>
      <c r="N316" s="123" t="s">
        <v>593</v>
      </c>
      <c r="O316" s="123" t="s">
        <v>219</v>
      </c>
      <c r="P316" s="10">
        <v>610</v>
      </c>
      <c r="Q316" s="214">
        <v>259</v>
      </c>
      <c r="R316" s="214"/>
      <c r="S316" s="214"/>
    </row>
    <row r="317" spans="1:19" ht="36" customHeight="1">
      <c r="A317" s="99"/>
      <c r="B317" s="98"/>
      <c r="C317" s="103"/>
      <c r="D317" s="101"/>
      <c r="E317" s="113"/>
      <c r="F317" s="113"/>
      <c r="G317" s="89"/>
      <c r="H317" s="11" t="s">
        <v>222</v>
      </c>
      <c r="I317" s="10">
        <v>27</v>
      </c>
      <c r="J317" s="16">
        <v>11</v>
      </c>
      <c r="K317" s="16">
        <v>1</v>
      </c>
      <c r="L317" s="122" t="s">
        <v>683</v>
      </c>
      <c r="M317" s="123" t="s">
        <v>563</v>
      </c>
      <c r="N317" s="123" t="s">
        <v>593</v>
      </c>
      <c r="O317" s="123" t="s">
        <v>220</v>
      </c>
      <c r="P317" s="10"/>
      <c r="Q317" s="214">
        <f>Q318</f>
        <v>20886.9</v>
      </c>
      <c r="R317" s="214"/>
      <c r="S317" s="214"/>
    </row>
    <row r="318" spans="1:19" ht="27" customHeight="1">
      <c r="A318" s="99"/>
      <c r="B318" s="98"/>
      <c r="C318" s="103"/>
      <c r="D318" s="101"/>
      <c r="E318" s="113"/>
      <c r="F318" s="113"/>
      <c r="G318" s="89"/>
      <c r="H318" s="11" t="s">
        <v>722</v>
      </c>
      <c r="I318" s="10">
        <v>27</v>
      </c>
      <c r="J318" s="16">
        <v>11</v>
      </c>
      <c r="K318" s="16">
        <v>1</v>
      </c>
      <c r="L318" s="122" t="s">
        <v>683</v>
      </c>
      <c r="M318" s="123" t="s">
        <v>563</v>
      </c>
      <c r="N318" s="123" t="s">
        <v>593</v>
      </c>
      <c r="O318" s="123" t="s">
        <v>220</v>
      </c>
      <c r="P318" s="10">
        <v>610</v>
      </c>
      <c r="Q318" s="214">
        <v>20886.9</v>
      </c>
      <c r="R318" s="214"/>
      <c r="S318" s="214"/>
    </row>
    <row r="319" spans="1:19" s="177" customFormat="1" ht="24.75" customHeight="1">
      <c r="A319" s="158"/>
      <c r="B319" s="180"/>
      <c r="C319" s="181"/>
      <c r="D319" s="182"/>
      <c r="E319" s="183"/>
      <c r="F319" s="183"/>
      <c r="G319" s="184"/>
      <c r="H319" s="33" t="s">
        <v>765</v>
      </c>
      <c r="I319" s="14">
        <v>28</v>
      </c>
      <c r="J319" s="15"/>
      <c r="K319" s="15"/>
      <c r="L319" s="164"/>
      <c r="M319" s="165"/>
      <c r="N319" s="165"/>
      <c r="O319" s="165"/>
      <c r="P319" s="14"/>
      <c r="Q319" s="212">
        <f>Q320+Q347</f>
        <v>4484.9</v>
      </c>
      <c r="R319" s="212">
        <f>R320+R347</f>
        <v>4346.3</v>
      </c>
      <c r="S319" s="212">
        <f>S320+S347</f>
        <v>4346.3</v>
      </c>
    </row>
    <row r="320" spans="1:19" s="179" customFormat="1" ht="23.25" customHeight="1">
      <c r="A320" s="142"/>
      <c r="B320" s="143"/>
      <c r="C320" s="153"/>
      <c r="D320" s="150"/>
      <c r="E320" s="154"/>
      <c r="F320" s="154"/>
      <c r="G320" s="136"/>
      <c r="H320" s="137" t="s">
        <v>536</v>
      </c>
      <c r="I320" s="138">
        <v>28</v>
      </c>
      <c r="J320" s="139">
        <v>1</v>
      </c>
      <c r="K320" s="139" t="s">
        <v>621</v>
      </c>
      <c r="L320" s="185"/>
      <c r="M320" s="186"/>
      <c r="N320" s="186"/>
      <c r="O320" s="186"/>
      <c r="P320" s="138"/>
      <c r="Q320" s="213">
        <f>Q321+Q328+Q336</f>
        <v>4412.9</v>
      </c>
      <c r="R320" s="213">
        <f>R321+R328+R336</f>
        <v>4274.3</v>
      </c>
      <c r="S320" s="213">
        <f>S321+S328+S336</f>
        <v>4274.3</v>
      </c>
    </row>
    <row r="321" spans="1:19" s="179" customFormat="1" ht="36" customHeight="1">
      <c r="A321" s="142"/>
      <c r="B321" s="143"/>
      <c r="C321" s="153"/>
      <c r="D321" s="150"/>
      <c r="E321" s="154"/>
      <c r="F321" s="154"/>
      <c r="G321" s="136"/>
      <c r="H321" s="137" t="s">
        <v>569</v>
      </c>
      <c r="I321" s="138">
        <v>28</v>
      </c>
      <c r="J321" s="139">
        <v>1</v>
      </c>
      <c r="K321" s="139">
        <v>2</v>
      </c>
      <c r="L321" s="185"/>
      <c r="M321" s="186"/>
      <c r="N321" s="186"/>
      <c r="O321" s="186"/>
      <c r="P321" s="138"/>
      <c r="Q321" s="213">
        <f aca="true" t="shared" si="27" ref="Q321:S322">Q322</f>
        <v>1947</v>
      </c>
      <c r="R321" s="213">
        <f t="shared" si="27"/>
        <v>1946.9</v>
      </c>
      <c r="S321" s="213">
        <f t="shared" si="27"/>
        <v>1946.9</v>
      </c>
    </row>
    <row r="322" spans="1:19" s="179" customFormat="1" ht="21.75" customHeight="1">
      <c r="A322" s="142"/>
      <c r="B322" s="143"/>
      <c r="C322" s="153"/>
      <c r="D322" s="150"/>
      <c r="E322" s="154"/>
      <c r="F322" s="154"/>
      <c r="G322" s="136"/>
      <c r="H322" s="11" t="s">
        <v>581</v>
      </c>
      <c r="I322" s="10">
        <v>28</v>
      </c>
      <c r="J322" s="16">
        <v>1</v>
      </c>
      <c r="K322" s="16">
        <v>2</v>
      </c>
      <c r="L322" s="16" t="s">
        <v>582</v>
      </c>
      <c r="M322" s="96" t="s">
        <v>563</v>
      </c>
      <c r="N322" s="96" t="s">
        <v>583</v>
      </c>
      <c r="O322" s="96" t="s">
        <v>620</v>
      </c>
      <c r="P322" s="10" t="s">
        <v>534</v>
      </c>
      <c r="Q322" s="214">
        <f>Q323+Q326</f>
        <v>1947</v>
      </c>
      <c r="R322" s="214">
        <f t="shared" si="27"/>
        <v>1946.9</v>
      </c>
      <c r="S322" s="214">
        <f t="shared" si="27"/>
        <v>1946.9</v>
      </c>
    </row>
    <row r="323" spans="1:19" ht="23.25" customHeight="1">
      <c r="A323" s="97"/>
      <c r="B323" s="98"/>
      <c r="C323" s="103"/>
      <c r="D323" s="101"/>
      <c r="E323" s="113"/>
      <c r="F323" s="113"/>
      <c r="G323" s="89"/>
      <c r="H323" s="11" t="s">
        <v>766</v>
      </c>
      <c r="I323" s="10">
        <v>28</v>
      </c>
      <c r="J323" s="16">
        <v>1</v>
      </c>
      <c r="K323" s="16">
        <v>2</v>
      </c>
      <c r="L323" s="122" t="s">
        <v>582</v>
      </c>
      <c r="M323" s="123" t="s">
        <v>563</v>
      </c>
      <c r="N323" s="123" t="s">
        <v>583</v>
      </c>
      <c r="O323" s="123" t="s">
        <v>648</v>
      </c>
      <c r="P323" s="10"/>
      <c r="Q323" s="214">
        <f>SUM(Q324:Q325)</f>
        <v>1633.8</v>
      </c>
      <c r="R323" s="214">
        <f>SUM(R324:R325)</f>
        <v>1946.9</v>
      </c>
      <c r="S323" s="214">
        <f>SUM(S324:S325)</f>
        <v>1946.9</v>
      </c>
    </row>
    <row r="324" spans="1:19" ht="24.75" customHeight="1">
      <c r="A324" s="97"/>
      <c r="B324" s="98"/>
      <c r="C324" s="103"/>
      <c r="D324" s="101"/>
      <c r="E324" s="113"/>
      <c r="F324" s="113"/>
      <c r="G324" s="89"/>
      <c r="H324" s="11" t="s">
        <v>533</v>
      </c>
      <c r="I324" s="10">
        <v>28</v>
      </c>
      <c r="J324" s="16">
        <v>1</v>
      </c>
      <c r="K324" s="16">
        <v>2</v>
      </c>
      <c r="L324" s="122" t="s">
        <v>582</v>
      </c>
      <c r="M324" s="123" t="s">
        <v>563</v>
      </c>
      <c r="N324" s="123" t="s">
        <v>583</v>
      </c>
      <c r="O324" s="123" t="s">
        <v>648</v>
      </c>
      <c r="P324" s="10">
        <v>120</v>
      </c>
      <c r="Q324" s="214">
        <v>1633.8</v>
      </c>
      <c r="R324" s="214">
        <v>1633.8</v>
      </c>
      <c r="S324" s="214">
        <v>1633.8</v>
      </c>
    </row>
    <row r="325" spans="1:19" ht="29.25" customHeight="1" hidden="1">
      <c r="A325" s="97"/>
      <c r="B325" s="98"/>
      <c r="C325" s="103"/>
      <c r="D325" s="101"/>
      <c r="E325" s="113"/>
      <c r="F325" s="113"/>
      <c r="G325" s="89"/>
      <c r="H325" s="11" t="s">
        <v>720</v>
      </c>
      <c r="I325" s="10">
        <v>28</v>
      </c>
      <c r="J325" s="16">
        <v>1</v>
      </c>
      <c r="K325" s="16">
        <v>2</v>
      </c>
      <c r="L325" s="122" t="s">
        <v>582</v>
      </c>
      <c r="M325" s="123" t="s">
        <v>563</v>
      </c>
      <c r="N325" s="123" t="s">
        <v>583</v>
      </c>
      <c r="O325" s="123" t="s">
        <v>648</v>
      </c>
      <c r="P325" s="10">
        <v>240</v>
      </c>
      <c r="Q325" s="214">
        <f>313.1-313.1</f>
        <v>0</v>
      </c>
      <c r="R325" s="214">
        <v>313.1</v>
      </c>
      <c r="S325" s="214">
        <v>313.1</v>
      </c>
    </row>
    <row r="326" spans="1:19" ht="35.25" customHeight="1">
      <c r="A326" s="97"/>
      <c r="B326" s="98"/>
      <c r="C326" s="103"/>
      <c r="D326" s="101"/>
      <c r="E326" s="113"/>
      <c r="F326" s="113"/>
      <c r="G326" s="89"/>
      <c r="H326" s="11" t="s">
        <v>61</v>
      </c>
      <c r="I326" s="10">
        <v>28</v>
      </c>
      <c r="J326" s="16">
        <v>1</v>
      </c>
      <c r="K326" s="16">
        <v>2</v>
      </c>
      <c r="L326" s="122" t="s">
        <v>582</v>
      </c>
      <c r="M326" s="123" t="s">
        <v>563</v>
      </c>
      <c r="N326" s="123" t="s">
        <v>583</v>
      </c>
      <c r="O326" s="123" t="s">
        <v>60</v>
      </c>
      <c r="P326" s="10"/>
      <c r="Q326" s="214">
        <f>Q327</f>
        <v>313.2</v>
      </c>
      <c r="R326" s="214"/>
      <c r="S326" s="214"/>
    </row>
    <row r="327" spans="1:19" ht="29.25" customHeight="1">
      <c r="A327" s="97"/>
      <c r="B327" s="98"/>
      <c r="C327" s="103"/>
      <c r="D327" s="101"/>
      <c r="E327" s="113"/>
      <c r="F327" s="113"/>
      <c r="G327" s="89"/>
      <c r="H327" s="11" t="s">
        <v>533</v>
      </c>
      <c r="I327" s="10">
        <v>28</v>
      </c>
      <c r="J327" s="16">
        <v>1</v>
      </c>
      <c r="K327" s="16">
        <v>2</v>
      </c>
      <c r="L327" s="122" t="s">
        <v>582</v>
      </c>
      <c r="M327" s="123" t="s">
        <v>563</v>
      </c>
      <c r="N327" s="123" t="s">
        <v>583</v>
      </c>
      <c r="O327" s="123" t="s">
        <v>60</v>
      </c>
      <c r="P327" s="10">
        <v>120</v>
      </c>
      <c r="Q327" s="214">
        <v>313.2</v>
      </c>
      <c r="R327" s="214"/>
      <c r="S327" s="214"/>
    </row>
    <row r="328" spans="1:19" s="179" customFormat="1" ht="36" customHeight="1">
      <c r="A328" s="142"/>
      <c r="B328" s="143"/>
      <c r="C328" s="153"/>
      <c r="D328" s="150"/>
      <c r="E328" s="154"/>
      <c r="F328" s="154"/>
      <c r="G328" s="136"/>
      <c r="H328" s="137" t="s">
        <v>503</v>
      </c>
      <c r="I328" s="138">
        <v>28</v>
      </c>
      <c r="J328" s="139">
        <v>1</v>
      </c>
      <c r="K328" s="139">
        <v>3</v>
      </c>
      <c r="L328" s="185"/>
      <c r="M328" s="186"/>
      <c r="N328" s="186"/>
      <c r="O328" s="186"/>
      <c r="P328" s="138"/>
      <c r="Q328" s="213">
        <f aca="true" t="shared" si="28" ref="Q328:S329">Q329</f>
        <v>2145.9</v>
      </c>
      <c r="R328" s="213">
        <f t="shared" si="28"/>
        <v>2007.4</v>
      </c>
      <c r="S328" s="213">
        <f t="shared" si="28"/>
        <v>2007.4</v>
      </c>
    </row>
    <row r="329" spans="1:19" s="179" customFormat="1" ht="21.75" customHeight="1">
      <c r="A329" s="142"/>
      <c r="B329" s="143"/>
      <c r="C329" s="153"/>
      <c r="D329" s="150"/>
      <c r="E329" s="154"/>
      <c r="F329" s="154"/>
      <c r="G329" s="136"/>
      <c r="H329" s="11" t="s">
        <v>581</v>
      </c>
      <c r="I329" s="10">
        <v>28</v>
      </c>
      <c r="J329" s="16">
        <v>1</v>
      </c>
      <c r="K329" s="16">
        <v>3</v>
      </c>
      <c r="L329" s="16" t="s">
        <v>582</v>
      </c>
      <c r="M329" s="96" t="s">
        <v>563</v>
      </c>
      <c r="N329" s="96" t="s">
        <v>583</v>
      </c>
      <c r="O329" s="96" t="s">
        <v>620</v>
      </c>
      <c r="P329" s="138"/>
      <c r="Q329" s="213">
        <f>Q330+Q334</f>
        <v>2145.9</v>
      </c>
      <c r="R329" s="213">
        <f t="shared" si="28"/>
        <v>2007.4</v>
      </c>
      <c r="S329" s="213">
        <f t="shared" si="28"/>
        <v>2007.4</v>
      </c>
    </row>
    <row r="330" spans="1:19" ht="20.25" customHeight="1">
      <c r="A330" s="97"/>
      <c r="B330" s="98"/>
      <c r="C330" s="103"/>
      <c r="D330" s="101"/>
      <c r="E330" s="113"/>
      <c r="F330" s="113"/>
      <c r="G330" s="89"/>
      <c r="H330" s="11" t="s">
        <v>766</v>
      </c>
      <c r="I330" s="10">
        <v>28</v>
      </c>
      <c r="J330" s="16">
        <v>1</v>
      </c>
      <c r="K330" s="16">
        <v>3</v>
      </c>
      <c r="L330" s="122" t="s">
        <v>582</v>
      </c>
      <c r="M330" s="123" t="s">
        <v>563</v>
      </c>
      <c r="N330" s="123" t="s">
        <v>583</v>
      </c>
      <c r="O330" s="123" t="s">
        <v>648</v>
      </c>
      <c r="P330" s="10"/>
      <c r="Q330" s="214">
        <f>SUM(Q331:Q333)</f>
        <v>1928.7</v>
      </c>
      <c r="R330" s="214">
        <f>SUM(R331:R332)</f>
        <v>2007.4</v>
      </c>
      <c r="S330" s="214">
        <f>SUM(S331:S332)</f>
        <v>2007.4</v>
      </c>
    </row>
    <row r="331" spans="1:19" ht="24.75" customHeight="1">
      <c r="A331" s="97"/>
      <c r="B331" s="98"/>
      <c r="C331" s="103"/>
      <c r="D331" s="101"/>
      <c r="E331" s="113"/>
      <c r="F331" s="113"/>
      <c r="G331" s="89"/>
      <c r="H331" s="11" t="s">
        <v>533</v>
      </c>
      <c r="I331" s="10">
        <v>28</v>
      </c>
      <c r="J331" s="16">
        <v>1</v>
      </c>
      <c r="K331" s="16">
        <v>3</v>
      </c>
      <c r="L331" s="122" t="s">
        <v>582</v>
      </c>
      <c r="M331" s="123" t="s">
        <v>563</v>
      </c>
      <c r="N331" s="123" t="s">
        <v>583</v>
      </c>
      <c r="O331" s="123" t="s">
        <v>648</v>
      </c>
      <c r="P331" s="10">
        <v>120</v>
      </c>
      <c r="Q331" s="214">
        <f>1125.7-0.3</f>
        <v>1125.4</v>
      </c>
      <c r="R331" s="214">
        <v>1125.7</v>
      </c>
      <c r="S331" s="214">
        <v>1125.7</v>
      </c>
    </row>
    <row r="332" spans="1:19" ht="23.25" customHeight="1">
      <c r="A332" s="97"/>
      <c r="B332" s="98"/>
      <c r="C332" s="103"/>
      <c r="D332" s="101"/>
      <c r="E332" s="113"/>
      <c r="F332" s="113"/>
      <c r="G332" s="89"/>
      <c r="H332" s="11" t="s">
        <v>720</v>
      </c>
      <c r="I332" s="10">
        <v>28</v>
      </c>
      <c r="J332" s="16">
        <v>1</v>
      </c>
      <c r="K332" s="16">
        <v>3</v>
      </c>
      <c r="L332" s="122" t="s">
        <v>582</v>
      </c>
      <c r="M332" s="123" t="s">
        <v>563</v>
      </c>
      <c r="N332" s="123" t="s">
        <v>583</v>
      </c>
      <c r="O332" s="123" t="s">
        <v>648</v>
      </c>
      <c r="P332" s="10">
        <v>240</v>
      </c>
      <c r="Q332" s="214">
        <f>881.7-78.7</f>
        <v>803</v>
      </c>
      <c r="R332" s="214">
        <v>881.7</v>
      </c>
      <c r="S332" s="214">
        <v>881.7</v>
      </c>
    </row>
    <row r="333" spans="1:19" ht="23.25" customHeight="1">
      <c r="A333" s="97"/>
      <c r="B333" s="98"/>
      <c r="C333" s="103"/>
      <c r="D333" s="101"/>
      <c r="E333" s="113"/>
      <c r="F333" s="113"/>
      <c r="G333" s="89"/>
      <c r="H333" s="11" t="s">
        <v>721</v>
      </c>
      <c r="I333" s="10">
        <v>28</v>
      </c>
      <c r="J333" s="16">
        <v>1</v>
      </c>
      <c r="K333" s="16">
        <v>3</v>
      </c>
      <c r="L333" s="122" t="s">
        <v>582</v>
      </c>
      <c r="M333" s="123" t="s">
        <v>563</v>
      </c>
      <c r="N333" s="123" t="s">
        <v>583</v>
      </c>
      <c r="O333" s="123" t="s">
        <v>648</v>
      </c>
      <c r="P333" s="10">
        <v>850</v>
      </c>
      <c r="Q333" s="214">
        <v>0.3</v>
      </c>
      <c r="R333" s="216"/>
      <c r="S333" s="216"/>
    </row>
    <row r="334" spans="1:19" ht="34.5" customHeight="1">
      <c r="A334" s="97"/>
      <c r="B334" s="98"/>
      <c r="C334" s="103"/>
      <c r="D334" s="101"/>
      <c r="E334" s="113"/>
      <c r="F334" s="113"/>
      <c r="G334" s="89"/>
      <c r="H334" s="11" t="s">
        <v>61</v>
      </c>
      <c r="I334" s="10">
        <v>28</v>
      </c>
      <c r="J334" s="16">
        <v>1</v>
      </c>
      <c r="K334" s="16">
        <v>3</v>
      </c>
      <c r="L334" s="122" t="s">
        <v>582</v>
      </c>
      <c r="M334" s="123" t="s">
        <v>563</v>
      </c>
      <c r="N334" s="123" t="s">
        <v>583</v>
      </c>
      <c r="O334" s="123" t="s">
        <v>60</v>
      </c>
      <c r="P334" s="10"/>
      <c r="Q334" s="214">
        <f>Q335</f>
        <v>217.2</v>
      </c>
      <c r="R334" s="216"/>
      <c r="S334" s="216"/>
    </row>
    <row r="335" spans="1:19" ht="23.25" customHeight="1">
      <c r="A335" s="97"/>
      <c r="B335" s="98"/>
      <c r="C335" s="103"/>
      <c r="D335" s="101"/>
      <c r="E335" s="113"/>
      <c r="F335" s="113"/>
      <c r="G335" s="89"/>
      <c r="H335" s="11" t="s">
        <v>533</v>
      </c>
      <c r="I335" s="10">
        <v>28</v>
      </c>
      <c r="J335" s="16">
        <v>1</v>
      </c>
      <c r="K335" s="16">
        <v>3</v>
      </c>
      <c r="L335" s="122" t="s">
        <v>582</v>
      </c>
      <c r="M335" s="123" t="s">
        <v>563</v>
      </c>
      <c r="N335" s="123" t="s">
        <v>583</v>
      </c>
      <c r="O335" s="123" t="s">
        <v>60</v>
      </c>
      <c r="P335" s="10">
        <v>120</v>
      </c>
      <c r="Q335" s="214">
        <f>78.7+138.5</f>
        <v>217.2</v>
      </c>
      <c r="R335" s="216"/>
      <c r="S335" s="216"/>
    </row>
    <row r="336" spans="1:19" ht="23.25" customHeight="1">
      <c r="A336" s="97"/>
      <c r="B336" s="98"/>
      <c r="C336" s="103"/>
      <c r="D336" s="101"/>
      <c r="E336" s="113"/>
      <c r="F336" s="113"/>
      <c r="G336" s="89"/>
      <c r="H336" s="252" t="s">
        <v>535</v>
      </c>
      <c r="I336" s="138">
        <v>28</v>
      </c>
      <c r="J336" s="139">
        <v>1</v>
      </c>
      <c r="K336" s="139">
        <v>13</v>
      </c>
      <c r="L336" s="122"/>
      <c r="M336" s="123"/>
      <c r="N336" s="123"/>
      <c r="O336" s="123"/>
      <c r="P336" s="6"/>
      <c r="Q336" s="217">
        <f>Q337+Q344</f>
        <v>320</v>
      </c>
      <c r="R336" s="217">
        <f>R337+R344</f>
        <v>320</v>
      </c>
      <c r="S336" s="217">
        <f>S337+S344</f>
        <v>320</v>
      </c>
    </row>
    <row r="337" spans="1:19" ht="33.75" customHeight="1">
      <c r="A337" s="99"/>
      <c r="B337" s="98"/>
      <c r="C337" s="103"/>
      <c r="D337" s="101"/>
      <c r="E337" s="113"/>
      <c r="F337" s="113"/>
      <c r="G337" s="105"/>
      <c r="H337" s="3" t="s">
        <v>29</v>
      </c>
      <c r="I337" s="6">
        <v>28</v>
      </c>
      <c r="J337" s="7">
        <v>1</v>
      </c>
      <c r="K337" s="16">
        <v>13</v>
      </c>
      <c r="L337" s="95" t="s">
        <v>593</v>
      </c>
      <c r="M337" s="96" t="s">
        <v>563</v>
      </c>
      <c r="N337" s="96" t="s">
        <v>583</v>
      </c>
      <c r="O337" s="96" t="s">
        <v>620</v>
      </c>
      <c r="P337" s="6"/>
      <c r="Q337" s="216">
        <f>Q338+Q341</f>
        <v>320</v>
      </c>
      <c r="R337" s="216">
        <f>R338+R341</f>
        <v>0</v>
      </c>
      <c r="S337" s="216">
        <f>S338+S341</f>
        <v>0</v>
      </c>
    </row>
    <row r="338" spans="1:19" ht="19.5" customHeight="1">
      <c r="A338" s="99"/>
      <c r="B338" s="98"/>
      <c r="C338" s="103"/>
      <c r="D338" s="101"/>
      <c r="E338" s="113"/>
      <c r="F338" s="113"/>
      <c r="G338" s="105"/>
      <c r="H338" s="3" t="s">
        <v>27</v>
      </c>
      <c r="I338" s="8">
        <v>28</v>
      </c>
      <c r="J338" s="7">
        <v>1</v>
      </c>
      <c r="K338" s="16">
        <v>13</v>
      </c>
      <c r="L338" s="95" t="s">
        <v>593</v>
      </c>
      <c r="M338" s="96" t="s">
        <v>563</v>
      </c>
      <c r="N338" s="96" t="s">
        <v>564</v>
      </c>
      <c r="O338" s="96" t="s">
        <v>620</v>
      </c>
      <c r="P338" s="6"/>
      <c r="Q338" s="216">
        <f aca="true" t="shared" si="29" ref="Q338:S339">Q339</f>
        <v>260</v>
      </c>
      <c r="R338" s="216">
        <f t="shared" si="29"/>
        <v>0</v>
      </c>
      <c r="S338" s="216">
        <f t="shared" si="29"/>
        <v>0</v>
      </c>
    </row>
    <row r="339" spans="1:19" ht="36.75" customHeight="1">
      <c r="A339" s="99"/>
      <c r="B339" s="98"/>
      <c r="C339" s="103"/>
      <c r="D339" s="101"/>
      <c r="E339" s="113"/>
      <c r="F339" s="113"/>
      <c r="G339" s="105">
        <v>240</v>
      </c>
      <c r="H339" s="18" t="s">
        <v>250</v>
      </c>
      <c r="I339" s="8">
        <v>28</v>
      </c>
      <c r="J339" s="7">
        <v>1</v>
      </c>
      <c r="K339" s="16">
        <v>13</v>
      </c>
      <c r="L339" s="95" t="s">
        <v>593</v>
      </c>
      <c r="M339" s="96" t="s">
        <v>563</v>
      </c>
      <c r="N339" s="96" t="s">
        <v>564</v>
      </c>
      <c r="O339" s="96" t="s">
        <v>251</v>
      </c>
      <c r="P339" s="6"/>
      <c r="Q339" s="216">
        <f t="shared" si="29"/>
        <v>260</v>
      </c>
      <c r="R339" s="216">
        <f t="shared" si="29"/>
        <v>0</v>
      </c>
      <c r="S339" s="216">
        <f t="shared" si="29"/>
        <v>0</v>
      </c>
    </row>
    <row r="340" spans="1:19" ht="24.75" customHeight="1">
      <c r="A340" s="110"/>
      <c r="B340" s="111"/>
      <c r="C340" s="106"/>
      <c r="D340" s="107"/>
      <c r="E340" s="104"/>
      <c r="F340" s="104"/>
      <c r="G340" s="105"/>
      <c r="H340" s="5" t="s">
        <v>613</v>
      </c>
      <c r="I340" s="6">
        <v>28</v>
      </c>
      <c r="J340" s="7">
        <v>1</v>
      </c>
      <c r="K340" s="16">
        <v>13</v>
      </c>
      <c r="L340" s="95" t="s">
        <v>593</v>
      </c>
      <c r="M340" s="96" t="s">
        <v>563</v>
      </c>
      <c r="N340" s="96" t="s">
        <v>564</v>
      </c>
      <c r="O340" s="96" t="s">
        <v>251</v>
      </c>
      <c r="P340" s="6">
        <v>340</v>
      </c>
      <c r="Q340" s="214">
        <v>260</v>
      </c>
      <c r="R340" s="216"/>
      <c r="S340" s="216"/>
    </row>
    <row r="341" spans="1:19" ht="24.75" customHeight="1">
      <c r="A341" s="110"/>
      <c r="B341" s="111"/>
      <c r="C341" s="106"/>
      <c r="D341" s="107"/>
      <c r="E341" s="104"/>
      <c r="F341" s="104"/>
      <c r="G341" s="105"/>
      <c r="H341" s="5" t="s">
        <v>28</v>
      </c>
      <c r="I341" s="6">
        <v>28</v>
      </c>
      <c r="J341" s="7">
        <v>1</v>
      </c>
      <c r="K341" s="16">
        <v>13</v>
      </c>
      <c r="L341" s="95" t="s">
        <v>593</v>
      </c>
      <c r="M341" s="96" t="s">
        <v>563</v>
      </c>
      <c r="N341" s="96" t="s">
        <v>592</v>
      </c>
      <c r="O341" s="96" t="s">
        <v>620</v>
      </c>
      <c r="P341" s="6"/>
      <c r="Q341" s="214">
        <f aca="true" t="shared" si="30" ref="Q341:S342">Q342</f>
        <v>60</v>
      </c>
      <c r="R341" s="214">
        <f t="shared" si="30"/>
        <v>0</v>
      </c>
      <c r="S341" s="214">
        <f t="shared" si="30"/>
        <v>0</v>
      </c>
    </row>
    <row r="342" spans="1:19" ht="36.75" customHeight="1">
      <c r="A342" s="110"/>
      <c r="B342" s="111"/>
      <c r="C342" s="106"/>
      <c r="D342" s="107"/>
      <c r="E342" s="104"/>
      <c r="F342" s="104"/>
      <c r="G342" s="105"/>
      <c r="H342" s="5" t="s">
        <v>250</v>
      </c>
      <c r="I342" s="6">
        <v>28</v>
      </c>
      <c r="J342" s="7">
        <v>1</v>
      </c>
      <c r="K342" s="16">
        <v>13</v>
      </c>
      <c r="L342" s="95" t="s">
        <v>593</v>
      </c>
      <c r="M342" s="96" t="s">
        <v>563</v>
      </c>
      <c r="N342" s="96" t="s">
        <v>592</v>
      </c>
      <c r="O342" s="96" t="s">
        <v>251</v>
      </c>
      <c r="P342" s="6"/>
      <c r="Q342" s="214">
        <f t="shared" si="30"/>
        <v>60</v>
      </c>
      <c r="R342" s="214">
        <f t="shared" si="30"/>
        <v>0</v>
      </c>
      <c r="S342" s="214">
        <f t="shared" si="30"/>
        <v>0</v>
      </c>
    </row>
    <row r="343" spans="1:19" ht="24.75" customHeight="1">
      <c r="A343" s="110"/>
      <c r="B343" s="111"/>
      <c r="C343" s="106"/>
      <c r="D343" s="107"/>
      <c r="E343" s="104"/>
      <c r="F343" s="104"/>
      <c r="G343" s="105"/>
      <c r="H343" s="5" t="s">
        <v>720</v>
      </c>
      <c r="I343" s="6">
        <v>28</v>
      </c>
      <c r="J343" s="7">
        <v>1</v>
      </c>
      <c r="K343" s="16">
        <v>13</v>
      </c>
      <c r="L343" s="95" t="s">
        <v>593</v>
      </c>
      <c r="M343" s="96" t="s">
        <v>563</v>
      </c>
      <c r="N343" s="96" t="s">
        <v>592</v>
      </c>
      <c r="O343" s="96" t="s">
        <v>251</v>
      </c>
      <c r="P343" s="6">
        <v>240</v>
      </c>
      <c r="Q343" s="214">
        <v>60</v>
      </c>
      <c r="R343" s="214"/>
      <c r="S343" s="214"/>
    </row>
    <row r="344" spans="1:19" ht="36" customHeight="1" hidden="1">
      <c r="A344" s="110"/>
      <c r="B344" s="111"/>
      <c r="C344" s="106"/>
      <c r="D344" s="107"/>
      <c r="E344" s="104"/>
      <c r="F344" s="104"/>
      <c r="G344" s="105"/>
      <c r="H344" s="5" t="s">
        <v>250</v>
      </c>
      <c r="I344" s="8">
        <v>28</v>
      </c>
      <c r="J344" s="21">
        <v>1</v>
      </c>
      <c r="K344" s="16">
        <v>13</v>
      </c>
      <c r="L344" s="95" t="s">
        <v>580</v>
      </c>
      <c r="M344" s="96" t="s">
        <v>563</v>
      </c>
      <c r="N344" s="96" t="s">
        <v>583</v>
      </c>
      <c r="O344" s="96" t="s">
        <v>251</v>
      </c>
      <c r="P344" s="6"/>
      <c r="Q344" s="214"/>
      <c r="R344" s="214">
        <f>SUM(R345:R346)</f>
        <v>320</v>
      </c>
      <c r="S344" s="214">
        <f>SUM(S345:S346)</f>
        <v>320</v>
      </c>
    </row>
    <row r="345" spans="1:19" ht="24.75" customHeight="1" hidden="1">
      <c r="A345" s="110"/>
      <c r="B345" s="111"/>
      <c r="C345" s="106"/>
      <c r="D345" s="107"/>
      <c r="E345" s="104"/>
      <c r="F345" s="104"/>
      <c r="G345" s="105"/>
      <c r="H345" s="5" t="s">
        <v>720</v>
      </c>
      <c r="I345" s="8">
        <v>28</v>
      </c>
      <c r="J345" s="21">
        <v>1</v>
      </c>
      <c r="K345" s="16">
        <v>13</v>
      </c>
      <c r="L345" s="95" t="s">
        <v>580</v>
      </c>
      <c r="M345" s="96" t="s">
        <v>563</v>
      </c>
      <c r="N345" s="96" t="s">
        <v>583</v>
      </c>
      <c r="O345" s="96" t="s">
        <v>251</v>
      </c>
      <c r="P345" s="6">
        <v>240</v>
      </c>
      <c r="Q345" s="214">
        <v>0</v>
      </c>
      <c r="R345" s="216">
        <v>60</v>
      </c>
      <c r="S345" s="216">
        <v>60</v>
      </c>
    </row>
    <row r="346" spans="1:19" ht="24.75" customHeight="1" hidden="1">
      <c r="A346" s="110"/>
      <c r="B346" s="111"/>
      <c r="C346" s="106"/>
      <c r="D346" s="107"/>
      <c r="E346" s="104"/>
      <c r="F346" s="104"/>
      <c r="G346" s="105"/>
      <c r="H346" s="5" t="s">
        <v>613</v>
      </c>
      <c r="I346" s="8">
        <v>28</v>
      </c>
      <c r="J346" s="21">
        <v>1</v>
      </c>
      <c r="K346" s="16">
        <v>13</v>
      </c>
      <c r="L346" s="95" t="s">
        <v>580</v>
      </c>
      <c r="M346" s="96" t="s">
        <v>563</v>
      </c>
      <c r="N346" s="96" t="s">
        <v>583</v>
      </c>
      <c r="O346" s="96" t="s">
        <v>251</v>
      </c>
      <c r="P346" s="6">
        <v>340</v>
      </c>
      <c r="Q346" s="214">
        <v>0</v>
      </c>
      <c r="R346" s="216">
        <v>260</v>
      </c>
      <c r="S346" s="216">
        <v>260</v>
      </c>
    </row>
    <row r="347" spans="1:19" s="179" customFormat="1" ht="24.75" customHeight="1">
      <c r="A347" s="166"/>
      <c r="B347" s="235"/>
      <c r="C347" s="157"/>
      <c r="D347" s="170"/>
      <c r="E347" s="145"/>
      <c r="F347" s="145"/>
      <c r="G347" s="155"/>
      <c r="H347" s="226" t="s">
        <v>541</v>
      </c>
      <c r="I347" s="233">
        <v>28</v>
      </c>
      <c r="J347" s="234">
        <v>10</v>
      </c>
      <c r="K347" s="139"/>
      <c r="L347" s="140"/>
      <c r="M347" s="141"/>
      <c r="N347" s="141"/>
      <c r="O347" s="141"/>
      <c r="P347" s="146"/>
      <c r="Q347" s="213">
        <f>Q348</f>
        <v>72</v>
      </c>
      <c r="R347" s="213">
        <f>R348</f>
        <v>72</v>
      </c>
      <c r="S347" s="213">
        <f>S348</f>
        <v>72</v>
      </c>
    </row>
    <row r="348" spans="1:19" s="130" customFormat="1" ht="24.75" customHeight="1">
      <c r="A348" s="110"/>
      <c r="B348" s="201"/>
      <c r="C348" s="222"/>
      <c r="D348" s="223"/>
      <c r="E348" s="224"/>
      <c r="F348" s="224"/>
      <c r="G348" s="225"/>
      <c r="H348" s="226" t="s">
        <v>540</v>
      </c>
      <c r="I348" s="227">
        <v>28</v>
      </c>
      <c r="J348" s="228">
        <v>10</v>
      </c>
      <c r="K348" s="229">
        <v>3</v>
      </c>
      <c r="L348" s="230"/>
      <c r="M348" s="231"/>
      <c r="N348" s="231"/>
      <c r="O348" s="231"/>
      <c r="P348" s="227"/>
      <c r="Q348" s="232">
        <f>Q349</f>
        <v>72</v>
      </c>
      <c r="R348" s="232">
        <f>R352</f>
        <v>72</v>
      </c>
      <c r="S348" s="232">
        <f>S352</f>
        <v>72</v>
      </c>
    </row>
    <row r="349" spans="1:19" ht="54.75" customHeight="1">
      <c r="A349" s="110"/>
      <c r="B349" s="111"/>
      <c r="C349" s="106"/>
      <c r="D349" s="107"/>
      <c r="E349" s="104"/>
      <c r="F349" s="104"/>
      <c r="G349" s="105"/>
      <c r="H349" s="5" t="s">
        <v>518</v>
      </c>
      <c r="I349" s="6">
        <v>28</v>
      </c>
      <c r="J349" s="7">
        <v>10</v>
      </c>
      <c r="K349" s="16">
        <v>3</v>
      </c>
      <c r="L349" s="95" t="s">
        <v>593</v>
      </c>
      <c r="M349" s="96" t="s">
        <v>563</v>
      </c>
      <c r="N349" s="96" t="s">
        <v>593</v>
      </c>
      <c r="O349" s="96" t="s">
        <v>620</v>
      </c>
      <c r="P349" s="6"/>
      <c r="Q349" s="214">
        <f>Q350</f>
        <v>72</v>
      </c>
      <c r="R349" s="214"/>
      <c r="S349" s="214"/>
    </row>
    <row r="350" spans="1:19" ht="34.5" customHeight="1">
      <c r="A350" s="110"/>
      <c r="B350" s="111"/>
      <c r="C350" s="106"/>
      <c r="D350" s="107"/>
      <c r="E350" s="104"/>
      <c r="F350" s="104"/>
      <c r="G350" s="105"/>
      <c r="H350" s="5" t="s">
        <v>250</v>
      </c>
      <c r="I350" s="6">
        <v>28</v>
      </c>
      <c r="J350" s="7">
        <v>10</v>
      </c>
      <c r="K350" s="16">
        <v>3</v>
      </c>
      <c r="L350" s="95" t="s">
        <v>593</v>
      </c>
      <c r="M350" s="96" t="s">
        <v>563</v>
      </c>
      <c r="N350" s="96" t="s">
        <v>593</v>
      </c>
      <c r="O350" s="96" t="s">
        <v>251</v>
      </c>
      <c r="P350" s="6"/>
      <c r="Q350" s="214">
        <f>Q351</f>
        <v>72</v>
      </c>
      <c r="R350" s="214"/>
      <c r="S350" s="214"/>
    </row>
    <row r="351" spans="1:19" ht="24.75" customHeight="1">
      <c r="A351" s="110"/>
      <c r="B351" s="111"/>
      <c r="C351" s="106"/>
      <c r="D351" s="107"/>
      <c r="E351" s="104"/>
      <c r="F351" s="104"/>
      <c r="G351" s="105"/>
      <c r="H351" s="5" t="s">
        <v>724</v>
      </c>
      <c r="I351" s="6">
        <v>28</v>
      </c>
      <c r="J351" s="7">
        <v>10</v>
      </c>
      <c r="K351" s="16">
        <v>3</v>
      </c>
      <c r="L351" s="95" t="s">
        <v>593</v>
      </c>
      <c r="M351" s="96" t="s">
        <v>563</v>
      </c>
      <c r="N351" s="96" t="s">
        <v>593</v>
      </c>
      <c r="O351" s="96" t="s">
        <v>251</v>
      </c>
      <c r="P351" s="6">
        <v>310</v>
      </c>
      <c r="Q351" s="214">
        <v>72</v>
      </c>
      <c r="R351" s="214"/>
      <c r="S351" s="214"/>
    </row>
    <row r="352" spans="1:19" ht="51" customHeight="1" hidden="1">
      <c r="A352" s="110"/>
      <c r="B352" s="111"/>
      <c r="C352" s="106"/>
      <c r="D352" s="107"/>
      <c r="E352" s="104"/>
      <c r="F352" s="104"/>
      <c r="G352" s="105"/>
      <c r="H352" s="11" t="s">
        <v>250</v>
      </c>
      <c r="I352" s="10">
        <v>28</v>
      </c>
      <c r="J352" s="16">
        <v>10</v>
      </c>
      <c r="K352" s="16">
        <v>3</v>
      </c>
      <c r="L352" s="122" t="s">
        <v>580</v>
      </c>
      <c r="M352" s="123" t="s">
        <v>563</v>
      </c>
      <c r="N352" s="123" t="s">
        <v>583</v>
      </c>
      <c r="O352" s="123" t="s">
        <v>251</v>
      </c>
      <c r="P352" s="10"/>
      <c r="Q352" s="214"/>
      <c r="R352" s="216">
        <f>R353</f>
        <v>72</v>
      </c>
      <c r="S352" s="216">
        <f>S353</f>
        <v>72</v>
      </c>
    </row>
    <row r="353" spans="1:19" ht="24" customHeight="1" hidden="1">
      <c r="A353" s="110"/>
      <c r="B353" s="111"/>
      <c r="C353" s="106"/>
      <c r="D353" s="107"/>
      <c r="E353" s="104"/>
      <c r="F353" s="104"/>
      <c r="G353" s="105"/>
      <c r="H353" s="11" t="s">
        <v>724</v>
      </c>
      <c r="I353" s="10">
        <v>28</v>
      </c>
      <c r="J353" s="16">
        <v>10</v>
      </c>
      <c r="K353" s="16">
        <v>3</v>
      </c>
      <c r="L353" s="122" t="s">
        <v>580</v>
      </c>
      <c r="M353" s="123" t="s">
        <v>563</v>
      </c>
      <c r="N353" s="123" t="s">
        <v>583</v>
      </c>
      <c r="O353" s="123" t="s">
        <v>251</v>
      </c>
      <c r="P353" s="10">
        <v>310</v>
      </c>
      <c r="Q353" s="214">
        <v>0</v>
      </c>
      <c r="R353" s="216">
        <v>72</v>
      </c>
      <c r="S353" s="216">
        <v>72</v>
      </c>
    </row>
    <row r="354" spans="1:19" s="319" customFormat="1" ht="26.25" customHeight="1">
      <c r="A354" s="158"/>
      <c r="B354" s="159"/>
      <c r="C354" s="160"/>
      <c r="D354" s="161"/>
      <c r="E354" s="162"/>
      <c r="F354" s="162">
        <v>5250102</v>
      </c>
      <c r="G354" s="163">
        <v>530</v>
      </c>
      <c r="H354" s="33" t="s">
        <v>373</v>
      </c>
      <c r="I354" s="14">
        <v>658</v>
      </c>
      <c r="J354" s="15" t="s">
        <v>534</v>
      </c>
      <c r="K354" s="15" t="s">
        <v>534</v>
      </c>
      <c r="L354" s="164" t="s">
        <v>534</v>
      </c>
      <c r="M354" s="165" t="s">
        <v>534</v>
      </c>
      <c r="N354" s="165"/>
      <c r="O354" s="165" t="s">
        <v>534</v>
      </c>
      <c r="P354" s="14" t="s">
        <v>534</v>
      </c>
      <c r="Q354" s="212">
        <f aca="true" t="shared" si="31" ref="Q354:S355">Q355</f>
        <v>1759.1999999999998</v>
      </c>
      <c r="R354" s="212">
        <f t="shared" si="31"/>
        <v>1542.6999999999998</v>
      </c>
      <c r="S354" s="212">
        <f t="shared" si="31"/>
        <v>1542.6999999999998</v>
      </c>
    </row>
    <row r="355" spans="1:19" s="179" customFormat="1" ht="33.75" customHeight="1">
      <c r="A355" s="142"/>
      <c r="B355" s="143"/>
      <c r="C355" s="153"/>
      <c r="D355" s="150"/>
      <c r="E355" s="154"/>
      <c r="F355" s="154"/>
      <c r="G355" s="155">
        <v>530</v>
      </c>
      <c r="H355" s="137" t="s">
        <v>536</v>
      </c>
      <c r="I355" s="138">
        <v>658</v>
      </c>
      <c r="J355" s="139">
        <v>1</v>
      </c>
      <c r="K355" s="139" t="s">
        <v>621</v>
      </c>
      <c r="L355" s="140" t="s">
        <v>534</v>
      </c>
      <c r="M355" s="141" t="s">
        <v>534</v>
      </c>
      <c r="N355" s="141"/>
      <c r="O355" s="141" t="s">
        <v>534</v>
      </c>
      <c r="P355" s="138" t="s">
        <v>534</v>
      </c>
      <c r="Q355" s="213">
        <f t="shared" si="31"/>
        <v>1759.1999999999998</v>
      </c>
      <c r="R355" s="213">
        <f t="shared" si="31"/>
        <v>1542.6999999999998</v>
      </c>
      <c r="S355" s="213">
        <f t="shared" si="31"/>
        <v>1542.6999999999998</v>
      </c>
    </row>
    <row r="356" spans="1:19" s="179" customFormat="1" ht="33.75" customHeight="1">
      <c r="A356" s="142"/>
      <c r="B356" s="143"/>
      <c r="C356" s="153"/>
      <c r="D356" s="150"/>
      <c r="E356" s="154"/>
      <c r="F356" s="154">
        <v>5250103</v>
      </c>
      <c r="G356" s="155">
        <v>530</v>
      </c>
      <c r="H356" s="137" t="s">
        <v>371</v>
      </c>
      <c r="I356" s="138">
        <v>658</v>
      </c>
      <c r="J356" s="139">
        <v>1</v>
      </c>
      <c r="K356" s="139">
        <v>6</v>
      </c>
      <c r="L356" s="140" t="s">
        <v>534</v>
      </c>
      <c r="M356" s="141" t="s">
        <v>534</v>
      </c>
      <c r="N356" s="141"/>
      <c r="O356" s="141" t="s">
        <v>534</v>
      </c>
      <c r="P356" s="138" t="s">
        <v>534</v>
      </c>
      <c r="Q356" s="213">
        <f>Q357+Q363+Q361</f>
        <v>1759.1999999999998</v>
      </c>
      <c r="R356" s="213">
        <f>R357+R363</f>
        <v>1542.6999999999998</v>
      </c>
      <c r="S356" s="213">
        <f>S357+S363</f>
        <v>1542.6999999999998</v>
      </c>
    </row>
    <row r="357" spans="1:19" ht="22.5" customHeight="1">
      <c r="A357" s="99"/>
      <c r="B357" s="98"/>
      <c r="C357" s="103"/>
      <c r="D357" s="101"/>
      <c r="E357" s="113"/>
      <c r="F357" s="113">
        <v>5250104</v>
      </c>
      <c r="G357" s="105">
        <v>530</v>
      </c>
      <c r="H357" s="11" t="s">
        <v>342</v>
      </c>
      <c r="I357" s="10">
        <v>658</v>
      </c>
      <c r="J357" s="16">
        <v>1</v>
      </c>
      <c r="K357" s="16">
        <v>6</v>
      </c>
      <c r="L357" s="16" t="s">
        <v>580</v>
      </c>
      <c r="M357" s="96" t="s">
        <v>563</v>
      </c>
      <c r="N357" s="96" t="s">
        <v>583</v>
      </c>
      <c r="O357" s="96" t="s">
        <v>648</v>
      </c>
      <c r="P357" s="10" t="s">
        <v>534</v>
      </c>
      <c r="Q357" s="214">
        <f>SUM(Q358:Q360)</f>
        <v>1291.6</v>
      </c>
      <c r="R357" s="214">
        <f>SUM(R358:R359)</f>
        <v>1542.6999999999998</v>
      </c>
      <c r="S357" s="214">
        <f>SUM(S358:S359)</f>
        <v>1542.6999999999998</v>
      </c>
    </row>
    <row r="358" spans="1:19" ht="22.5" customHeight="1">
      <c r="A358" s="99"/>
      <c r="B358" s="98"/>
      <c r="C358" s="103"/>
      <c r="D358" s="101"/>
      <c r="E358" s="113"/>
      <c r="F358" s="113"/>
      <c r="G358" s="105"/>
      <c r="H358" s="11" t="s">
        <v>533</v>
      </c>
      <c r="I358" s="6">
        <v>658</v>
      </c>
      <c r="J358" s="19">
        <v>1</v>
      </c>
      <c r="K358" s="16">
        <v>6</v>
      </c>
      <c r="L358" s="16">
        <v>91</v>
      </c>
      <c r="M358" s="96" t="s">
        <v>563</v>
      </c>
      <c r="N358" s="96" t="s">
        <v>583</v>
      </c>
      <c r="O358" s="96" t="s">
        <v>648</v>
      </c>
      <c r="P358" s="10">
        <v>120</v>
      </c>
      <c r="Q358" s="214">
        <f>1273.6-0.1</f>
        <v>1273.5</v>
      </c>
      <c r="R358" s="214">
        <v>1273.6</v>
      </c>
      <c r="S358" s="214">
        <v>1273.6</v>
      </c>
    </row>
    <row r="359" spans="1:19" ht="20.25" customHeight="1">
      <c r="A359" s="99"/>
      <c r="B359" s="98"/>
      <c r="C359" s="103"/>
      <c r="D359" s="101"/>
      <c r="E359" s="113"/>
      <c r="F359" s="113"/>
      <c r="G359" s="105"/>
      <c r="H359" s="5" t="s">
        <v>720</v>
      </c>
      <c r="I359" s="8">
        <v>658</v>
      </c>
      <c r="J359" s="21">
        <v>1</v>
      </c>
      <c r="K359" s="16">
        <v>6</v>
      </c>
      <c r="L359" s="16">
        <v>91</v>
      </c>
      <c r="M359" s="96" t="s">
        <v>563</v>
      </c>
      <c r="N359" s="96" t="s">
        <v>583</v>
      </c>
      <c r="O359" s="96" t="s">
        <v>648</v>
      </c>
      <c r="P359" s="6">
        <v>240</v>
      </c>
      <c r="Q359" s="214">
        <f>269.1-251.1</f>
        <v>18.00000000000003</v>
      </c>
      <c r="R359" s="214">
        <v>269.1</v>
      </c>
      <c r="S359" s="214">
        <v>269.1</v>
      </c>
    </row>
    <row r="360" spans="1:19" ht="20.25" customHeight="1">
      <c r="A360" s="99"/>
      <c r="B360" s="98"/>
      <c r="C360" s="103"/>
      <c r="D360" s="101"/>
      <c r="E360" s="104"/>
      <c r="F360" s="104"/>
      <c r="G360" s="89"/>
      <c r="H360" s="11" t="s">
        <v>721</v>
      </c>
      <c r="I360" s="6">
        <v>658</v>
      </c>
      <c r="J360" s="21">
        <v>1</v>
      </c>
      <c r="K360" s="16">
        <v>6</v>
      </c>
      <c r="L360" s="16">
        <v>91</v>
      </c>
      <c r="M360" s="96" t="s">
        <v>563</v>
      </c>
      <c r="N360" s="96" t="s">
        <v>583</v>
      </c>
      <c r="O360" s="96" t="s">
        <v>648</v>
      </c>
      <c r="P360" s="10">
        <v>850</v>
      </c>
      <c r="Q360" s="214">
        <v>0.1</v>
      </c>
      <c r="R360" s="214"/>
      <c r="S360" s="214"/>
    </row>
    <row r="361" spans="1:19" ht="36.75" customHeight="1">
      <c r="A361" s="99"/>
      <c r="B361" s="98"/>
      <c r="C361" s="103"/>
      <c r="D361" s="101"/>
      <c r="E361" s="104"/>
      <c r="F361" s="104"/>
      <c r="G361" s="89"/>
      <c r="H361" s="11" t="s">
        <v>61</v>
      </c>
      <c r="I361" s="6">
        <v>658</v>
      </c>
      <c r="J361" s="7">
        <v>1</v>
      </c>
      <c r="K361" s="16">
        <v>6</v>
      </c>
      <c r="L361" s="16">
        <v>91</v>
      </c>
      <c r="M361" s="96" t="s">
        <v>563</v>
      </c>
      <c r="N361" s="96" t="s">
        <v>583</v>
      </c>
      <c r="O361" s="96" t="s">
        <v>60</v>
      </c>
      <c r="P361" s="10"/>
      <c r="Q361" s="214">
        <f>Q362</f>
        <v>251.1</v>
      </c>
      <c r="R361" s="214"/>
      <c r="S361" s="214"/>
    </row>
    <row r="362" spans="1:19" ht="20.25" customHeight="1">
      <c r="A362" s="99"/>
      <c r="B362" s="98"/>
      <c r="C362" s="103"/>
      <c r="D362" s="101"/>
      <c r="E362" s="104"/>
      <c r="F362" s="104"/>
      <c r="G362" s="89"/>
      <c r="H362" s="11" t="s">
        <v>533</v>
      </c>
      <c r="I362" s="6">
        <v>658</v>
      </c>
      <c r="J362" s="7">
        <v>1</v>
      </c>
      <c r="K362" s="16">
        <v>6</v>
      </c>
      <c r="L362" s="16">
        <v>91</v>
      </c>
      <c r="M362" s="96" t="s">
        <v>563</v>
      </c>
      <c r="N362" s="96" t="s">
        <v>583</v>
      </c>
      <c r="O362" s="96" t="s">
        <v>60</v>
      </c>
      <c r="P362" s="10">
        <v>120</v>
      </c>
      <c r="Q362" s="214">
        <v>251.1</v>
      </c>
      <c r="R362" s="214"/>
      <c r="S362" s="214"/>
    </row>
    <row r="363" spans="1:19" ht="21.75" customHeight="1">
      <c r="A363" s="99"/>
      <c r="B363" s="98"/>
      <c r="C363" s="103"/>
      <c r="D363" s="101"/>
      <c r="E363" s="104"/>
      <c r="F363" s="104"/>
      <c r="G363" s="89"/>
      <c r="H363" s="11" t="s">
        <v>243</v>
      </c>
      <c r="I363" s="10">
        <v>658</v>
      </c>
      <c r="J363" s="7">
        <v>1</v>
      </c>
      <c r="K363" s="16">
        <v>6</v>
      </c>
      <c r="L363" s="16">
        <v>91</v>
      </c>
      <c r="M363" s="96" t="s">
        <v>563</v>
      </c>
      <c r="N363" s="96" t="s">
        <v>583</v>
      </c>
      <c r="O363" s="96" t="s">
        <v>242</v>
      </c>
      <c r="P363" s="10"/>
      <c r="Q363" s="214">
        <f>SUM(Q364:Q365)</f>
        <v>216.5</v>
      </c>
      <c r="R363" s="214"/>
      <c r="S363" s="214"/>
    </row>
    <row r="364" spans="1:19" ht="21" customHeight="1">
      <c r="A364" s="99"/>
      <c r="B364" s="98"/>
      <c r="C364" s="103"/>
      <c r="D364" s="101"/>
      <c r="E364" s="104"/>
      <c r="F364" s="104"/>
      <c r="G364" s="89"/>
      <c r="H364" s="11" t="s">
        <v>533</v>
      </c>
      <c r="I364" s="10">
        <v>658</v>
      </c>
      <c r="J364" s="7">
        <v>1</v>
      </c>
      <c r="K364" s="16">
        <v>6</v>
      </c>
      <c r="L364" s="16">
        <v>91</v>
      </c>
      <c r="M364" s="96" t="s">
        <v>563</v>
      </c>
      <c r="N364" s="96" t="s">
        <v>583</v>
      </c>
      <c r="O364" s="96" t="s">
        <v>242</v>
      </c>
      <c r="P364" s="10">
        <v>120</v>
      </c>
      <c r="Q364" s="214">
        <f>188.2+5.8</f>
        <v>194</v>
      </c>
      <c r="R364" s="214">
        <v>0</v>
      </c>
      <c r="S364" s="214">
        <v>0</v>
      </c>
    </row>
    <row r="365" spans="1:19" ht="28.5" customHeight="1">
      <c r="A365" s="99"/>
      <c r="B365" s="98"/>
      <c r="C365" s="103"/>
      <c r="D365" s="101"/>
      <c r="E365" s="104"/>
      <c r="F365" s="104"/>
      <c r="G365" s="89"/>
      <c r="H365" s="11" t="s">
        <v>720</v>
      </c>
      <c r="I365" s="10">
        <v>658</v>
      </c>
      <c r="J365" s="7">
        <v>1</v>
      </c>
      <c r="K365" s="16">
        <v>6</v>
      </c>
      <c r="L365" s="16">
        <v>91</v>
      </c>
      <c r="M365" s="96" t="s">
        <v>563</v>
      </c>
      <c r="N365" s="96" t="s">
        <v>583</v>
      </c>
      <c r="O365" s="96" t="s">
        <v>242</v>
      </c>
      <c r="P365" s="10">
        <v>240</v>
      </c>
      <c r="Q365" s="214">
        <f>25-5.8+3.3</f>
        <v>22.5</v>
      </c>
      <c r="R365" s="214">
        <v>0</v>
      </c>
      <c r="S365" s="214">
        <v>0</v>
      </c>
    </row>
    <row r="366" spans="1:19" ht="27" customHeight="1">
      <c r="A366" s="99"/>
      <c r="B366" s="98"/>
      <c r="C366" s="103"/>
      <c r="D366" s="101"/>
      <c r="E366" s="104"/>
      <c r="F366" s="104"/>
      <c r="G366" s="89"/>
      <c r="H366" s="11" t="s">
        <v>721</v>
      </c>
      <c r="I366" s="10">
        <v>658</v>
      </c>
      <c r="J366" s="7">
        <v>1</v>
      </c>
      <c r="K366" s="16">
        <v>6</v>
      </c>
      <c r="L366" s="16">
        <v>91</v>
      </c>
      <c r="M366" s="96" t="s">
        <v>563</v>
      </c>
      <c r="N366" s="96" t="s">
        <v>583</v>
      </c>
      <c r="O366" s="96" t="s">
        <v>242</v>
      </c>
      <c r="P366" s="10">
        <v>850</v>
      </c>
      <c r="Q366" s="214">
        <v>1</v>
      </c>
      <c r="R366" s="214"/>
      <c r="S366" s="214"/>
    </row>
    <row r="367" spans="1:19" s="319" customFormat="1" ht="27.75" customHeight="1">
      <c r="A367" s="158"/>
      <c r="B367" s="159"/>
      <c r="C367" s="160"/>
      <c r="D367" s="161"/>
      <c r="E367" s="391">
        <v>5250300</v>
      </c>
      <c r="F367" s="391"/>
      <c r="G367" s="132">
        <v>530</v>
      </c>
      <c r="H367" s="33" t="s">
        <v>372</v>
      </c>
      <c r="I367" s="14">
        <v>660</v>
      </c>
      <c r="J367" s="15" t="s">
        <v>534</v>
      </c>
      <c r="K367" s="15" t="s">
        <v>534</v>
      </c>
      <c r="L367" s="133" t="s">
        <v>534</v>
      </c>
      <c r="M367" s="134" t="s">
        <v>534</v>
      </c>
      <c r="N367" s="134"/>
      <c r="O367" s="134" t="s">
        <v>534</v>
      </c>
      <c r="P367" s="14" t="s">
        <v>534</v>
      </c>
      <c r="Q367" s="212">
        <f>Q368</f>
        <v>1400.5</v>
      </c>
      <c r="R367" s="212">
        <f aca="true" t="shared" si="32" ref="R367:S369">R368</f>
        <v>1051.3</v>
      </c>
      <c r="S367" s="212">
        <f t="shared" si="32"/>
        <v>1051.3</v>
      </c>
    </row>
    <row r="368" spans="1:19" s="179" customFormat="1" ht="18.75" customHeight="1">
      <c r="A368" s="166"/>
      <c r="B368" s="167"/>
      <c r="C368" s="157"/>
      <c r="D368" s="144"/>
      <c r="E368" s="145"/>
      <c r="F368" s="145"/>
      <c r="G368" s="155">
        <v>530</v>
      </c>
      <c r="H368" s="137" t="s">
        <v>536</v>
      </c>
      <c r="I368" s="138">
        <v>660</v>
      </c>
      <c r="J368" s="139">
        <v>1</v>
      </c>
      <c r="K368" s="139" t="s">
        <v>621</v>
      </c>
      <c r="L368" s="140" t="s">
        <v>534</v>
      </c>
      <c r="M368" s="141" t="s">
        <v>534</v>
      </c>
      <c r="N368" s="141"/>
      <c r="O368" s="141" t="s">
        <v>534</v>
      </c>
      <c r="P368" s="146" t="s">
        <v>534</v>
      </c>
      <c r="Q368" s="217">
        <f>Q369</f>
        <v>1400.5</v>
      </c>
      <c r="R368" s="217">
        <f t="shared" si="32"/>
        <v>1051.3</v>
      </c>
      <c r="S368" s="217">
        <f t="shared" si="32"/>
        <v>1051.3</v>
      </c>
    </row>
    <row r="369" spans="1:19" s="179" customFormat="1" ht="18.75" customHeight="1">
      <c r="A369" s="370">
        <v>1000</v>
      </c>
      <c r="B369" s="370"/>
      <c r="C369" s="371"/>
      <c r="D369" s="371"/>
      <c r="E369" s="371"/>
      <c r="F369" s="371"/>
      <c r="G369" s="136">
        <v>530</v>
      </c>
      <c r="H369" s="137" t="s">
        <v>535</v>
      </c>
      <c r="I369" s="138">
        <v>660</v>
      </c>
      <c r="J369" s="139">
        <v>1</v>
      </c>
      <c r="K369" s="139">
        <v>13</v>
      </c>
      <c r="L369" s="140" t="s">
        <v>534</v>
      </c>
      <c r="M369" s="141" t="s">
        <v>534</v>
      </c>
      <c r="N369" s="141"/>
      <c r="O369" s="141" t="s">
        <v>534</v>
      </c>
      <c r="P369" s="138" t="s">
        <v>534</v>
      </c>
      <c r="Q369" s="213">
        <f>Q370</f>
        <v>1400.5</v>
      </c>
      <c r="R369" s="213">
        <f t="shared" si="32"/>
        <v>1051.3</v>
      </c>
      <c r="S369" s="213">
        <f t="shared" si="32"/>
        <v>1051.3</v>
      </c>
    </row>
    <row r="370" spans="1:19" s="179" customFormat="1" ht="18.75" customHeight="1">
      <c r="A370" s="142"/>
      <c r="B370" s="143"/>
      <c r="C370" s="166"/>
      <c r="D370" s="135"/>
      <c r="E370" s="135"/>
      <c r="F370" s="135"/>
      <c r="G370" s="136"/>
      <c r="H370" s="11" t="s">
        <v>299</v>
      </c>
      <c r="I370" s="10">
        <v>660</v>
      </c>
      <c r="J370" s="16">
        <v>1</v>
      </c>
      <c r="K370" s="16">
        <v>13</v>
      </c>
      <c r="L370" s="95" t="s">
        <v>580</v>
      </c>
      <c r="M370" s="96" t="s">
        <v>563</v>
      </c>
      <c r="N370" s="96" t="s">
        <v>583</v>
      </c>
      <c r="O370" s="96" t="s">
        <v>620</v>
      </c>
      <c r="P370" s="138"/>
      <c r="Q370" s="214">
        <f>Q371+Q376+Q374</f>
        <v>1400.5</v>
      </c>
      <c r="R370" s="214">
        <f>R371+R376</f>
        <v>1051.3</v>
      </c>
      <c r="S370" s="214">
        <f>S371+S376</f>
        <v>1051.3</v>
      </c>
    </row>
    <row r="371" spans="1:19" ht="18.75" customHeight="1">
      <c r="A371" s="99"/>
      <c r="B371" s="98"/>
      <c r="C371" s="97"/>
      <c r="D371" s="363">
        <v>5050000</v>
      </c>
      <c r="E371" s="364"/>
      <c r="F371" s="364"/>
      <c r="G371" s="89">
        <v>321</v>
      </c>
      <c r="H371" s="11" t="s">
        <v>342</v>
      </c>
      <c r="I371" s="10">
        <v>660</v>
      </c>
      <c r="J371" s="16">
        <v>1</v>
      </c>
      <c r="K371" s="16">
        <v>13</v>
      </c>
      <c r="L371" s="16" t="s">
        <v>580</v>
      </c>
      <c r="M371" s="96" t="s">
        <v>563</v>
      </c>
      <c r="N371" s="96" t="s">
        <v>583</v>
      </c>
      <c r="O371" s="96" t="s">
        <v>648</v>
      </c>
      <c r="P371" s="10" t="s">
        <v>534</v>
      </c>
      <c r="Q371" s="214">
        <f>SUM(Q372:Q373)</f>
        <v>910.5999999999999</v>
      </c>
      <c r="R371" s="214">
        <f>SUM(R372:R373)</f>
        <v>1051.3</v>
      </c>
      <c r="S371" s="214">
        <f>SUM(S372:S373)</f>
        <v>1051.3</v>
      </c>
    </row>
    <row r="372" spans="1:19" ht="26.25" customHeight="1">
      <c r="A372" s="99"/>
      <c r="B372" s="98"/>
      <c r="C372" s="97"/>
      <c r="D372" s="101"/>
      <c r="E372" s="100"/>
      <c r="F372" s="100"/>
      <c r="G372" s="89"/>
      <c r="H372" s="11" t="s">
        <v>533</v>
      </c>
      <c r="I372" s="6">
        <v>660</v>
      </c>
      <c r="J372" s="19">
        <v>1</v>
      </c>
      <c r="K372" s="16">
        <v>13</v>
      </c>
      <c r="L372" s="16">
        <v>91</v>
      </c>
      <c r="M372" s="96" t="s">
        <v>563</v>
      </c>
      <c r="N372" s="96" t="s">
        <v>583</v>
      </c>
      <c r="O372" s="96" t="s">
        <v>648</v>
      </c>
      <c r="P372" s="10">
        <v>120</v>
      </c>
      <c r="Q372" s="214">
        <v>869.3</v>
      </c>
      <c r="R372" s="214">
        <v>869.3</v>
      </c>
      <c r="S372" s="214">
        <v>869.3</v>
      </c>
    </row>
    <row r="373" spans="1:19" ht="27.75" customHeight="1">
      <c r="A373" s="99"/>
      <c r="B373" s="98"/>
      <c r="C373" s="103"/>
      <c r="D373" s="101"/>
      <c r="E373" s="113"/>
      <c r="F373" s="113"/>
      <c r="G373" s="89"/>
      <c r="H373" s="5" t="s">
        <v>720</v>
      </c>
      <c r="I373" s="6">
        <v>660</v>
      </c>
      <c r="J373" s="21">
        <v>1</v>
      </c>
      <c r="K373" s="16">
        <v>13</v>
      </c>
      <c r="L373" s="16">
        <v>91</v>
      </c>
      <c r="M373" s="96" t="s">
        <v>563</v>
      </c>
      <c r="N373" s="96" t="s">
        <v>583</v>
      </c>
      <c r="O373" s="96" t="s">
        <v>648</v>
      </c>
      <c r="P373" s="6">
        <v>240</v>
      </c>
      <c r="Q373" s="214">
        <f>182-150.7+10</f>
        <v>41.30000000000001</v>
      </c>
      <c r="R373" s="214">
        <v>182</v>
      </c>
      <c r="S373" s="214">
        <v>182</v>
      </c>
    </row>
    <row r="374" spans="1:19" ht="39" customHeight="1">
      <c r="A374" s="99"/>
      <c r="B374" s="98"/>
      <c r="C374" s="103"/>
      <c r="D374" s="107"/>
      <c r="E374" s="104"/>
      <c r="F374" s="104"/>
      <c r="G374" s="89"/>
      <c r="H374" s="11" t="s">
        <v>61</v>
      </c>
      <c r="I374" s="10">
        <v>660</v>
      </c>
      <c r="J374" s="7">
        <v>1</v>
      </c>
      <c r="K374" s="16">
        <v>13</v>
      </c>
      <c r="L374" s="16">
        <v>91</v>
      </c>
      <c r="M374" s="96" t="s">
        <v>563</v>
      </c>
      <c r="N374" s="96" t="s">
        <v>583</v>
      </c>
      <c r="O374" s="96" t="s">
        <v>60</v>
      </c>
      <c r="P374" s="6"/>
      <c r="Q374" s="216">
        <f>Q375</f>
        <v>165</v>
      </c>
      <c r="R374" s="216"/>
      <c r="S374" s="216"/>
    </row>
    <row r="375" spans="1:19" ht="27.75" customHeight="1">
      <c r="A375" s="99"/>
      <c r="B375" s="98"/>
      <c r="C375" s="103"/>
      <c r="D375" s="107"/>
      <c r="E375" s="104"/>
      <c r="F375" s="104"/>
      <c r="G375" s="89"/>
      <c r="H375" s="11" t="s">
        <v>533</v>
      </c>
      <c r="I375" s="10">
        <v>660</v>
      </c>
      <c r="J375" s="7">
        <v>1</v>
      </c>
      <c r="K375" s="16">
        <v>13</v>
      </c>
      <c r="L375" s="16">
        <v>91</v>
      </c>
      <c r="M375" s="96" t="s">
        <v>563</v>
      </c>
      <c r="N375" s="96" t="s">
        <v>583</v>
      </c>
      <c r="O375" s="96" t="s">
        <v>60</v>
      </c>
      <c r="P375" s="6">
        <v>120</v>
      </c>
      <c r="Q375" s="216">
        <v>165</v>
      </c>
      <c r="R375" s="216"/>
      <c r="S375" s="216"/>
    </row>
    <row r="376" spans="1:19" ht="36.75" customHeight="1">
      <c r="A376" s="99"/>
      <c r="B376" s="98"/>
      <c r="C376" s="103"/>
      <c r="D376" s="107"/>
      <c r="E376" s="104"/>
      <c r="F376" s="104"/>
      <c r="G376" s="105"/>
      <c r="H376" s="11" t="s">
        <v>245</v>
      </c>
      <c r="I376" s="10">
        <v>660</v>
      </c>
      <c r="J376" s="7">
        <v>1</v>
      </c>
      <c r="K376" s="16">
        <v>13</v>
      </c>
      <c r="L376" s="16">
        <v>91</v>
      </c>
      <c r="M376" s="96" t="s">
        <v>563</v>
      </c>
      <c r="N376" s="96" t="s">
        <v>583</v>
      </c>
      <c r="O376" s="96" t="s">
        <v>244</v>
      </c>
      <c r="P376" s="6"/>
      <c r="Q376" s="216">
        <f>SUM(Q377:Q378)</f>
        <v>324.9</v>
      </c>
      <c r="R376" s="216"/>
      <c r="S376" s="216"/>
    </row>
    <row r="377" spans="1:19" ht="30.75" customHeight="1">
      <c r="A377" s="99"/>
      <c r="B377" s="98"/>
      <c r="C377" s="103"/>
      <c r="D377" s="107"/>
      <c r="E377" s="104"/>
      <c r="F377" s="104"/>
      <c r="G377" s="105"/>
      <c r="H377" s="11" t="s">
        <v>533</v>
      </c>
      <c r="I377" s="10">
        <v>660</v>
      </c>
      <c r="J377" s="7">
        <v>1</v>
      </c>
      <c r="K377" s="16">
        <v>13</v>
      </c>
      <c r="L377" s="16">
        <v>91</v>
      </c>
      <c r="M377" s="96" t="s">
        <v>563</v>
      </c>
      <c r="N377" s="96" t="s">
        <v>583</v>
      </c>
      <c r="O377" s="96" t="s">
        <v>244</v>
      </c>
      <c r="P377" s="6">
        <v>120</v>
      </c>
      <c r="Q377" s="216">
        <v>323.9</v>
      </c>
      <c r="R377" s="216"/>
      <c r="S377" s="216"/>
    </row>
    <row r="378" spans="1:19" ht="24.75" customHeight="1">
      <c r="A378" s="99"/>
      <c r="B378" s="98"/>
      <c r="C378" s="103"/>
      <c r="D378" s="107"/>
      <c r="E378" s="104"/>
      <c r="F378" s="104"/>
      <c r="G378" s="105"/>
      <c r="H378" s="11" t="s">
        <v>720</v>
      </c>
      <c r="I378" s="10">
        <v>660</v>
      </c>
      <c r="J378" s="7">
        <v>1</v>
      </c>
      <c r="K378" s="16">
        <v>13</v>
      </c>
      <c r="L378" s="16">
        <v>91</v>
      </c>
      <c r="M378" s="96" t="s">
        <v>563</v>
      </c>
      <c r="N378" s="96" t="s">
        <v>583</v>
      </c>
      <c r="O378" s="96" t="s">
        <v>244</v>
      </c>
      <c r="P378" s="6">
        <v>240</v>
      </c>
      <c r="Q378" s="214">
        <v>1</v>
      </c>
      <c r="R378" s="214"/>
      <c r="S378" s="214"/>
    </row>
    <row r="379" spans="1:19" s="319" customFormat="1" ht="26.25" customHeight="1">
      <c r="A379" s="158"/>
      <c r="B379" s="159"/>
      <c r="C379" s="160"/>
      <c r="D379" s="168"/>
      <c r="E379" s="169"/>
      <c r="F379" s="169"/>
      <c r="G379" s="163">
        <v>321</v>
      </c>
      <c r="H379" s="33" t="s">
        <v>374</v>
      </c>
      <c r="I379" s="14">
        <v>661</v>
      </c>
      <c r="J379" s="15" t="s">
        <v>534</v>
      </c>
      <c r="K379" s="15" t="s">
        <v>534</v>
      </c>
      <c r="L379" s="133" t="s">
        <v>534</v>
      </c>
      <c r="M379" s="134" t="s">
        <v>534</v>
      </c>
      <c r="N379" s="134"/>
      <c r="O379" s="134" t="s">
        <v>534</v>
      </c>
      <c r="P379" s="28" t="s">
        <v>534</v>
      </c>
      <c r="Q379" s="220">
        <f>Q380+Q415+Q422</f>
        <v>39164.700000000004</v>
      </c>
      <c r="R379" s="220">
        <f>R380+R415+R422</f>
        <v>37991</v>
      </c>
      <c r="S379" s="220">
        <f>S380+S415+S422</f>
        <v>38084</v>
      </c>
    </row>
    <row r="380" spans="1:19" s="179" customFormat="1" ht="18.75" customHeight="1">
      <c r="A380" s="142"/>
      <c r="B380" s="143"/>
      <c r="C380" s="142"/>
      <c r="D380" s="380">
        <v>5200000</v>
      </c>
      <c r="E380" s="381"/>
      <c r="F380" s="381"/>
      <c r="G380" s="136">
        <v>530</v>
      </c>
      <c r="H380" s="137" t="s">
        <v>536</v>
      </c>
      <c r="I380" s="138">
        <v>661</v>
      </c>
      <c r="J380" s="139">
        <v>1</v>
      </c>
      <c r="K380" s="139" t="s">
        <v>621</v>
      </c>
      <c r="L380" s="140" t="s">
        <v>534</v>
      </c>
      <c r="M380" s="141" t="s">
        <v>534</v>
      </c>
      <c r="N380" s="141"/>
      <c r="O380" s="141" t="s">
        <v>534</v>
      </c>
      <c r="P380" s="146" t="s">
        <v>534</v>
      </c>
      <c r="Q380" s="217">
        <f>Q381+Q401</f>
        <v>23850.9</v>
      </c>
      <c r="R380" s="217">
        <f>R381+R401</f>
        <v>20167.2</v>
      </c>
      <c r="S380" s="217">
        <f>S381+S401</f>
        <v>20167.2</v>
      </c>
    </row>
    <row r="381" spans="1:19" s="179" customFormat="1" ht="36.75" customHeight="1">
      <c r="A381" s="142"/>
      <c r="B381" s="143"/>
      <c r="C381" s="153"/>
      <c r="D381" s="150"/>
      <c r="E381" s="379">
        <v>5201000</v>
      </c>
      <c r="F381" s="379"/>
      <c r="G381" s="136">
        <v>530</v>
      </c>
      <c r="H381" s="137" t="s">
        <v>371</v>
      </c>
      <c r="I381" s="138">
        <v>661</v>
      </c>
      <c r="J381" s="139">
        <v>1</v>
      </c>
      <c r="K381" s="139">
        <v>6</v>
      </c>
      <c r="L381" s="140" t="s">
        <v>534</v>
      </c>
      <c r="M381" s="141" t="s">
        <v>534</v>
      </c>
      <c r="N381" s="141"/>
      <c r="O381" s="141" t="s">
        <v>534</v>
      </c>
      <c r="P381" s="146" t="s">
        <v>534</v>
      </c>
      <c r="Q381" s="217">
        <f>Q382</f>
        <v>7013.299999999999</v>
      </c>
      <c r="R381" s="217">
        <f>R382</f>
        <v>6771.8</v>
      </c>
      <c r="S381" s="217">
        <f>S382</f>
        <v>6771.8</v>
      </c>
    </row>
    <row r="382" spans="1:19" ht="36.75" customHeight="1">
      <c r="A382" s="97"/>
      <c r="B382" s="98"/>
      <c r="C382" s="103"/>
      <c r="D382" s="101"/>
      <c r="E382" s="104"/>
      <c r="F382" s="104"/>
      <c r="G382" s="89"/>
      <c r="H382" s="11" t="s">
        <v>35</v>
      </c>
      <c r="I382" s="10">
        <v>661</v>
      </c>
      <c r="J382" s="16">
        <v>1</v>
      </c>
      <c r="K382" s="16">
        <v>6</v>
      </c>
      <c r="L382" s="95" t="s">
        <v>596</v>
      </c>
      <c r="M382" s="96" t="s">
        <v>563</v>
      </c>
      <c r="N382" s="96" t="s">
        <v>583</v>
      </c>
      <c r="O382" s="96" t="s">
        <v>620</v>
      </c>
      <c r="P382" s="6"/>
      <c r="Q382" s="216">
        <f>Q383+Q387</f>
        <v>7013.299999999999</v>
      </c>
      <c r="R382" s="216">
        <f>R383+R387</f>
        <v>6771.8</v>
      </c>
      <c r="S382" s="216">
        <f>S383+S387</f>
        <v>6771.8</v>
      </c>
    </row>
    <row r="383" spans="1:19" ht="36.75" customHeight="1">
      <c r="A383" s="97"/>
      <c r="B383" s="98"/>
      <c r="C383" s="114"/>
      <c r="D383" s="107"/>
      <c r="E383" s="104"/>
      <c r="F383" s="104"/>
      <c r="G383" s="89"/>
      <c r="H383" s="11" t="s">
        <v>385</v>
      </c>
      <c r="I383" s="10">
        <v>661</v>
      </c>
      <c r="J383" s="16">
        <v>1</v>
      </c>
      <c r="K383" s="16">
        <v>6</v>
      </c>
      <c r="L383" s="95" t="s">
        <v>596</v>
      </c>
      <c r="M383" s="96" t="s">
        <v>565</v>
      </c>
      <c r="N383" s="96" t="s">
        <v>583</v>
      </c>
      <c r="O383" s="96" t="s">
        <v>620</v>
      </c>
      <c r="P383" s="6"/>
      <c r="Q383" s="216">
        <f>Q384</f>
        <v>50</v>
      </c>
      <c r="R383" s="216">
        <f aca="true" t="shared" si="33" ref="R383:S385">R384</f>
        <v>50</v>
      </c>
      <c r="S383" s="216">
        <f t="shared" si="33"/>
        <v>50</v>
      </c>
    </row>
    <row r="384" spans="1:19" ht="36.75" customHeight="1">
      <c r="A384" s="97"/>
      <c r="B384" s="98"/>
      <c r="C384" s="114"/>
      <c r="D384" s="107"/>
      <c r="E384" s="104"/>
      <c r="F384" s="104"/>
      <c r="G384" s="89"/>
      <c r="H384" s="11" t="s">
        <v>37</v>
      </c>
      <c r="I384" s="10">
        <v>661</v>
      </c>
      <c r="J384" s="16">
        <v>1</v>
      </c>
      <c r="K384" s="16">
        <v>6</v>
      </c>
      <c r="L384" s="95" t="s">
        <v>596</v>
      </c>
      <c r="M384" s="96" t="s">
        <v>565</v>
      </c>
      <c r="N384" s="96" t="s">
        <v>564</v>
      </c>
      <c r="O384" s="96" t="s">
        <v>620</v>
      </c>
      <c r="P384" s="6"/>
      <c r="Q384" s="216">
        <f>Q385</f>
        <v>50</v>
      </c>
      <c r="R384" s="216">
        <f t="shared" si="33"/>
        <v>50</v>
      </c>
      <c r="S384" s="216">
        <f t="shared" si="33"/>
        <v>50</v>
      </c>
    </row>
    <row r="385" spans="1:19" ht="21.75" customHeight="1">
      <c r="A385" s="97"/>
      <c r="B385" s="98"/>
      <c r="C385" s="114"/>
      <c r="D385" s="107"/>
      <c r="E385" s="104"/>
      <c r="F385" s="104"/>
      <c r="G385" s="89"/>
      <c r="H385" s="11" t="s">
        <v>342</v>
      </c>
      <c r="I385" s="10">
        <v>661</v>
      </c>
      <c r="J385" s="16">
        <v>1</v>
      </c>
      <c r="K385" s="16">
        <v>6</v>
      </c>
      <c r="L385" s="95" t="s">
        <v>596</v>
      </c>
      <c r="M385" s="96" t="s">
        <v>565</v>
      </c>
      <c r="N385" s="96" t="s">
        <v>564</v>
      </c>
      <c r="O385" s="96" t="s">
        <v>648</v>
      </c>
      <c r="P385" s="6"/>
      <c r="Q385" s="216">
        <f>Q386</f>
        <v>50</v>
      </c>
      <c r="R385" s="216">
        <f t="shared" si="33"/>
        <v>50</v>
      </c>
      <c r="S385" s="216">
        <f t="shared" si="33"/>
        <v>50</v>
      </c>
    </row>
    <row r="386" spans="1:19" ht="28.5" customHeight="1">
      <c r="A386" s="97"/>
      <c r="B386" s="98"/>
      <c r="C386" s="114"/>
      <c r="D386" s="107"/>
      <c r="E386" s="104"/>
      <c r="F386" s="104"/>
      <c r="G386" s="89"/>
      <c r="H386" s="11" t="s">
        <v>720</v>
      </c>
      <c r="I386" s="10">
        <v>661</v>
      </c>
      <c r="J386" s="16">
        <v>1</v>
      </c>
      <c r="K386" s="16">
        <v>6</v>
      </c>
      <c r="L386" s="95" t="s">
        <v>596</v>
      </c>
      <c r="M386" s="96" t="s">
        <v>565</v>
      </c>
      <c r="N386" s="96" t="s">
        <v>564</v>
      </c>
      <c r="O386" s="96" t="s">
        <v>648</v>
      </c>
      <c r="P386" s="6">
        <v>240</v>
      </c>
      <c r="Q386" s="216">
        <v>50</v>
      </c>
      <c r="R386" s="216">
        <v>50</v>
      </c>
      <c r="S386" s="216">
        <v>50</v>
      </c>
    </row>
    <row r="387" spans="1:19" ht="38.25" customHeight="1">
      <c r="A387" s="97"/>
      <c r="B387" s="98"/>
      <c r="C387" s="114"/>
      <c r="D387" s="94"/>
      <c r="E387" s="94"/>
      <c r="F387" s="94"/>
      <c r="G387" s="89"/>
      <c r="H387" s="11" t="s">
        <v>34</v>
      </c>
      <c r="I387" s="10">
        <v>661</v>
      </c>
      <c r="J387" s="16">
        <v>1</v>
      </c>
      <c r="K387" s="16">
        <v>6</v>
      </c>
      <c r="L387" s="95" t="s">
        <v>596</v>
      </c>
      <c r="M387" s="96" t="s">
        <v>560</v>
      </c>
      <c r="N387" s="96" t="s">
        <v>583</v>
      </c>
      <c r="O387" s="96" t="s">
        <v>620</v>
      </c>
      <c r="P387" s="10"/>
      <c r="Q387" s="214">
        <f>Q388</f>
        <v>6963.299999999999</v>
      </c>
      <c r="R387" s="214">
        <f>R388</f>
        <v>6721.8</v>
      </c>
      <c r="S387" s="214">
        <f>S388</f>
        <v>6721.8</v>
      </c>
    </row>
    <row r="388" spans="1:19" ht="62.25" customHeight="1">
      <c r="A388" s="97"/>
      <c r="B388" s="98"/>
      <c r="C388" s="114"/>
      <c r="D388" s="111"/>
      <c r="E388" s="114"/>
      <c r="F388" s="114"/>
      <c r="G388" s="89"/>
      <c r="H388" s="11" t="s">
        <v>33</v>
      </c>
      <c r="I388" s="10">
        <v>661</v>
      </c>
      <c r="J388" s="16">
        <v>1</v>
      </c>
      <c r="K388" s="16">
        <v>6</v>
      </c>
      <c r="L388" s="95" t="s">
        <v>596</v>
      </c>
      <c r="M388" s="96" t="s">
        <v>560</v>
      </c>
      <c r="N388" s="96" t="s">
        <v>564</v>
      </c>
      <c r="O388" s="96" t="s">
        <v>620</v>
      </c>
      <c r="P388" s="6"/>
      <c r="Q388" s="216">
        <f>Q389+Q395+Q398+Q393</f>
        <v>6963.299999999999</v>
      </c>
      <c r="R388" s="216">
        <f>R389+R395+R398</f>
        <v>6721.8</v>
      </c>
      <c r="S388" s="216">
        <f>S389+S395+S398</f>
        <v>6721.8</v>
      </c>
    </row>
    <row r="389" spans="1:19" ht="33.75" customHeight="1">
      <c r="A389" s="99"/>
      <c r="B389" s="98"/>
      <c r="C389" s="103"/>
      <c r="D389" s="101"/>
      <c r="E389" s="104"/>
      <c r="F389" s="104"/>
      <c r="G389" s="105">
        <v>530</v>
      </c>
      <c r="H389" s="11" t="s">
        <v>342</v>
      </c>
      <c r="I389" s="10">
        <v>661</v>
      </c>
      <c r="J389" s="16">
        <v>1</v>
      </c>
      <c r="K389" s="16">
        <v>6</v>
      </c>
      <c r="L389" s="16">
        <v>11</v>
      </c>
      <c r="M389" s="96" t="s">
        <v>560</v>
      </c>
      <c r="N389" s="96" t="s">
        <v>564</v>
      </c>
      <c r="O389" s="96" t="s">
        <v>648</v>
      </c>
      <c r="P389" s="6" t="s">
        <v>534</v>
      </c>
      <c r="Q389" s="216">
        <f>SUM(Q390:Q392)</f>
        <v>4810.099999999999</v>
      </c>
      <c r="R389" s="216">
        <f>SUM(R390:R392)</f>
        <v>6721.8</v>
      </c>
      <c r="S389" s="216">
        <f>SUM(S390:S392)</f>
        <v>6721.8</v>
      </c>
    </row>
    <row r="390" spans="1:19" ht="22.5" customHeight="1">
      <c r="A390" s="110"/>
      <c r="B390" s="111"/>
      <c r="C390" s="106"/>
      <c r="D390" s="107"/>
      <c r="E390" s="104"/>
      <c r="F390" s="104"/>
      <c r="G390" s="89"/>
      <c r="H390" s="11" t="s">
        <v>533</v>
      </c>
      <c r="I390" s="6">
        <v>661</v>
      </c>
      <c r="J390" s="19">
        <v>1</v>
      </c>
      <c r="K390" s="16">
        <v>6</v>
      </c>
      <c r="L390" s="16">
        <v>11</v>
      </c>
      <c r="M390" s="96" t="s">
        <v>560</v>
      </c>
      <c r="N390" s="96" t="s">
        <v>564</v>
      </c>
      <c r="O390" s="96" t="s">
        <v>648</v>
      </c>
      <c r="P390" s="6">
        <v>120</v>
      </c>
      <c r="Q390" s="216">
        <f>3765.6+69.7+25</f>
        <v>3860.2999999999997</v>
      </c>
      <c r="R390" s="216">
        <v>3954</v>
      </c>
      <c r="S390" s="216">
        <v>3954</v>
      </c>
    </row>
    <row r="391" spans="1:19" ht="21.75" customHeight="1">
      <c r="A391" s="110"/>
      <c r="B391" s="112"/>
      <c r="C391" s="106"/>
      <c r="D391" s="109"/>
      <c r="E391" s="104"/>
      <c r="F391" s="104"/>
      <c r="G391" s="89"/>
      <c r="H391" s="5" t="s">
        <v>720</v>
      </c>
      <c r="I391" s="6">
        <v>661</v>
      </c>
      <c r="J391" s="21">
        <v>1</v>
      </c>
      <c r="K391" s="16">
        <v>6</v>
      </c>
      <c r="L391" s="16">
        <v>11</v>
      </c>
      <c r="M391" s="96" t="s">
        <v>560</v>
      </c>
      <c r="N391" s="96" t="s">
        <v>564</v>
      </c>
      <c r="O391" s="96" t="s">
        <v>648</v>
      </c>
      <c r="P391" s="6">
        <v>240</v>
      </c>
      <c r="Q391" s="214">
        <f>1929-977.2-25</f>
        <v>926.8</v>
      </c>
      <c r="R391" s="214">
        <v>2744.8</v>
      </c>
      <c r="S391" s="214">
        <v>2744.8</v>
      </c>
    </row>
    <row r="392" spans="1:19" ht="21.75" customHeight="1">
      <c r="A392" s="97"/>
      <c r="B392" s="98"/>
      <c r="C392" s="94"/>
      <c r="D392" s="94"/>
      <c r="E392" s="94"/>
      <c r="F392" s="94"/>
      <c r="G392" s="89"/>
      <c r="H392" s="11" t="s">
        <v>721</v>
      </c>
      <c r="I392" s="10">
        <v>661</v>
      </c>
      <c r="J392" s="16">
        <v>1</v>
      </c>
      <c r="K392" s="16">
        <v>6</v>
      </c>
      <c r="L392" s="95" t="s">
        <v>596</v>
      </c>
      <c r="M392" s="96" t="s">
        <v>560</v>
      </c>
      <c r="N392" s="96" t="s">
        <v>564</v>
      </c>
      <c r="O392" s="96" t="s">
        <v>648</v>
      </c>
      <c r="P392" s="10">
        <v>850</v>
      </c>
      <c r="Q392" s="214">
        <v>23</v>
      </c>
      <c r="R392" s="214">
        <v>23</v>
      </c>
      <c r="S392" s="214">
        <v>23</v>
      </c>
    </row>
    <row r="393" spans="1:19" ht="31.5" customHeight="1">
      <c r="A393" s="97"/>
      <c r="B393" s="98"/>
      <c r="C393" s="94"/>
      <c r="D393" s="94"/>
      <c r="E393" s="94"/>
      <c r="F393" s="94"/>
      <c r="G393" s="89"/>
      <c r="H393" s="11" t="s">
        <v>61</v>
      </c>
      <c r="I393" s="10">
        <v>661</v>
      </c>
      <c r="J393" s="16">
        <v>1</v>
      </c>
      <c r="K393" s="16">
        <v>6</v>
      </c>
      <c r="L393" s="95" t="s">
        <v>596</v>
      </c>
      <c r="M393" s="96" t="s">
        <v>560</v>
      </c>
      <c r="N393" s="96" t="s">
        <v>564</v>
      </c>
      <c r="O393" s="96" t="s">
        <v>60</v>
      </c>
      <c r="P393" s="10"/>
      <c r="Q393" s="214">
        <f>Q394</f>
        <v>722</v>
      </c>
      <c r="R393" s="214"/>
      <c r="S393" s="214"/>
    </row>
    <row r="394" spans="1:19" ht="21.75" customHeight="1">
      <c r="A394" s="97"/>
      <c r="B394" s="98"/>
      <c r="C394" s="94"/>
      <c r="D394" s="94"/>
      <c r="E394" s="94"/>
      <c r="F394" s="94"/>
      <c r="G394" s="89"/>
      <c r="H394" s="11" t="s">
        <v>533</v>
      </c>
      <c r="I394" s="10">
        <v>661</v>
      </c>
      <c r="J394" s="16">
        <v>1</v>
      </c>
      <c r="K394" s="16">
        <v>6</v>
      </c>
      <c r="L394" s="95" t="s">
        <v>596</v>
      </c>
      <c r="M394" s="96" t="s">
        <v>560</v>
      </c>
      <c r="N394" s="96" t="s">
        <v>564</v>
      </c>
      <c r="O394" s="96" t="s">
        <v>60</v>
      </c>
      <c r="P394" s="10">
        <v>120</v>
      </c>
      <c r="Q394" s="214">
        <v>722</v>
      </c>
      <c r="R394" s="214"/>
      <c r="S394" s="214"/>
    </row>
    <row r="395" spans="1:19" ht="24" customHeight="1">
      <c r="A395" s="97"/>
      <c r="B395" s="98"/>
      <c r="C395" s="94"/>
      <c r="D395" s="94"/>
      <c r="E395" s="94"/>
      <c r="F395" s="94"/>
      <c r="G395" s="89"/>
      <c r="H395" s="11" t="s">
        <v>248</v>
      </c>
      <c r="I395" s="10">
        <v>661</v>
      </c>
      <c r="J395" s="16">
        <v>1</v>
      </c>
      <c r="K395" s="16">
        <v>6</v>
      </c>
      <c r="L395" s="95" t="s">
        <v>596</v>
      </c>
      <c r="M395" s="96" t="s">
        <v>560</v>
      </c>
      <c r="N395" s="96" t="s">
        <v>564</v>
      </c>
      <c r="O395" s="96" t="s">
        <v>246</v>
      </c>
      <c r="P395" s="10"/>
      <c r="Q395" s="221">
        <f>SUM(Q396:Q397)</f>
        <v>372.9</v>
      </c>
      <c r="R395" s="221"/>
      <c r="S395" s="221"/>
    </row>
    <row r="396" spans="1:19" ht="24" customHeight="1">
      <c r="A396" s="97"/>
      <c r="B396" s="98"/>
      <c r="C396" s="94"/>
      <c r="D396" s="94"/>
      <c r="E396" s="94"/>
      <c r="F396" s="94"/>
      <c r="G396" s="89"/>
      <c r="H396" s="11" t="s">
        <v>533</v>
      </c>
      <c r="I396" s="10">
        <v>661</v>
      </c>
      <c r="J396" s="16">
        <v>1</v>
      </c>
      <c r="K396" s="16">
        <v>6</v>
      </c>
      <c r="L396" s="95" t="s">
        <v>596</v>
      </c>
      <c r="M396" s="96" t="s">
        <v>560</v>
      </c>
      <c r="N396" s="96" t="s">
        <v>564</v>
      </c>
      <c r="O396" s="96" t="s">
        <v>246</v>
      </c>
      <c r="P396" s="10">
        <v>120</v>
      </c>
      <c r="Q396" s="221">
        <f>304+67.9</f>
        <v>371.9</v>
      </c>
      <c r="R396" s="221"/>
      <c r="S396" s="221"/>
    </row>
    <row r="397" spans="1:19" ht="29.25" customHeight="1">
      <c r="A397" s="97"/>
      <c r="B397" s="98"/>
      <c r="C397" s="94"/>
      <c r="D397" s="94"/>
      <c r="E397" s="94"/>
      <c r="F397" s="94"/>
      <c r="G397" s="89"/>
      <c r="H397" s="11" t="s">
        <v>720</v>
      </c>
      <c r="I397" s="10">
        <v>661</v>
      </c>
      <c r="J397" s="16">
        <v>1</v>
      </c>
      <c r="K397" s="16">
        <v>6</v>
      </c>
      <c r="L397" s="95" t="s">
        <v>596</v>
      </c>
      <c r="M397" s="96" t="s">
        <v>560</v>
      </c>
      <c r="N397" s="96" t="s">
        <v>564</v>
      </c>
      <c r="O397" s="96" t="s">
        <v>246</v>
      </c>
      <c r="P397" s="10">
        <v>240</v>
      </c>
      <c r="Q397" s="214">
        <v>1</v>
      </c>
      <c r="R397" s="221"/>
      <c r="S397" s="221"/>
    </row>
    <row r="398" spans="1:19" ht="31.5" customHeight="1">
      <c r="A398" s="97"/>
      <c r="B398" s="98"/>
      <c r="C398" s="94"/>
      <c r="D398" s="94"/>
      <c r="E398" s="94"/>
      <c r="F398" s="94"/>
      <c r="G398" s="89"/>
      <c r="H398" s="11" t="s">
        <v>249</v>
      </c>
      <c r="I398" s="10">
        <v>661</v>
      </c>
      <c r="J398" s="16">
        <v>1</v>
      </c>
      <c r="K398" s="16">
        <v>6</v>
      </c>
      <c r="L398" s="95" t="s">
        <v>596</v>
      </c>
      <c r="M398" s="96" t="s">
        <v>560</v>
      </c>
      <c r="N398" s="96" t="s">
        <v>564</v>
      </c>
      <c r="O398" s="96" t="s">
        <v>247</v>
      </c>
      <c r="P398" s="10"/>
      <c r="Q398" s="221">
        <f>SUM(Q399:Q400)</f>
        <v>1058.3</v>
      </c>
      <c r="R398" s="221"/>
      <c r="S398" s="221"/>
    </row>
    <row r="399" spans="1:19" ht="22.5" customHeight="1">
      <c r="A399" s="97"/>
      <c r="B399" s="98"/>
      <c r="C399" s="94"/>
      <c r="D399" s="94"/>
      <c r="E399" s="94"/>
      <c r="F399" s="94"/>
      <c r="G399" s="89"/>
      <c r="H399" s="11" t="s">
        <v>533</v>
      </c>
      <c r="I399" s="10">
        <v>661</v>
      </c>
      <c r="J399" s="16">
        <v>1</v>
      </c>
      <c r="K399" s="16">
        <v>6</v>
      </c>
      <c r="L399" s="95" t="s">
        <v>596</v>
      </c>
      <c r="M399" s="96" t="s">
        <v>560</v>
      </c>
      <c r="N399" s="96" t="s">
        <v>564</v>
      </c>
      <c r="O399" s="96" t="s">
        <v>247</v>
      </c>
      <c r="P399" s="10">
        <v>120</v>
      </c>
      <c r="Q399" s="221">
        <f>850.6+148.5</f>
        <v>999.1</v>
      </c>
      <c r="R399" s="221"/>
      <c r="S399" s="221"/>
    </row>
    <row r="400" spans="1:19" ht="24" customHeight="1">
      <c r="A400" s="97"/>
      <c r="B400" s="98"/>
      <c r="C400" s="106"/>
      <c r="D400" s="111"/>
      <c r="E400" s="114"/>
      <c r="F400" s="114"/>
      <c r="G400" s="89"/>
      <c r="H400" s="11" t="s">
        <v>720</v>
      </c>
      <c r="I400" s="6">
        <v>661</v>
      </c>
      <c r="J400" s="16">
        <v>1</v>
      </c>
      <c r="K400" s="16">
        <v>6</v>
      </c>
      <c r="L400" s="95" t="s">
        <v>596</v>
      </c>
      <c r="M400" s="96" t="s">
        <v>560</v>
      </c>
      <c r="N400" s="96" t="s">
        <v>564</v>
      </c>
      <c r="O400" s="96" t="s">
        <v>247</v>
      </c>
      <c r="P400" s="10">
        <v>240</v>
      </c>
      <c r="Q400" s="214">
        <v>59.2</v>
      </c>
      <c r="R400" s="214"/>
      <c r="S400" s="214"/>
    </row>
    <row r="401" spans="1:19" s="179" customFormat="1" ht="18.75" customHeight="1">
      <c r="A401" s="142"/>
      <c r="B401" s="143"/>
      <c r="C401" s="135"/>
      <c r="D401" s="135"/>
      <c r="E401" s="135"/>
      <c r="F401" s="135"/>
      <c r="G401" s="136"/>
      <c r="H401" s="137" t="s">
        <v>535</v>
      </c>
      <c r="I401" s="138">
        <v>661</v>
      </c>
      <c r="J401" s="139">
        <v>1</v>
      </c>
      <c r="K401" s="139">
        <v>13</v>
      </c>
      <c r="L401" s="140"/>
      <c r="M401" s="141"/>
      <c r="N401" s="141"/>
      <c r="O401" s="141"/>
      <c r="P401" s="138"/>
      <c r="Q401" s="213">
        <f>Q402</f>
        <v>16837.600000000002</v>
      </c>
      <c r="R401" s="213">
        <f aca="true" t="shared" si="34" ref="R401:S403">R402</f>
        <v>13395.400000000001</v>
      </c>
      <c r="S401" s="213">
        <f t="shared" si="34"/>
        <v>13395.400000000001</v>
      </c>
    </row>
    <row r="402" spans="1:19" ht="36.75" customHeight="1">
      <c r="A402" s="97"/>
      <c r="B402" s="98"/>
      <c r="C402" s="103"/>
      <c r="D402" s="101"/>
      <c r="E402" s="104"/>
      <c r="F402" s="104"/>
      <c r="G402" s="89"/>
      <c r="H402" s="11" t="s">
        <v>35</v>
      </c>
      <c r="I402" s="10">
        <v>661</v>
      </c>
      <c r="J402" s="16">
        <v>1</v>
      </c>
      <c r="K402" s="16">
        <v>13</v>
      </c>
      <c r="L402" s="95" t="s">
        <v>596</v>
      </c>
      <c r="M402" s="96" t="s">
        <v>563</v>
      </c>
      <c r="N402" s="96" t="s">
        <v>583</v>
      </c>
      <c r="O402" s="96" t="s">
        <v>620</v>
      </c>
      <c r="P402" s="6"/>
      <c r="Q402" s="216">
        <f>Q403</f>
        <v>16837.600000000002</v>
      </c>
      <c r="R402" s="216">
        <f t="shared" si="34"/>
        <v>13395.400000000001</v>
      </c>
      <c r="S402" s="216">
        <f t="shared" si="34"/>
        <v>13395.400000000001</v>
      </c>
    </row>
    <row r="403" spans="1:19" ht="38.25" customHeight="1">
      <c r="A403" s="97"/>
      <c r="B403" s="98"/>
      <c r="C403" s="114"/>
      <c r="D403" s="94"/>
      <c r="E403" s="94"/>
      <c r="F403" s="94"/>
      <c r="G403" s="89"/>
      <c r="H403" s="11" t="s">
        <v>34</v>
      </c>
      <c r="I403" s="10">
        <v>661</v>
      </c>
      <c r="J403" s="16">
        <v>1</v>
      </c>
      <c r="K403" s="16">
        <v>13</v>
      </c>
      <c r="L403" s="95" t="s">
        <v>596</v>
      </c>
      <c r="M403" s="96" t="s">
        <v>560</v>
      </c>
      <c r="N403" s="96" t="s">
        <v>583</v>
      </c>
      <c r="O403" s="96" t="s">
        <v>620</v>
      </c>
      <c r="P403" s="10"/>
      <c r="Q403" s="214">
        <f>Q404</f>
        <v>16837.600000000002</v>
      </c>
      <c r="R403" s="214">
        <f t="shared" si="34"/>
        <v>13395.400000000001</v>
      </c>
      <c r="S403" s="214">
        <f t="shared" si="34"/>
        <v>13395.400000000001</v>
      </c>
    </row>
    <row r="404" spans="1:19" ht="36" customHeight="1">
      <c r="A404" s="97"/>
      <c r="B404" s="98"/>
      <c r="C404" s="106"/>
      <c r="D404" s="111"/>
      <c r="E404" s="114"/>
      <c r="F404" s="114"/>
      <c r="G404" s="89"/>
      <c r="H404" s="11" t="s">
        <v>716</v>
      </c>
      <c r="I404" s="10">
        <v>661</v>
      </c>
      <c r="J404" s="16">
        <v>1</v>
      </c>
      <c r="K404" s="16">
        <v>13</v>
      </c>
      <c r="L404" s="95" t="s">
        <v>596</v>
      </c>
      <c r="M404" s="96" t="s">
        <v>560</v>
      </c>
      <c r="N404" s="96" t="s">
        <v>592</v>
      </c>
      <c r="O404" s="96" t="s">
        <v>620</v>
      </c>
      <c r="P404" s="10"/>
      <c r="Q404" s="214">
        <f>Q405+Q412+Q410</f>
        <v>16837.600000000002</v>
      </c>
      <c r="R404" s="214">
        <f>R405+R412</f>
        <v>13395.400000000001</v>
      </c>
      <c r="S404" s="214">
        <f>S405+S412</f>
        <v>13395.400000000001</v>
      </c>
    </row>
    <row r="405" spans="1:19" ht="33.75" customHeight="1">
      <c r="A405" s="97"/>
      <c r="B405" s="98"/>
      <c r="C405" s="106"/>
      <c r="D405" s="111"/>
      <c r="E405" s="114"/>
      <c r="F405" s="114"/>
      <c r="G405" s="89"/>
      <c r="H405" s="11" t="s">
        <v>344</v>
      </c>
      <c r="I405" s="10">
        <v>661</v>
      </c>
      <c r="J405" s="16">
        <v>1</v>
      </c>
      <c r="K405" s="16">
        <v>13</v>
      </c>
      <c r="L405" s="95" t="s">
        <v>596</v>
      </c>
      <c r="M405" s="96" t="s">
        <v>560</v>
      </c>
      <c r="N405" s="96" t="s">
        <v>592</v>
      </c>
      <c r="O405" s="96" t="s">
        <v>345</v>
      </c>
      <c r="P405" s="10"/>
      <c r="Q405" s="221">
        <f>SUM(Q406:Q409)</f>
        <v>12395.400000000001</v>
      </c>
      <c r="R405" s="221">
        <f>SUM(R406:R409)</f>
        <v>13395.400000000001</v>
      </c>
      <c r="S405" s="221">
        <f>SUM(S406:S409)</f>
        <v>13395.400000000001</v>
      </c>
    </row>
    <row r="406" spans="1:19" ht="30" customHeight="1">
      <c r="A406" s="97"/>
      <c r="B406" s="98"/>
      <c r="C406" s="106"/>
      <c r="D406" s="111"/>
      <c r="E406" s="114"/>
      <c r="F406" s="114"/>
      <c r="G406" s="89"/>
      <c r="H406" s="11" t="s">
        <v>789</v>
      </c>
      <c r="I406" s="10">
        <v>661</v>
      </c>
      <c r="J406" s="16">
        <v>1</v>
      </c>
      <c r="K406" s="16">
        <v>13</v>
      </c>
      <c r="L406" s="95" t="s">
        <v>596</v>
      </c>
      <c r="M406" s="96" t="s">
        <v>560</v>
      </c>
      <c r="N406" s="96" t="s">
        <v>592</v>
      </c>
      <c r="O406" s="96" t="s">
        <v>345</v>
      </c>
      <c r="P406" s="10">
        <v>110</v>
      </c>
      <c r="Q406" s="214">
        <f>11244.7-0.1-68</f>
        <v>11176.6</v>
      </c>
      <c r="R406" s="240">
        <v>11244.7</v>
      </c>
      <c r="S406" s="240">
        <v>11244.7</v>
      </c>
    </row>
    <row r="407" spans="1:19" ht="30" customHeight="1">
      <c r="A407" s="97"/>
      <c r="B407" s="98"/>
      <c r="C407" s="106"/>
      <c r="D407" s="111"/>
      <c r="E407" s="114"/>
      <c r="F407" s="114"/>
      <c r="G407" s="89"/>
      <c r="H407" s="11" t="s">
        <v>720</v>
      </c>
      <c r="I407" s="10">
        <v>661</v>
      </c>
      <c r="J407" s="16">
        <v>1</v>
      </c>
      <c r="K407" s="16">
        <v>13</v>
      </c>
      <c r="L407" s="95" t="s">
        <v>596</v>
      </c>
      <c r="M407" s="96" t="s">
        <v>560</v>
      </c>
      <c r="N407" s="96" t="s">
        <v>592</v>
      </c>
      <c r="O407" s="96" t="s">
        <v>345</v>
      </c>
      <c r="P407" s="10">
        <v>240</v>
      </c>
      <c r="Q407" s="214">
        <v>1149.7</v>
      </c>
      <c r="R407" s="240">
        <v>2149.7</v>
      </c>
      <c r="S407" s="240">
        <v>2149.7</v>
      </c>
    </row>
    <row r="408" spans="1:19" ht="30" customHeight="1">
      <c r="A408" s="97"/>
      <c r="B408" s="98"/>
      <c r="C408" s="106"/>
      <c r="D408" s="111"/>
      <c r="E408" s="114"/>
      <c r="F408" s="114"/>
      <c r="G408" s="89"/>
      <c r="H408" s="11" t="s">
        <v>725</v>
      </c>
      <c r="I408" s="10">
        <v>661</v>
      </c>
      <c r="J408" s="16">
        <v>1</v>
      </c>
      <c r="K408" s="16">
        <v>13</v>
      </c>
      <c r="L408" s="95" t="s">
        <v>596</v>
      </c>
      <c r="M408" s="96" t="s">
        <v>560</v>
      </c>
      <c r="N408" s="96" t="s">
        <v>592</v>
      </c>
      <c r="O408" s="96" t="s">
        <v>345</v>
      </c>
      <c r="P408" s="10">
        <v>320</v>
      </c>
      <c r="Q408" s="214">
        <v>68</v>
      </c>
      <c r="R408" s="240"/>
      <c r="S408" s="240"/>
    </row>
    <row r="409" spans="1:19" ht="30" customHeight="1">
      <c r="A409" s="97"/>
      <c r="B409" s="98"/>
      <c r="C409" s="106"/>
      <c r="D409" s="111"/>
      <c r="E409" s="114"/>
      <c r="F409" s="114"/>
      <c r="G409" s="89"/>
      <c r="H409" s="11" t="s">
        <v>721</v>
      </c>
      <c r="I409" s="10">
        <v>661</v>
      </c>
      <c r="J409" s="16">
        <v>1</v>
      </c>
      <c r="K409" s="16">
        <v>13</v>
      </c>
      <c r="L409" s="95" t="s">
        <v>596</v>
      </c>
      <c r="M409" s="96" t="s">
        <v>560</v>
      </c>
      <c r="N409" s="96" t="s">
        <v>592</v>
      </c>
      <c r="O409" s="96" t="s">
        <v>345</v>
      </c>
      <c r="P409" s="10">
        <v>850</v>
      </c>
      <c r="Q409" s="214">
        <f>1+0.1</f>
        <v>1.1</v>
      </c>
      <c r="R409" s="240">
        <v>1</v>
      </c>
      <c r="S409" s="240">
        <v>1</v>
      </c>
    </row>
    <row r="410" spans="1:19" ht="30" customHeight="1">
      <c r="A410" s="97"/>
      <c r="B410" s="98"/>
      <c r="C410" s="106"/>
      <c r="D410" s="111"/>
      <c r="E410" s="114"/>
      <c r="F410" s="114"/>
      <c r="G410" s="89"/>
      <c r="H410" s="11" t="s">
        <v>61</v>
      </c>
      <c r="I410" s="10">
        <v>661</v>
      </c>
      <c r="J410" s="16">
        <v>1</v>
      </c>
      <c r="K410" s="16">
        <v>13</v>
      </c>
      <c r="L410" s="95" t="s">
        <v>596</v>
      </c>
      <c r="M410" s="96" t="s">
        <v>560</v>
      </c>
      <c r="N410" s="96" t="s">
        <v>592</v>
      </c>
      <c r="O410" s="96" t="s">
        <v>60</v>
      </c>
      <c r="P410" s="10"/>
      <c r="Q410" s="214">
        <f>Q411</f>
        <v>2235.2</v>
      </c>
      <c r="R410" s="240"/>
      <c r="S410" s="240"/>
    </row>
    <row r="411" spans="1:19" ht="30" customHeight="1">
      <c r="A411" s="97"/>
      <c r="B411" s="98"/>
      <c r="C411" s="106"/>
      <c r="D411" s="111"/>
      <c r="E411" s="114"/>
      <c r="F411" s="114"/>
      <c r="G411" s="89"/>
      <c r="H411" s="11" t="s">
        <v>789</v>
      </c>
      <c r="I411" s="10">
        <v>661</v>
      </c>
      <c r="J411" s="16">
        <v>1</v>
      </c>
      <c r="K411" s="16">
        <v>13</v>
      </c>
      <c r="L411" s="95" t="s">
        <v>596</v>
      </c>
      <c r="M411" s="96" t="s">
        <v>560</v>
      </c>
      <c r="N411" s="96" t="s">
        <v>592</v>
      </c>
      <c r="O411" s="96" t="s">
        <v>60</v>
      </c>
      <c r="P411" s="10">
        <v>110</v>
      </c>
      <c r="Q411" s="214">
        <v>2235.2</v>
      </c>
      <c r="R411" s="240"/>
      <c r="S411" s="240"/>
    </row>
    <row r="412" spans="1:19" ht="33.75" customHeight="1">
      <c r="A412" s="97"/>
      <c r="B412" s="98"/>
      <c r="C412" s="106"/>
      <c r="D412" s="111"/>
      <c r="E412" s="114"/>
      <c r="F412" s="114"/>
      <c r="G412" s="89"/>
      <c r="H412" s="11" t="s">
        <v>760</v>
      </c>
      <c r="I412" s="10">
        <v>661</v>
      </c>
      <c r="J412" s="16">
        <v>1</v>
      </c>
      <c r="K412" s="16">
        <v>13</v>
      </c>
      <c r="L412" s="95" t="s">
        <v>596</v>
      </c>
      <c r="M412" s="96" t="s">
        <v>560</v>
      </c>
      <c r="N412" s="96" t="s">
        <v>592</v>
      </c>
      <c r="O412" s="96" t="s">
        <v>759</v>
      </c>
      <c r="P412" s="10"/>
      <c r="Q412" s="214">
        <f>SUM(Q413:Q414)</f>
        <v>2206.9999999999995</v>
      </c>
      <c r="R412" s="214">
        <f>SUM(R413:R414)</f>
        <v>0</v>
      </c>
      <c r="S412" s="214">
        <f>SUM(S413:S414)</f>
        <v>0</v>
      </c>
    </row>
    <row r="413" spans="1:19" ht="33.75" customHeight="1">
      <c r="A413" s="97"/>
      <c r="B413" s="98"/>
      <c r="C413" s="106"/>
      <c r="D413" s="111"/>
      <c r="E413" s="114"/>
      <c r="F413" s="114"/>
      <c r="G413" s="89"/>
      <c r="H413" s="11" t="s">
        <v>723</v>
      </c>
      <c r="I413" s="10">
        <v>661</v>
      </c>
      <c r="J413" s="16">
        <v>1</v>
      </c>
      <c r="K413" s="16">
        <v>13</v>
      </c>
      <c r="L413" s="95" t="s">
        <v>596</v>
      </c>
      <c r="M413" s="96" t="s">
        <v>560</v>
      </c>
      <c r="N413" s="96" t="s">
        <v>592</v>
      </c>
      <c r="O413" s="96" t="s">
        <v>759</v>
      </c>
      <c r="P413" s="10">
        <v>110</v>
      </c>
      <c r="Q413" s="214">
        <f>1924.1+30.3+141</f>
        <v>2095.3999999999996</v>
      </c>
      <c r="R413" s="214"/>
      <c r="S413" s="214"/>
    </row>
    <row r="414" spans="1:19" ht="33.75" customHeight="1">
      <c r="A414" s="97"/>
      <c r="B414" s="98"/>
      <c r="C414" s="106"/>
      <c r="D414" s="111"/>
      <c r="E414" s="114"/>
      <c r="F414" s="114"/>
      <c r="G414" s="89"/>
      <c r="H414" s="11" t="s">
        <v>720</v>
      </c>
      <c r="I414" s="10">
        <v>661</v>
      </c>
      <c r="J414" s="16">
        <v>1</v>
      </c>
      <c r="K414" s="16">
        <v>13</v>
      </c>
      <c r="L414" s="95" t="s">
        <v>596</v>
      </c>
      <c r="M414" s="96" t="s">
        <v>560</v>
      </c>
      <c r="N414" s="96" t="s">
        <v>592</v>
      </c>
      <c r="O414" s="96" t="s">
        <v>759</v>
      </c>
      <c r="P414" s="10">
        <v>240</v>
      </c>
      <c r="Q414" s="214">
        <f>30+81.6</f>
        <v>111.6</v>
      </c>
      <c r="R414" s="214"/>
      <c r="S414" s="214"/>
    </row>
    <row r="415" spans="1:19" s="179" customFormat="1" ht="24" customHeight="1">
      <c r="A415" s="142"/>
      <c r="B415" s="143"/>
      <c r="C415" s="157"/>
      <c r="D415" s="170"/>
      <c r="E415" s="145"/>
      <c r="F415" s="145"/>
      <c r="G415" s="155"/>
      <c r="H415" s="137" t="s">
        <v>553</v>
      </c>
      <c r="I415" s="138">
        <v>661</v>
      </c>
      <c r="J415" s="139">
        <v>13</v>
      </c>
      <c r="K415" s="139" t="s">
        <v>621</v>
      </c>
      <c r="L415" s="140" t="s">
        <v>534</v>
      </c>
      <c r="M415" s="141" t="s">
        <v>534</v>
      </c>
      <c r="N415" s="141"/>
      <c r="O415" s="141" t="s">
        <v>534</v>
      </c>
      <c r="P415" s="146" t="s">
        <v>534</v>
      </c>
      <c r="Q415" s="217">
        <f aca="true" t="shared" si="35" ref="Q415:Q420">Q416</f>
        <v>96.9</v>
      </c>
      <c r="R415" s="217"/>
      <c r="S415" s="217"/>
    </row>
    <row r="416" spans="1:19" s="179" customFormat="1" ht="24" customHeight="1">
      <c r="A416" s="142"/>
      <c r="B416" s="143"/>
      <c r="C416" s="157"/>
      <c r="D416" s="170"/>
      <c r="E416" s="145"/>
      <c r="F416" s="145"/>
      <c r="G416" s="155"/>
      <c r="H416" s="137" t="s">
        <v>554</v>
      </c>
      <c r="I416" s="138">
        <v>661</v>
      </c>
      <c r="J416" s="139">
        <v>13</v>
      </c>
      <c r="K416" s="139">
        <v>1</v>
      </c>
      <c r="L416" s="140" t="s">
        <v>534</v>
      </c>
      <c r="M416" s="141" t="s">
        <v>534</v>
      </c>
      <c r="N416" s="141"/>
      <c r="O416" s="141" t="s">
        <v>534</v>
      </c>
      <c r="P416" s="146" t="s">
        <v>534</v>
      </c>
      <c r="Q416" s="217">
        <f t="shared" si="35"/>
        <v>96.9</v>
      </c>
      <c r="R416" s="217"/>
      <c r="S416" s="217"/>
    </row>
    <row r="417" spans="1:19" ht="36.75" customHeight="1">
      <c r="A417" s="97"/>
      <c r="B417" s="98"/>
      <c r="C417" s="103"/>
      <c r="D417" s="101"/>
      <c r="E417" s="104"/>
      <c r="F417" s="104"/>
      <c r="G417" s="89"/>
      <c r="H417" s="11" t="s">
        <v>35</v>
      </c>
      <c r="I417" s="10">
        <v>661</v>
      </c>
      <c r="J417" s="16">
        <v>13</v>
      </c>
      <c r="K417" s="16">
        <v>1</v>
      </c>
      <c r="L417" s="95" t="s">
        <v>596</v>
      </c>
      <c r="M417" s="96" t="s">
        <v>563</v>
      </c>
      <c r="N417" s="96" t="s">
        <v>583</v>
      </c>
      <c r="O417" s="96" t="s">
        <v>620</v>
      </c>
      <c r="P417" s="6"/>
      <c r="Q417" s="216">
        <f t="shared" si="35"/>
        <v>96.9</v>
      </c>
      <c r="R417" s="216"/>
      <c r="S417" s="216"/>
    </row>
    <row r="418" spans="1:19" ht="24" customHeight="1">
      <c r="A418" s="97"/>
      <c r="B418" s="98"/>
      <c r="C418" s="106"/>
      <c r="D418" s="107"/>
      <c r="E418" s="104"/>
      <c r="F418" s="104"/>
      <c r="G418" s="105"/>
      <c r="H418" s="11" t="s">
        <v>40</v>
      </c>
      <c r="I418" s="10">
        <v>661</v>
      </c>
      <c r="J418" s="16">
        <v>13</v>
      </c>
      <c r="K418" s="16">
        <v>1</v>
      </c>
      <c r="L418" s="95" t="s">
        <v>596</v>
      </c>
      <c r="M418" s="96" t="s">
        <v>38</v>
      </c>
      <c r="N418" s="96" t="s">
        <v>583</v>
      </c>
      <c r="O418" s="96" t="s">
        <v>620</v>
      </c>
      <c r="P418" s="6"/>
      <c r="Q418" s="216">
        <f t="shared" si="35"/>
        <v>96.9</v>
      </c>
      <c r="R418" s="216"/>
      <c r="S418" s="216"/>
    </row>
    <row r="419" spans="1:19" ht="24" customHeight="1">
      <c r="A419" s="97"/>
      <c r="B419" s="98"/>
      <c r="C419" s="106"/>
      <c r="D419" s="107"/>
      <c r="E419" s="104"/>
      <c r="F419" s="104"/>
      <c r="G419" s="105"/>
      <c r="H419" s="11" t="s">
        <v>39</v>
      </c>
      <c r="I419" s="10">
        <v>661</v>
      </c>
      <c r="J419" s="16">
        <v>13</v>
      </c>
      <c r="K419" s="16">
        <v>1</v>
      </c>
      <c r="L419" s="95" t="s">
        <v>596</v>
      </c>
      <c r="M419" s="96" t="s">
        <v>38</v>
      </c>
      <c r="N419" s="96" t="s">
        <v>564</v>
      </c>
      <c r="O419" s="96" t="s">
        <v>620</v>
      </c>
      <c r="P419" s="6"/>
      <c r="Q419" s="216">
        <f t="shared" si="35"/>
        <v>96.9</v>
      </c>
      <c r="R419" s="216"/>
      <c r="S419" s="216"/>
    </row>
    <row r="420" spans="1:19" ht="27" customHeight="1">
      <c r="A420" s="99"/>
      <c r="B420" s="98"/>
      <c r="C420" s="106"/>
      <c r="D420" s="107"/>
      <c r="E420" s="104"/>
      <c r="F420" s="104"/>
      <c r="G420" s="105"/>
      <c r="H420" s="11" t="s">
        <v>317</v>
      </c>
      <c r="I420" s="10">
        <v>661</v>
      </c>
      <c r="J420" s="16">
        <v>13</v>
      </c>
      <c r="K420" s="16">
        <v>1</v>
      </c>
      <c r="L420" s="95" t="s">
        <v>596</v>
      </c>
      <c r="M420" s="96" t="s">
        <v>38</v>
      </c>
      <c r="N420" s="96" t="s">
        <v>564</v>
      </c>
      <c r="O420" s="96" t="s">
        <v>316</v>
      </c>
      <c r="P420" s="6" t="s">
        <v>534</v>
      </c>
      <c r="Q420" s="216">
        <f t="shared" si="35"/>
        <v>96.9</v>
      </c>
      <c r="R420" s="216"/>
      <c r="S420" s="216"/>
    </row>
    <row r="421" spans="1:19" ht="28.5" customHeight="1">
      <c r="A421" s="99"/>
      <c r="B421" s="98"/>
      <c r="C421" s="106"/>
      <c r="D421" s="107"/>
      <c r="E421" s="104"/>
      <c r="F421" s="104"/>
      <c r="G421" s="105"/>
      <c r="H421" s="5" t="s">
        <v>614</v>
      </c>
      <c r="I421" s="8">
        <v>661</v>
      </c>
      <c r="J421" s="21">
        <v>13</v>
      </c>
      <c r="K421" s="16">
        <v>1</v>
      </c>
      <c r="L421" s="95" t="s">
        <v>596</v>
      </c>
      <c r="M421" s="96" t="s">
        <v>38</v>
      </c>
      <c r="N421" s="96" t="s">
        <v>564</v>
      </c>
      <c r="O421" s="96" t="s">
        <v>316</v>
      </c>
      <c r="P421" s="6">
        <v>730</v>
      </c>
      <c r="Q421" s="214">
        <v>96.9</v>
      </c>
      <c r="R421" s="216"/>
      <c r="S421" s="216"/>
    </row>
    <row r="422" spans="1:19" s="179" customFormat="1" ht="30.75" customHeight="1">
      <c r="A422" s="142"/>
      <c r="B422" s="143"/>
      <c r="C422" s="157"/>
      <c r="D422" s="170"/>
      <c r="E422" s="145"/>
      <c r="F422" s="145"/>
      <c r="G422" s="155"/>
      <c r="H422" s="137" t="s">
        <v>340</v>
      </c>
      <c r="I422" s="146">
        <v>661</v>
      </c>
      <c r="J422" s="139">
        <v>14</v>
      </c>
      <c r="K422" s="139" t="s">
        <v>534</v>
      </c>
      <c r="L422" s="139" t="s">
        <v>534</v>
      </c>
      <c r="M422" s="141" t="s">
        <v>534</v>
      </c>
      <c r="N422" s="141"/>
      <c r="O422" s="141" t="s">
        <v>534</v>
      </c>
      <c r="P422" s="146" t="s">
        <v>534</v>
      </c>
      <c r="Q422" s="217">
        <f>Q423+Q431</f>
        <v>15216.9</v>
      </c>
      <c r="R422" s="217">
        <f>R423+R431</f>
        <v>17823.8</v>
      </c>
      <c r="S422" s="217">
        <f>S423+S431</f>
        <v>17916.8</v>
      </c>
    </row>
    <row r="423" spans="1:19" s="179" customFormat="1" ht="30.75" customHeight="1">
      <c r="A423" s="142"/>
      <c r="B423" s="143"/>
      <c r="C423" s="157"/>
      <c r="D423" s="170"/>
      <c r="E423" s="145"/>
      <c r="F423" s="145"/>
      <c r="G423" s="155"/>
      <c r="H423" s="137" t="s">
        <v>587</v>
      </c>
      <c r="I423" s="146">
        <v>661</v>
      </c>
      <c r="J423" s="139">
        <v>14</v>
      </c>
      <c r="K423" s="139">
        <v>1</v>
      </c>
      <c r="L423" s="139" t="s">
        <v>534</v>
      </c>
      <c r="M423" s="141" t="s">
        <v>534</v>
      </c>
      <c r="N423" s="141"/>
      <c r="O423" s="141" t="s">
        <v>534</v>
      </c>
      <c r="P423" s="146" t="s">
        <v>534</v>
      </c>
      <c r="Q423" s="217">
        <f>Q424</f>
        <v>5032.799999999999</v>
      </c>
      <c r="R423" s="217">
        <f aca="true" t="shared" si="36" ref="R423:S425">R424</f>
        <v>5252.3</v>
      </c>
      <c r="S423" s="217">
        <f t="shared" si="36"/>
        <v>5735.7</v>
      </c>
    </row>
    <row r="424" spans="1:19" ht="36.75" customHeight="1">
      <c r="A424" s="97"/>
      <c r="B424" s="98"/>
      <c r="C424" s="103"/>
      <c r="D424" s="101"/>
      <c r="E424" s="104"/>
      <c r="F424" s="104"/>
      <c r="G424" s="89"/>
      <c r="H424" s="11" t="s">
        <v>35</v>
      </c>
      <c r="I424" s="10">
        <v>661</v>
      </c>
      <c r="J424" s="16">
        <v>14</v>
      </c>
      <c r="K424" s="16">
        <v>1</v>
      </c>
      <c r="L424" s="95" t="s">
        <v>596</v>
      </c>
      <c r="M424" s="96" t="s">
        <v>563</v>
      </c>
      <c r="N424" s="96" t="s">
        <v>583</v>
      </c>
      <c r="O424" s="96" t="s">
        <v>620</v>
      </c>
      <c r="P424" s="6"/>
      <c r="Q424" s="216">
        <f>Q425</f>
        <v>5032.799999999999</v>
      </c>
      <c r="R424" s="216">
        <f t="shared" si="36"/>
        <v>5252.3</v>
      </c>
      <c r="S424" s="216">
        <f t="shared" si="36"/>
        <v>5735.7</v>
      </c>
    </row>
    <row r="425" spans="1:19" ht="36.75" customHeight="1">
      <c r="A425" s="97"/>
      <c r="B425" s="98"/>
      <c r="C425" s="106"/>
      <c r="D425" s="107"/>
      <c r="E425" s="104"/>
      <c r="F425" s="104"/>
      <c r="G425" s="89"/>
      <c r="H425" s="11" t="s">
        <v>43</v>
      </c>
      <c r="I425" s="10">
        <v>661</v>
      </c>
      <c r="J425" s="16">
        <v>14</v>
      </c>
      <c r="K425" s="16">
        <v>1</v>
      </c>
      <c r="L425" s="95" t="s">
        <v>596</v>
      </c>
      <c r="M425" s="96" t="s">
        <v>559</v>
      </c>
      <c r="N425" s="96" t="s">
        <v>583</v>
      </c>
      <c r="O425" s="96" t="s">
        <v>620</v>
      </c>
      <c r="P425" s="6"/>
      <c r="Q425" s="216">
        <f>Q426</f>
        <v>5032.799999999999</v>
      </c>
      <c r="R425" s="216">
        <f t="shared" si="36"/>
        <v>5252.3</v>
      </c>
      <c r="S425" s="216">
        <f t="shared" si="36"/>
        <v>5735.7</v>
      </c>
    </row>
    <row r="426" spans="1:19" ht="22.5" customHeight="1">
      <c r="A426" s="99"/>
      <c r="B426" s="98"/>
      <c r="C426" s="106"/>
      <c r="D426" s="107"/>
      <c r="E426" s="104"/>
      <c r="F426" s="104"/>
      <c r="G426" s="105"/>
      <c r="H426" s="11" t="s">
        <v>41</v>
      </c>
      <c r="I426" s="6">
        <v>661</v>
      </c>
      <c r="J426" s="16">
        <v>14</v>
      </c>
      <c r="K426" s="16">
        <v>1</v>
      </c>
      <c r="L426" s="16">
        <v>11</v>
      </c>
      <c r="M426" s="96" t="s">
        <v>559</v>
      </c>
      <c r="N426" s="96" t="s">
        <v>564</v>
      </c>
      <c r="O426" s="96" t="s">
        <v>620</v>
      </c>
      <c r="P426" s="6" t="s">
        <v>534</v>
      </c>
      <c r="Q426" s="216">
        <f>Q427+Q429</f>
        <v>5032.799999999999</v>
      </c>
      <c r="R426" s="216">
        <f>R427+R429</f>
        <v>5252.3</v>
      </c>
      <c r="S426" s="216">
        <f>S427+S429</f>
        <v>5735.7</v>
      </c>
    </row>
    <row r="427" spans="1:19" ht="67.5" customHeight="1">
      <c r="A427" s="99"/>
      <c r="B427" s="98"/>
      <c r="C427" s="106"/>
      <c r="D427" s="107"/>
      <c r="E427" s="104"/>
      <c r="F427" s="104"/>
      <c r="G427" s="105"/>
      <c r="H427" s="11" t="s">
        <v>53</v>
      </c>
      <c r="I427" s="6">
        <v>661</v>
      </c>
      <c r="J427" s="19">
        <v>14</v>
      </c>
      <c r="K427" s="16">
        <v>1</v>
      </c>
      <c r="L427" s="16">
        <v>11</v>
      </c>
      <c r="M427" s="96" t="s">
        <v>559</v>
      </c>
      <c r="N427" s="96" t="s">
        <v>564</v>
      </c>
      <c r="O427" s="96" t="s">
        <v>653</v>
      </c>
      <c r="P427" s="6"/>
      <c r="Q427" s="214">
        <f>Q428</f>
        <v>2865.2</v>
      </c>
      <c r="R427" s="214">
        <f>R428</f>
        <v>2747.9</v>
      </c>
      <c r="S427" s="214">
        <f>S428</f>
        <v>2974.6</v>
      </c>
    </row>
    <row r="428" spans="1:19" ht="24.75" customHeight="1">
      <c r="A428" s="99"/>
      <c r="B428" s="98"/>
      <c r="C428" s="106"/>
      <c r="D428" s="107"/>
      <c r="E428" s="104"/>
      <c r="F428" s="104"/>
      <c r="G428" s="105"/>
      <c r="H428" s="11" t="s">
        <v>726</v>
      </c>
      <c r="I428" s="6">
        <v>661</v>
      </c>
      <c r="J428" s="19">
        <v>14</v>
      </c>
      <c r="K428" s="16">
        <v>1</v>
      </c>
      <c r="L428" s="16">
        <v>11</v>
      </c>
      <c r="M428" s="96" t="s">
        <v>559</v>
      </c>
      <c r="N428" s="96" t="s">
        <v>564</v>
      </c>
      <c r="O428" s="96" t="s">
        <v>653</v>
      </c>
      <c r="P428" s="6">
        <v>510</v>
      </c>
      <c r="Q428" s="214">
        <v>2865.2</v>
      </c>
      <c r="R428" s="214">
        <v>2747.9</v>
      </c>
      <c r="S428" s="214">
        <v>2974.6</v>
      </c>
    </row>
    <row r="429" spans="1:19" ht="21" customHeight="1">
      <c r="A429" s="99"/>
      <c r="B429" s="98"/>
      <c r="C429" s="106"/>
      <c r="D429" s="107"/>
      <c r="E429" s="104"/>
      <c r="F429" s="104"/>
      <c r="G429" s="105"/>
      <c r="H429" s="11" t="s">
        <v>55</v>
      </c>
      <c r="I429" s="6">
        <v>661</v>
      </c>
      <c r="J429" s="16">
        <v>14</v>
      </c>
      <c r="K429" s="16">
        <v>1</v>
      </c>
      <c r="L429" s="16">
        <v>11</v>
      </c>
      <c r="M429" s="96" t="s">
        <v>559</v>
      </c>
      <c r="N429" s="96" t="s">
        <v>564</v>
      </c>
      <c r="O429" s="96" t="s">
        <v>86</v>
      </c>
      <c r="P429" s="6" t="s">
        <v>534</v>
      </c>
      <c r="Q429" s="216">
        <f>Q430</f>
        <v>2167.6</v>
      </c>
      <c r="R429" s="216">
        <f>R430</f>
        <v>2504.4</v>
      </c>
      <c r="S429" s="216">
        <f>S430</f>
        <v>2761.1</v>
      </c>
    </row>
    <row r="430" spans="1:19" ht="23.25" customHeight="1">
      <c r="A430" s="99"/>
      <c r="B430" s="98"/>
      <c r="C430" s="106"/>
      <c r="D430" s="107"/>
      <c r="E430" s="104"/>
      <c r="F430" s="104"/>
      <c r="G430" s="105"/>
      <c r="H430" s="11" t="s">
        <v>726</v>
      </c>
      <c r="I430" s="6">
        <v>661</v>
      </c>
      <c r="J430" s="19">
        <v>14</v>
      </c>
      <c r="K430" s="16">
        <v>1</v>
      </c>
      <c r="L430" s="16">
        <v>11</v>
      </c>
      <c r="M430" s="96" t="s">
        <v>559</v>
      </c>
      <c r="N430" s="96" t="s">
        <v>564</v>
      </c>
      <c r="O430" s="96" t="s">
        <v>86</v>
      </c>
      <c r="P430" s="6">
        <v>510</v>
      </c>
      <c r="Q430" s="216">
        <v>2167.6</v>
      </c>
      <c r="R430" s="216">
        <v>2504.4</v>
      </c>
      <c r="S430" s="216">
        <v>2761.1</v>
      </c>
    </row>
    <row r="431" spans="1:19" s="179" customFormat="1" ht="22.5" customHeight="1">
      <c r="A431" s="142"/>
      <c r="B431" s="143"/>
      <c r="C431" s="157"/>
      <c r="D431" s="170"/>
      <c r="E431" s="145"/>
      <c r="F431" s="145"/>
      <c r="G431" s="155"/>
      <c r="H431" s="137" t="s">
        <v>645</v>
      </c>
      <c r="I431" s="146">
        <v>661</v>
      </c>
      <c r="J431" s="139">
        <v>14</v>
      </c>
      <c r="K431" s="139">
        <v>2</v>
      </c>
      <c r="L431" s="139" t="s">
        <v>534</v>
      </c>
      <c r="M431" s="141" t="s">
        <v>534</v>
      </c>
      <c r="N431" s="141"/>
      <c r="O431" s="141" t="s">
        <v>534</v>
      </c>
      <c r="P431" s="146" t="s">
        <v>534</v>
      </c>
      <c r="Q431" s="217">
        <f>Q432</f>
        <v>10184.1</v>
      </c>
      <c r="R431" s="217">
        <f aca="true" t="shared" si="37" ref="R431:S434">R432</f>
        <v>12571.5</v>
      </c>
      <c r="S431" s="217">
        <f t="shared" si="37"/>
        <v>12181.1</v>
      </c>
    </row>
    <row r="432" spans="1:19" ht="36.75" customHeight="1">
      <c r="A432" s="97"/>
      <c r="B432" s="98"/>
      <c r="C432" s="103"/>
      <c r="D432" s="101"/>
      <c r="E432" s="104"/>
      <c r="F432" s="104"/>
      <c r="G432" s="89"/>
      <c r="H432" s="11" t="s">
        <v>35</v>
      </c>
      <c r="I432" s="10">
        <v>661</v>
      </c>
      <c r="J432" s="16">
        <v>14</v>
      </c>
      <c r="K432" s="16">
        <v>2</v>
      </c>
      <c r="L432" s="95" t="s">
        <v>596</v>
      </c>
      <c r="M432" s="96" t="s">
        <v>563</v>
      </c>
      <c r="N432" s="96" t="s">
        <v>583</v>
      </c>
      <c r="O432" s="96" t="s">
        <v>620</v>
      </c>
      <c r="P432" s="6"/>
      <c r="Q432" s="216">
        <f>Q433</f>
        <v>10184.1</v>
      </c>
      <c r="R432" s="216">
        <f t="shared" si="37"/>
        <v>12571.5</v>
      </c>
      <c r="S432" s="216">
        <f t="shared" si="37"/>
        <v>12181.1</v>
      </c>
    </row>
    <row r="433" spans="1:19" ht="36.75" customHeight="1">
      <c r="A433" s="97"/>
      <c r="B433" s="98"/>
      <c r="C433" s="106"/>
      <c r="D433" s="107"/>
      <c r="E433" s="104"/>
      <c r="F433" s="104"/>
      <c r="G433" s="89"/>
      <c r="H433" s="11" t="s">
        <v>43</v>
      </c>
      <c r="I433" s="10">
        <v>661</v>
      </c>
      <c r="J433" s="16">
        <v>14</v>
      </c>
      <c r="K433" s="16">
        <v>2</v>
      </c>
      <c r="L433" s="95" t="s">
        <v>596</v>
      </c>
      <c r="M433" s="96" t="s">
        <v>559</v>
      </c>
      <c r="N433" s="96" t="s">
        <v>583</v>
      </c>
      <c r="O433" s="96" t="s">
        <v>620</v>
      </c>
      <c r="P433" s="6"/>
      <c r="Q433" s="216">
        <f>Q434</f>
        <v>10184.1</v>
      </c>
      <c r="R433" s="216">
        <f t="shared" si="37"/>
        <v>12571.5</v>
      </c>
      <c r="S433" s="216">
        <f t="shared" si="37"/>
        <v>12181.1</v>
      </c>
    </row>
    <row r="434" spans="1:19" ht="18.75" customHeight="1">
      <c r="A434" s="97"/>
      <c r="B434" s="98"/>
      <c r="C434" s="106"/>
      <c r="D434" s="107"/>
      <c r="E434" s="104"/>
      <c r="F434" s="104"/>
      <c r="G434" s="105"/>
      <c r="H434" s="11" t="s">
        <v>44</v>
      </c>
      <c r="I434" s="6">
        <v>661</v>
      </c>
      <c r="J434" s="16">
        <v>14</v>
      </c>
      <c r="K434" s="16">
        <v>2</v>
      </c>
      <c r="L434" s="16">
        <v>11</v>
      </c>
      <c r="M434" s="96" t="s">
        <v>559</v>
      </c>
      <c r="N434" s="96" t="s">
        <v>592</v>
      </c>
      <c r="O434" s="96" t="s">
        <v>620</v>
      </c>
      <c r="P434" s="6"/>
      <c r="Q434" s="216">
        <f>Q435+Q437</f>
        <v>10184.1</v>
      </c>
      <c r="R434" s="216">
        <f t="shared" si="37"/>
        <v>12571.5</v>
      </c>
      <c r="S434" s="216">
        <f t="shared" si="37"/>
        <v>12181.1</v>
      </c>
    </row>
    <row r="435" spans="1:19" ht="23.25" customHeight="1">
      <c r="A435" s="99"/>
      <c r="B435" s="98"/>
      <c r="C435" s="106"/>
      <c r="D435" s="107"/>
      <c r="E435" s="104"/>
      <c r="F435" s="104"/>
      <c r="G435" s="105"/>
      <c r="H435" s="11" t="s">
        <v>42</v>
      </c>
      <c r="I435" s="6">
        <v>661</v>
      </c>
      <c r="J435" s="16">
        <v>14</v>
      </c>
      <c r="K435" s="16">
        <v>2</v>
      </c>
      <c r="L435" s="16">
        <v>11</v>
      </c>
      <c r="M435" s="96" t="s">
        <v>559</v>
      </c>
      <c r="N435" s="96" t="s">
        <v>592</v>
      </c>
      <c r="O435" s="96" t="s">
        <v>87</v>
      </c>
      <c r="P435" s="6" t="s">
        <v>534</v>
      </c>
      <c r="Q435" s="216">
        <f>Q436</f>
        <v>7064</v>
      </c>
      <c r="R435" s="216">
        <f>R436</f>
        <v>12571.5</v>
      </c>
      <c r="S435" s="216">
        <f>S436</f>
        <v>12181.1</v>
      </c>
    </row>
    <row r="436" spans="1:19" ht="20.25" customHeight="1">
      <c r="A436" s="99"/>
      <c r="B436" s="98"/>
      <c r="C436" s="106"/>
      <c r="D436" s="107"/>
      <c r="E436" s="104"/>
      <c r="F436" s="104"/>
      <c r="G436" s="105"/>
      <c r="H436" s="11" t="s">
        <v>726</v>
      </c>
      <c r="I436" s="6">
        <v>661</v>
      </c>
      <c r="J436" s="19">
        <v>14</v>
      </c>
      <c r="K436" s="16">
        <v>2</v>
      </c>
      <c r="L436" s="16">
        <v>11</v>
      </c>
      <c r="M436" s="96" t="s">
        <v>559</v>
      </c>
      <c r="N436" s="96" t="s">
        <v>592</v>
      </c>
      <c r="O436" s="96" t="s">
        <v>87</v>
      </c>
      <c r="P436" s="6">
        <v>510</v>
      </c>
      <c r="Q436" s="216">
        <v>7064</v>
      </c>
      <c r="R436" s="216">
        <v>12571.5</v>
      </c>
      <c r="S436" s="216">
        <v>12181.1</v>
      </c>
    </row>
    <row r="437" spans="1:19" ht="32.25" customHeight="1">
      <c r="A437" s="99"/>
      <c r="B437" s="98"/>
      <c r="C437" s="106"/>
      <c r="D437" s="107"/>
      <c r="E437" s="104"/>
      <c r="F437" s="104"/>
      <c r="G437" s="105"/>
      <c r="H437" s="11" t="s">
        <v>61</v>
      </c>
      <c r="I437" s="10">
        <v>661</v>
      </c>
      <c r="J437" s="7">
        <v>14</v>
      </c>
      <c r="K437" s="16">
        <v>2</v>
      </c>
      <c r="L437" s="16">
        <v>11</v>
      </c>
      <c r="M437" s="96" t="s">
        <v>559</v>
      </c>
      <c r="N437" s="96" t="s">
        <v>592</v>
      </c>
      <c r="O437" s="96" t="s">
        <v>60</v>
      </c>
      <c r="P437" s="6"/>
      <c r="Q437" s="216">
        <f>Q438</f>
        <v>3120.1</v>
      </c>
      <c r="R437" s="216"/>
      <c r="S437" s="216"/>
    </row>
    <row r="438" spans="1:19" ht="20.25" customHeight="1">
      <c r="A438" s="99"/>
      <c r="B438" s="98"/>
      <c r="C438" s="106"/>
      <c r="D438" s="107"/>
      <c r="E438" s="104"/>
      <c r="F438" s="104"/>
      <c r="G438" s="105"/>
      <c r="H438" s="11" t="s">
        <v>726</v>
      </c>
      <c r="I438" s="10">
        <v>661</v>
      </c>
      <c r="J438" s="7">
        <v>14</v>
      </c>
      <c r="K438" s="16">
        <v>2</v>
      </c>
      <c r="L438" s="16">
        <v>11</v>
      </c>
      <c r="M438" s="96" t="s">
        <v>559</v>
      </c>
      <c r="N438" s="96" t="s">
        <v>592</v>
      </c>
      <c r="O438" s="96" t="s">
        <v>60</v>
      </c>
      <c r="P438" s="6">
        <v>510</v>
      </c>
      <c r="Q438" s="216">
        <f>2862.2+257.9</f>
        <v>3120.1</v>
      </c>
      <c r="R438" s="216"/>
      <c r="S438" s="216"/>
    </row>
    <row r="439" spans="1:19" s="319" customFormat="1" ht="28.5" customHeight="1">
      <c r="A439" s="158"/>
      <c r="B439" s="159"/>
      <c r="C439" s="160"/>
      <c r="D439" s="168"/>
      <c r="E439" s="169"/>
      <c r="F439" s="169"/>
      <c r="G439" s="163">
        <v>521</v>
      </c>
      <c r="H439" s="33" t="s">
        <v>375</v>
      </c>
      <c r="I439" s="14">
        <v>663</v>
      </c>
      <c r="J439" s="15" t="s">
        <v>534</v>
      </c>
      <c r="K439" s="15" t="s">
        <v>534</v>
      </c>
      <c r="L439" s="133" t="s">
        <v>534</v>
      </c>
      <c r="M439" s="134" t="s">
        <v>534</v>
      </c>
      <c r="N439" s="134"/>
      <c r="O439" s="134" t="s">
        <v>534</v>
      </c>
      <c r="P439" s="171"/>
      <c r="Q439" s="220">
        <f>Q440+Q603</f>
        <v>280852.5</v>
      </c>
      <c r="R439" s="220" t="e">
        <f>R440+R603</f>
        <v>#REF!</v>
      </c>
      <c r="S439" s="220" t="e">
        <f>S440+S603</f>
        <v>#REF!</v>
      </c>
    </row>
    <row r="440" spans="1:19" s="179" customFormat="1" ht="18" customHeight="1">
      <c r="A440" s="142"/>
      <c r="B440" s="143"/>
      <c r="C440" s="142"/>
      <c r="D440" s="380">
        <v>5550000</v>
      </c>
      <c r="E440" s="381"/>
      <c r="F440" s="381"/>
      <c r="G440" s="136">
        <v>314</v>
      </c>
      <c r="H440" s="137" t="s">
        <v>545</v>
      </c>
      <c r="I440" s="138">
        <v>663</v>
      </c>
      <c r="J440" s="139">
        <v>7</v>
      </c>
      <c r="K440" s="139" t="s">
        <v>621</v>
      </c>
      <c r="L440" s="140" t="s">
        <v>534</v>
      </c>
      <c r="M440" s="141" t="s">
        <v>534</v>
      </c>
      <c r="N440" s="141"/>
      <c r="O440" s="141" t="s">
        <v>534</v>
      </c>
      <c r="P440" s="138"/>
      <c r="Q440" s="213">
        <f>Q441+Q468+Q524+Q536</f>
        <v>277397.4</v>
      </c>
      <c r="R440" s="213" t="e">
        <f>R441+R468+R524+R536</f>
        <v>#REF!</v>
      </c>
      <c r="S440" s="213" t="e">
        <f>S441+S468+S524+S536</f>
        <v>#REF!</v>
      </c>
    </row>
    <row r="441" spans="1:19" s="179" customFormat="1" ht="18.75" customHeight="1">
      <c r="A441" s="142"/>
      <c r="B441" s="143"/>
      <c r="C441" s="153"/>
      <c r="D441" s="150"/>
      <c r="E441" s="379">
        <v>5551700</v>
      </c>
      <c r="F441" s="379"/>
      <c r="G441" s="136">
        <v>314</v>
      </c>
      <c r="H441" s="137" t="s">
        <v>376</v>
      </c>
      <c r="I441" s="138">
        <v>663</v>
      </c>
      <c r="J441" s="139">
        <v>7</v>
      </c>
      <c r="K441" s="139">
        <v>1</v>
      </c>
      <c r="L441" s="140" t="s">
        <v>534</v>
      </c>
      <c r="M441" s="141" t="s">
        <v>534</v>
      </c>
      <c r="N441" s="141"/>
      <c r="O441" s="141" t="s">
        <v>534</v>
      </c>
      <c r="P441" s="138"/>
      <c r="Q441" s="213">
        <f>Q442+Q453+Q463</f>
        <v>75498.59999999999</v>
      </c>
      <c r="R441" s="213">
        <f>R442+R453+R463</f>
        <v>78520.2</v>
      </c>
      <c r="S441" s="213">
        <f>S442+S453+S463</f>
        <v>81322.4</v>
      </c>
    </row>
    <row r="442" spans="1:19" ht="41.25" customHeight="1">
      <c r="A442" s="99"/>
      <c r="B442" s="98"/>
      <c r="C442" s="103"/>
      <c r="D442" s="101"/>
      <c r="E442" s="104"/>
      <c r="F442" s="104"/>
      <c r="G442" s="89"/>
      <c r="H442" s="253" t="s">
        <v>271</v>
      </c>
      <c r="I442" s="10">
        <v>663</v>
      </c>
      <c r="J442" s="16">
        <v>7</v>
      </c>
      <c r="K442" s="16">
        <v>1</v>
      </c>
      <c r="L442" s="95" t="s">
        <v>595</v>
      </c>
      <c r="M442" s="96" t="s">
        <v>563</v>
      </c>
      <c r="N442" s="96" t="s">
        <v>583</v>
      </c>
      <c r="O442" s="96" t="s">
        <v>620</v>
      </c>
      <c r="P442" s="10"/>
      <c r="Q442" s="214">
        <f>Q443+Q450</f>
        <v>75349.59999999999</v>
      </c>
      <c r="R442" s="214"/>
      <c r="S442" s="214"/>
    </row>
    <row r="443" spans="1:19" ht="27" customHeight="1">
      <c r="A443" s="99"/>
      <c r="B443" s="98"/>
      <c r="C443" s="103"/>
      <c r="D443" s="101"/>
      <c r="E443" s="104"/>
      <c r="F443" s="104"/>
      <c r="G443" s="89"/>
      <c r="H443" s="254" t="s">
        <v>656</v>
      </c>
      <c r="I443" s="10">
        <v>663</v>
      </c>
      <c r="J443" s="16">
        <v>7</v>
      </c>
      <c r="K443" s="16">
        <v>1</v>
      </c>
      <c r="L443" s="95" t="s">
        <v>595</v>
      </c>
      <c r="M443" s="96" t="s">
        <v>563</v>
      </c>
      <c r="N443" s="96" t="s">
        <v>564</v>
      </c>
      <c r="O443" s="96" t="s">
        <v>620</v>
      </c>
      <c r="P443" s="10"/>
      <c r="Q443" s="214">
        <f>Q444+Q448+Q446</f>
        <v>74894.59999999999</v>
      </c>
      <c r="R443" s="214"/>
      <c r="S443" s="214"/>
    </row>
    <row r="444" spans="1:19" ht="24.75" customHeight="1">
      <c r="A444" s="99"/>
      <c r="B444" s="98"/>
      <c r="C444" s="103"/>
      <c r="D444" s="101"/>
      <c r="E444" s="104"/>
      <c r="F444" s="104"/>
      <c r="G444" s="89"/>
      <c r="H444" s="3" t="s">
        <v>331</v>
      </c>
      <c r="I444" s="10">
        <v>663</v>
      </c>
      <c r="J444" s="16">
        <v>7</v>
      </c>
      <c r="K444" s="16">
        <v>1</v>
      </c>
      <c r="L444" s="95" t="s">
        <v>595</v>
      </c>
      <c r="M444" s="96" t="s">
        <v>563</v>
      </c>
      <c r="N444" s="96" t="s">
        <v>564</v>
      </c>
      <c r="O444" s="96" t="s">
        <v>321</v>
      </c>
      <c r="P444" s="10"/>
      <c r="Q444" s="214">
        <f>Q445</f>
        <v>13014.2</v>
      </c>
      <c r="R444" s="214"/>
      <c r="S444" s="214"/>
    </row>
    <row r="445" spans="1:19" ht="25.5" customHeight="1">
      <c r="A445" s="99"/>
      <c r="B445" s="98"/>
      <c r="C445" s="103"/>
      <c r="D445" s="101"/>
      <c r="E445" s="104"/>
      <c r="F445" s="104"/>
      <c r="G445" s="89"/>
      <c r="H445" s="3" t="s">
        <v>722</v>
      </c>
      <c r="I445" s="10">
        <v>663</v>
      </c>
      <c r="J445" s="16">
        <v>7</v>
      </c>
      <c r="K445" s="16">
        <v>1</v>
      </c>
      <c r="L445" s="95" t="s">
        <v>595</v>
      </c>
      <c r="M445" s="96" t="s">
        <v>563</v>
      </c>
      <c r="N445" s="96" t="s">
        <v>564</v>
      </c>
      <c r="O445" s="96" t="s">
        <v>321</v>
      </c>
      <c r="P445" s="10">
        <v>610</v>
      </c>
      <c r="Q445" s="214">
        <v>13014.2</v>
      </c>
      <c r="R445" s="214"/>
      <c r="S445" s="214"/>
    </row>
    <row r="446" spans="1:19" ht="36.75" customHeight="1">
      <c r="A446" s="99"/>
      <c r="B446" s="98"/>
      <c r="C446" s="103"/>
      <c r="D446" s="101"/>
      <c r="E446" s="104"/>
      <c r="F446" s="104"/>
      <c r="G446" s="89"/>
      <c r="H446" s="306" t="s">
        <v>61</v>
      </c>
      <c r="I446" s="10">
        <v>663</v>
      </c>
      <c r="J446" s="16">
        <v>7</v>
      </c>
      <c r="K446" s="16">
        <v>1</v>
      </c>
      <c r="L446" s="95" t="s">
        <v>595</v>
      </c>
      <c r="M446" s="96" t="s">
        <v>563</v>
      </c>
      <c r="N446" s="96" t="s">
        <v>564</v>
      </c>
      <c r="O446" s="96" t="s">
        <v>60</v>
      </c>
      <c r="P446" s="10"/>
      <c r="Q446" s="214">
        <f>Q447</f>
        <v>4477.9</v>
      </c>
      <c r="R446" s="214"/>
      <c r="S446" s="214"/>
    </row>
    <row r="447" spans="1:19" ht="25.5" customHeight="1">
      <c r="A447" s="99"/>
      <c r="B447" s="98"/>
      <c r="C447" s="103"/>
      <c r="D447" s="101"/>
      <c r="E447" s="104"/>
      <c r="F447" s="104"/>
      <c r="G447" s="89"/>
      <c r="H447" s="3" t="s">
        <v>722</v>
      </c>
      <c r="I447" s="10">
        <v>663</v>
      </c>
      <c r="J447" s="16">
        <v>7</v>
      </c>
      <c r="K447" s="16">
        <v>1</v>
      </c>
      <c r="L447" s="95" t="s">
        <v>595</v>
      </c>
      <c r="M447" s="96" t="s">
        <v>563</v>
      </c>
      <c r="N447" s="96" t="s">
        <v>564</v>
      </c>
      <c r="O447" s="96" t="s">
        <v>60</v>
      </c>
      <c r="P447" s="10">
        <v>610</v>
      </c>
      <c r="Q447" s="214">
        <f>3304+1173.9</f>
        <v>4477.9</v>
      </c>
      <c r="R447" s="214"/>
      <c r="S447" s="214"/>
    </row>
    <row r="448" spans="1:19" ht="39" customHeight="1">
      <c r="A448" s="99"/>
      <c r="B448" s="98"/>
      <c r="C448" s="103"/>
      <c r="D448" s="101"/>
      <c r="E448" s="104"/>
      <c r="F448" s="104"/>
      <c r="G448" s="89"/>
      <c r="H448" s="255" t="s">
        <v>333</v>
      </c>
      <c r="I448" s="10">
        <v>663</v>
      </c>
      <c r="J448" s="16">
        <v>7</v>
      </c>
      <c r="K448" s="16">
        <v>1</v>
      </c>
      <c r="L448" s="95" t="s">
        <v>595</v>
      </c>
      <c r="M448" s="96" t="s">
        <v>563</v>
      </c>
      <c r="N448" s="96" t="s">
        <v>564</v>
      </c>
      <c r="O448" s="96" t="s">
        <v>332</v>
      </c>
      <c r="P448" s="10"/>
      <c r="Q448" s="214">
        <f>Q449</f>
        <v>57402.5</v>
      </c>
      <c r="R448" s="214"/>
      <c r="S448" s="214"/>
    </row>
    <row r="449" spans="1:19" ht="23.25" customHeight="1">
      <c r="A449" s="99"/>
      <c r="B449" s="98"/>
      <c r="C449" s="103"/>
      <c r="D449" s="101"/>
      <c r="E449" s="104"/>
      <c r="F449" s="104"/>
      <c r="G449" s="89"/>
      <c r="H449" s="255" t="s">
        <v>722</v>
      </c>
      <c r="I449" s="10">
        <v>663</v>
      </c>
      <c r="J449" s="16">
        <v>7</v>
      </c>
      <c r="K449" s="16">
        <v>1</v>
      </c>
      <c r="L449" s="95" t="s">
        <v>595</v>
      </c>
      <c r="M449" s="96" t="s">
        <v>563</v>
      </c>
      <c r="N449" s="96" t="s">
        <v>564</v>
      </c>
      <c r="O449" s="96" t="s">
        <v>332</v>
      </c>
      <c r="P449" s="10">
        <v>610</v>
      </c>
      <c r="Q449" s="214">
        <v>57402.5</v>
      </c>
      <c r="R449" s="214"/>
      <c r="S449" s="214"/>
    </row>
    <row r="450" spans="1:19" ht="23.25" customHeight="1">
      <c r="A450" s="99"/>
      <c r="B450" s="98"/>
      <c r="C450" s="103"/>
      <c r="D450" s="101"/>
      <c r="E450" s="104"/>
      <c r="F450" s="104"/>
      <c r="G450" s="89"/>
      <c r="H450" s="3" t="s">
        <v>793</v>
      </c>
      <c r="I450" s="10">
        <v>663</v>
      </c>
      <c r="J450" s="16">
        <v>7</v>
      </c>
      <c r="K450" s="16">
        <v>1</v>
      </c>
      <c r="L450" s="95" t="s">
        <v>595</v>
      </c>
      <c r="M450" s="96" t="s">
        <v>563</v>
      </c>
      <c r="N450" s="96" t="s">
        <v>566</v>
      </c>
      <c r="O450" s="96" t="s">
        <v>620</v>
      </c>
      <c r="P450" s="10"/>
      <c r="Q450" s="214">
        <f>Q451</f>
        <v>455</v>
      </c>
      <c r="R450" s="214"/>
      <c r="S450" s="214"/>
    </row>
    <row r="451" spans="1:19" ht="30.75" customHeight="1">
      <c r="A451" s="99"/>
      <c r="B451" s="98"/>
      <c r="C451" s="103"/>
      <c r="D451" s="101"/>
      <c r="E451" s="104"/>
      <c r="F451" s="104"/>
      <c r="G451" s="89"/>
      <c r="H451" s="3" t="s">
        <v>331</v>
      </c>
      <c r="I451" s="10">
        <v>663</v>
      </c>
      <c r="J451" s="16">
        <v>7</v>
      </c>
      <c r="K451" s="16">
        <v>1</v>
      </c>
      <c r="L451" s="95" t="s">
        <v>595</v>
      </c>
      <c r="M451" s="96" t="s">
        <v>563</v>
      </c>
      <c r="N451" s="96" t="s">
        <v>566</v>
      </c>
      <c r="O451" s="96" t="s">
        <v>321</v>
      </c>
      <c r="P451" s="10"/>
      <c r="Q451" s="214">
        <f>Q452</f>
        <v>455</v>
      </c>
      <c r="R451" s="214"/>
      <c r="S451" s="214"/>
    </row>
    <row r="452" spans="1:19" ht="27.75" customHeight="1">
      <c r="A452" s="99"/>
      <c r="B452" s="98"/>
      <c r="C452" s="103"/>
      <c r="D452" s="101"/>
      <c r="E452" s="104"/>
      <c r="F452" s="104"/>
      <c r="G452" s="89"/>
      <c r="H452" s="3" t="s">
        <v>722</v>
      </c>
      <c r="I452" s="10">
        <v>663</v>
      </c>
      <c r="J452" s="16">
        <v>7</v>
      </c>
      <c r="K452" s="16">
        <v>1</v>
      </c>
      <c r="L452" s="95" t="s">
        <v>595</v>
      </c>
      <c r="M452" s="96" t="s">
        <v>563</v>
      </c>
      <c r="N452" s="96" t="s">
        <v>566</v>
      </c>
      <c r="O452" s="96" t="s">
        <v>321</v>
      </c>
      <c r="P452" s="10">
        <v>610</v>
      </c>
      <c r="Q452" s="214">
        <f>355+100</f>
        <v>455</v>
      </c>
      <c r="R452" s="214"/>
      <c r="S452" s="214"/>
    </row>
    <row r="453" spans="1:19" ht="33" customHeight="1">
      <c r="A453" s="99"/>
      <c r="B453" s="98"/>
      <c r="C453" s="103"/>
      <c r="D453" s="101"/>
      <c r="E453" s="104"/>
      <c r="F453" s="104"/>
      <c r="G453" s="89"/>
      <c r="H453" s="5" t="s">
        <v>687</v>
      </c>
      <c r="I453" s="10">
        <v>663</v>
      </c>
      <c r="J453" s="16">
        <v>7</v>
      </c>
      <c r="K453" s="16">
        <v>1</v>
      </c>
      <c r="L453" s="95" t="s">
        <v>688</v>
      </c>
      <c r="M453" s="96" t="s">
        <v>563</v>
      </c>
      <c r="N453" s="96" t="s">
        <v>583</v>
      </c>
      <c r="O453" s="96" t="s">
        <v>620</v>
      </c>
      <c r="P453" s="10"/>
      <c r="Q453" s="214">
        <f>Q454+Q457+Q460</f>
        <v>149</v>
      </c>
      <c r="R453" s="214">
        <f>R454+R457+R460</f>
        <v>149</v>
      </c>
      <c r="S453" s="214">
        <f>S454+S457+S460</f>
        <v>149</v>
      </c>
    </row>
    <row r="454" spans="1:19" ht="33" customHeight="1">
      <c r="A454" s="99"/>
      <c r="B454" s="98"/>
      <c r="C454" s="103"/>
      <c r="D454" s="101"/>
      <c r="E454" s="104"/>
      <c r="F454" s="104"/>
      <c r="G454" s="89"/>
      <c r="H454" s="5" t="s">
        <v>324</v>
      </c>
      <c r="I454" s="10">
        <v>663</v>
      </c>
      <c r="J454" s="16">
        <v>7</v>
      </c>
      <c r="K454" s="16">
        <v>1</v>
      </c>
      <c r="L454" s="95" t="s">
        <v>688</v>
      </c>
      <c r="M454" s="96" t="s">
        <v>563</v>
      </c>
      <c r="N454" s="96" t="s">
        <v>592</v>
      </c>
      <c r="O454" s="96" t="s">
        <v>620</v>
      </c>
      <c r="P454" s="10"/>
      <c r="Q454" s="214">
        <f aca="true" t="shared" si="38" ref="Q454:S455">Q455</f>
        <v>131</v>
      </c>
      <c r="R454" s="214">
        <f t="shared" si="38"/>
        <v>131</v>
      </c>
      <c r="S454" s="214">
        <f t="shared" si="38"/>
        <v>131</v>
      </c>
    </row>
    <row r="455" spans="1:19" ht="24" customHeight="1">
      <c r="A455" s="99"/>
      <c r="B455" s="98"/>
      <c r="C455" s="103"/>
      <c r="D455" s="101"/>
      <c r="E455" s="104"/>
      <c r="F455" s="104"/>
      <c r="G455" s="89"/>
      <c r="H455" s="5" t="s">
        <v>331</v>
      </c>
      <c r="I455" s="10">
        <v>663</v>
      </c>
      <c r="J455" s="16">
        <v>7</v>
      </c>
      <c r="K455" s="16">
        <v>1</v>
      </c>
      <c r="L455" s="95" t="s">
        <v>688</v>
      </c>
      <c r="M455" s="96" t="s">
        <v>563</v>
      </c>
      <c r="N455" s="96" t="s">
        <v>592</v>
      </c>
      <c r="O455" s="96" t="s">
        <v>321</v>
      </c>
      <c r="P455" s="10"/>
      <c r="Q455" s="214">
        <f t="shared" si="38"/>
        <v>131</v>
      </c>
      <c r="R455" s="214">
        <f t="shared" si="38"/>
        <v>131</v>
      </c>
      <c r="S455" s="214">
        <f t="shared" si="38"/>
        <v>131</v>
      </c>
    </row>
    <row r="456" spans="1:19" ht="24" customHeight="1">
      <c r="A456" s="99"/>
      <c r="B456" s="98"/>
      <c r="C456" s="103"/>
      <c r="D456" s="101"/>
      <c r="E456" s="104"/>
      <c r="F456" s="104"/>
      <c r="G456" s="89"/>
      <c r="H456" s="5" t="s">
        <v>722</v>
      </c>
      <c r="I456" s="10">
        <v>663</v>
      </c>
      <c r="J456" s="16">
        <v>7</v>
      </c>
      <c r="K456" s="16">
        <v>1</v>
      </c>
      <c r="L456" s="95" t="s">
        <v>688</v>
      </c>
      <c r="M456" s="96" t="s">
        <v>563</v>
      </c>
      <c r="N456" s="96" t="s">
        <v>592</v>
      </c>
      <c r="O456" s="96" t="s">
        <v>321</v>
      </c>
      <c r="P456" s="10">
        <v>610</v>
      </c>
      <c r="Q456" s="214">
        <v>131</v>
      </c>
      <c r="R456" s="214">
        <v>131</v>
      </c>
      <c r="S456" s="214">
        <v>131</v>
      </c>
    </row>
    <row r="457" spans="1:19" ht="26.25" customHeight="1">
      <c r="A457" s="99"/>
      <c r="B457" s="98"/>
      <c r="C457" s="103"/>
      <c r="D457" s="101"/>
      <c r="E457" s="104"/>
      <c r="F457" s="104"/>
      <c r="G457" s="89"/>
      <c r="H457" s="200" t="s">
        <v>320</v>
      </c>
      <c r="I457" s="10">
        <v>663</v>
      </c>
      <c r="J457" s="16">
        <v>7</v>
      </c>
      <c r="K457" s="16">
        <v>1</v>
      </c>
      <c r="L457" s="95" t="s">
        <v>688</v>
      </c>
      <c r="M457" s="96" t="s">
        <v>563</v>
      </c>
      <c r="N457" s="96" t="s">
        <v>593</v>
      </c>
      <c r="O457" s="96" t="s">
        <v>620</v>
      </c>
      <c r="P457" s="10"/>
      <c r="Q457" s="214">
        <f aca="true" t="shared" si="39" ref="Q457:S458">Q458</f>
        <v>9</v>
      </c>
      <c r="R457" s="214">
        <f t="shared" si="39"/>
        <v>9</v>
      </c>
      <c r="S457" s="214">
        <f t="shared" si="39"/>
        <v>9</v>
      </c>
    </row>
    <row r="458" spans="1:19" ht="22.5" customHeight="1">
      <c r="A458" s="99"/>
      <c r="B458" s="98"/>
      <c r="C458" s="103"/>
      <c r="D458" s="101"/>
      <c r="E458" s="104"/>
      <c r="F458" s="104"/>
      <c r="G458" s="89"/>
      <c r="H458" s="18" t="s">
        <v>322</v>
      </c>
      <c r="I458" s="10">
        <v>663</v>
      </c>
      <c r="J458" s="16">
        <v>7</v>
      </c>
      <c r="K458" s="16">
        <v>1</v>
      </c>
      <c r="L458" s="95" t="s">
        <v>688</v>
      </c>
      <c r="M458" s="96" t="s">
        <v>563</v>
      </c>
      <c r="N458" s="96" t="s">
        <v>593</v>
      </c>
      <c r="O458" s="96" t="s">
        <v>321</v>
      </c>
      <c r="P458" s="10"/>
      <c r="Q458" s="214">
        <f t="shared" si="39"/>
        <v>9</v>
      </c>
      <c r="R458" s="214">
        <f t="shared" si="39"/>
        <v>9</v>
      </c>
      <c r="S458" s="214">
        <f t="shared" si="39"/>
        <v>9</v>
      </c>
    </row>
    <row r="459" spans="1:19" ht="22.5" customHeight="1">
      <c r="A459" s="99"/>
      <c r="B459" s="98"/>
      <c r="C459" s="103"/>
      <c r="D459" s="101"/>
      <c r="E459" s="104"/>
      <c r="F459" s="104"/>
      <c r="G459" s="89"/>
      <c r="H459" s="18" t="s">
        <v>722</v>
      </c>
      <c r="I459" s="10">
        <v>663</v>
      </c>
      <c r="J459" s="16">
        <v>7</v>
      </c>
      <c r="K459" s="16">
        <v>1</v>
      </c>
      <c r="L459" s="95" t="s">
        <v>688</v>
      </c>
      <c r="M459" s="96" t="s">
        <v>563</v>
      </c>
      <c r="N459" s="96" t="s">
        <v>593</v>
      </c>
      <c r="O459" s="96" t="s">
        <v>321</v>
      </c>
      <c r="P459" s="10">
        <v>610</v>
      </c>
      <c r="Q459" s="214">
        <v>9</v>
      </c>
      <c r="R459" s="214">
        <v>9</v>
      </c>
      <c r="S459" s="214">
        <v>9</v>
      </c>
    </row>
    <row r="460" spans="1:19" ht="44.25" customHeight="1">
      <c r="A460" s="99"/>
      <c r="B460" s="98"/>
      <c r="C460" s="103"/>
      <c r="D460" s="101"/>
      <c r="E460" s="104"/>
      <c r="F460" s="104"/>
      <c r="G460" s="89"/>
      <c r="H460" s="18" t="s">
        <v>686</v>
      </c>
      <c r="I460" s="10">
        <v>663</v>
      </c>
      <c r="J460" s="16">
        <v>7</v>
      </c>
      <c r="K460" s="16">
        <v>1</v>
      </c>
      <c r="L460" s="95" t="s">
        <v>688</v>
      </c>
      <c r="M460" s="96" t="s">
        <v>563</v>
      </c>
      <c r="N460" s="96" t="s">
        <v>588</v>
      </c>
      <c r="O460" s="96" t="s">
        <v>620</v>
      </c>
      <c r="P460" s="10"/>
      <c r="Q460" s="214">
        <f aca="true" t="shared" si="40" ref="Q460:S461">Q461</f>
        <v>9</v>
      </c>
      <c r="R460" s="214">
        <f t="shared" si="40"/>
        <v>9</v>
      </c>
      <c r="S460" s="214">
        <f t="shared" si="40"/>
        <v>9</v>
      </c>
    </row>
    <row r="461" spans="1:19" ht="29.25" customHeight="1">
      <c r="A461" s="99"/>
      <c r="B461" s="98"/>
      <c r="C461" s="103"/>
      <c r="D461" s="101"/>
      <c r="E461" s="104"/>
      <c r="F461" s="104"/>
      <c r="G461" s="89"/>
      <c r="H461" s="18" t="s">
        <v>331</v>
      </c>
      <c r="I461" s="10">
        <v>663</v>
      </c>
      <c r="J461" s="16">
        <v>7</v>
      </c>
      <c r="K461" s="16">
        <v>1</v>
      </c>
      <c r="L461" s="95" t="s">
        <v>688</v>
      </c>
      <c r="M461" s="96" t="s">
        <v>563</v>
      </c>
      <c r="N461" s="96" t="s">
        <v>588</v>
      </c>
      <c r="O461" s="96" t="s">
        <v>321</v>
      </c>
      <c r="P461" s="10"/>
      <c r="Q461" s="214">
        <f t="shared" si="40"/>
        <v>9</v>
      </c>
      <c r="R461" s="214">
        <f t="shared" si="40"/>
        <v>9</v>
      </c>
      <c r="S461" s="214">
        <f t="shared" si="40"/>
        <v>9</v>
      </c>
    </row>
    <row r="462" spans="1:19" ht="32.25" customHeight="1">
      <c r="A462" s="99"/>
      <c r="B462" s="98"/>
      <c r="C462" s="103"/>
      <c r="D462" s="101"/>
      <c r="E462" s="104"/>
      <c r="F462" s="104"/>
      <c r="G462" s="89"/>
      <c r="H462" s="18" t="s">
        <v>722</v>
      </c>
      <c r="I462" s="10">
        <v>663</v>
      </c>
      <c r="J462" s="16">
        <v>7</v>
      </c>
      <c r="K462" s="16">
        <v>1</v>
      </c>
      <c r="L462" s="95" t="s">
        <v>688</v>
      </c>
      <c r="M462" s="96" t="s">
        <v>563</v>
      </c>
      <c r="N462" s="96" t="s">
        <v>588</v>
      </c>
      <c r="O462" s="96" t="s">
        <v>321</v>
      </c>
      <c r="P462" s="10">
        <v>610</v>
      </c>
      <c r="Q462" s="214">
        <v>9</v>
      </c>
      <c r="R462" s="214">
        <v>9</v>
      </c>
      <c r="S462" s="214">
        <v>9</v>
      </c>
    </row>
    <row r="463" spans="1:19" ht="30" customHeight="1" hidden="1">
      <c r="A463" s="99"/>
      <c r="B463" s="98"/>
      <c r="C463" s="103"/>
      <c r="D463" s="101"/>
      <c r="E463" s="104"/>
      <c r="F463" s="104"/>
      <c r="G463" s="89"/>
      <c r="H463" s="3" t="s">
        <v>299</v>
      </c>
      <c r="I463" s="10">
        <v>663</v>
      </c>
      <c r="J463" s="16">
        <v>7</v>
      </c>
      <c r="K463" s="16">
        <v>1</v>
      </c>
      <c r="L463" s="95" t="s">
        <v>580</v>
      </c>
      <c r="M463" s="96" t="s">
        <v>563</v>
      </c>
      <c r="N463" s="96" t="s">
        <v>583</v>
      </c>
      <c r="O463" s="96" t="s">
        <v>620</v>
      </c>
      <c r="P463" s="10"/>
      <c r="Q463" s="241">
        <f>Q464+Q466</f>
        <v>0</v>
      </c>
      <c r="R463" s="241">
        <f>R464+R466</f>
        <v>78371.2</v>
      </c>
      <c r="S463" s="241">
        <f>S464+S466</f>
        <v>81173.4</v>
      </c>
    </row>
    <row r="464" spans="1:19" ht="30" customHeight="1" hidden="1">
      <c r="A464" s="99"/>
      <c r="B464" s="98"/>
      <c r="C464" s="103"/>
      <c r="D464" s="101"/>
      <c r="E464" s="104"/>
      <c r="F464" s="104"/>
      <c r="G464" s="89"/>
      <c r="H464" s="3" t="s">
        <v>331</v>
      </c>
      <c r="I464" s="10">
        <v>663</v>
      </c>
      <c r="J464" s="16">
        <v>7</v>
      </c>
      <c r="K464" s="16">
        <v>1</v>
      </c>
      <c r="L464" s="95" t="s">
        <v>580</v>
      </c>
      <c r="M464" s="96" t="s">
        <v>563</v>
      </c>
      <c r="N464" s="96" t="s">
        <v>583</v>
      </c>
      <c r="O464" s="96" t="s">
        <v>321</v>
      </c>
      <c r="P464" s="10"/>
      <c r="Q464" s="241">
        <f>Q465</f>
        <v>0</v>
      </c>
      <c r="R464" s="241">
        <f>R465</f>
        <v>18343.5</v>
      </c>
      <c r="S464" s="241">
        <f>S465</f>
        <v>18343.5</v>
      </c>
    </row>
    <row r="465" spans="1:19" ht="30" customHeight="1" hidden="1">
      <c r="A465" s="99"/>
      <c r="B465" s="98"/>
      <c r="C465" s="103"/>
      <c r="D465" s="101"/>
      <c r="E465" s="104"/>
      <c r="F465" s="104"/>
      <c r="G465" s="89"/>
      <c r="H465" s="3" t="s">
        <v>722</v>
      </c>
      <c r="I465" s="10">
        <v>663</v>
      </c>
      <c r="J465" s="16">
        <v>7</v>
      </c>
      <c r="K465" s="16">
        <v>1</v>
      </c>
      <c r="L465" s="95" t="s">
        <v>580</v>
      </c>
      <c r="M465" s="96" t="s">
        <v>563</v>
      </c>
      <c r="N465" s="96" t="s">
        <v>583</v>
      </c>
      <c r="O465" s="96" t="s">
        <v>321</v>
      </c>
      <c r="P465" s="10">
        <v>610</v>
      </c>
      <c r="Q465" s="241">
        <v>0</v>
      </c>
      <c r="R465" s="214">
        <v>18343.5</v>
      </c>
      <c r="S465" s="214">
        <v>18343.5</v>
      </c>
    </row>
    <row r="466" spans="1:19" ht="36.75" customHeight="1" hidden="1">
      <c r="A466" s="99"/>
      <c r="B466" s="98"/>
      <c r="C466" s="103"/>
      <c r="D466" s="101"/>
      <c r="E466" s="104"/>
      <c r="F466" s="104"/>
      <c r="G466" s="89"/>
      <c r="H466" s="3" t="s">
        <v>333</v>
      </c>
      <c r="I466" s="10">
        <v>663</v>
      </c>
      <c r="J466" s="16">
        <v>7</v>
      </c>
      <c r="K466" s="16">
        <v>1</v>
      </c>
      <c r="L466" s="95" t="s">
        <v>580</v>
      </c>
      <c r="M466" s="96" t="s">
        <v>563</v>
      </c>
      <c r="N466" s="96" t="s">
        <v>583</v>
      </c>
      <c r="O466" s="96" t="s">
        <v>332</v>
      </c>
      <c r="P466" s="10"/>
      <c r="Q466" s="241">
        <f>Q467</f>
        <v>0</v>
      </c>
      <c r="R466" s="241">
        <f>R467</f>
        <v>60027.7</v>
      </c>
      <c r="S466" s="241">
        <f>S467</f>
        <v>62829.9</v>
      </c>
    </row>
    <row r="467" spans="1:19" ht="30" customHeight="1" hidden="1">
      <c r="A467" s="99"/>
      <c r="B467" s="98"/>
      <c r="C467" s="103"/>
      <c r="D467" s="101"/>
      <c r="E467" s="104"/>
      <c r="F467" s="104"/>
      <c r="G467" s="89"/>
      <c r="H467" s="3" t="s">
        <v>722</v>
      </c>
      <c r="I467" s="10">
        <v>663</v>
      </c>
      <c r="J467" s="16">
        <v>7</v>
      </c>
      <c r="K467" s="16">
        <v>1</v>
      </c>
      <c r="L467" s="95" t="s">
        <v>580</v>
      </c>
      <c r="M467" s="96" t="s">
        <v>563</v>
      </c>
      <c r="N467" s="96" t="s">
        <v>583</v>
      </c>
      <c r="O467" s="96" t="s">
        <v>332</v>
      </c>
      <c r="P467" s="10">
        <v>610</v>
      </c>
      <c r="Q467" s="241">
        <v>0</v>
      </c>
      <c r="R467" s="214">
        <v>60027.7</v>
      </c>
      <c r="S467" s="214">
        <v>62829.9</v>
      </c>
    </row>
    <row r="468" spans="1:19" s="179" customFormat="1" ht="27" customHeight="1">
      <c r="A468" s="142"/>
      <c r="B468" s="143"/>
      <c r="C468" s="153"/>
      <c r="D468" s="150"/>
      <c r="E468" s="145"/>
      <c r="F468" s="145"/>
      <c r="G468" s="136"/>
      <c r="H468" s="149" t="s">
        <v>544</v>
      </c>
      <c r="I468" s="138">
        <v>663</v>
      </c>
      <c r="J468" s="139">
        <v>7</v>
      </c>
      <c r="K468" s="139">
        <v>2</v>
      </c>
      <c r="L468" s="139"/>
      <c r="M468" s="141" t="s">
        <v>621</v>
      </c>
      <c r="N468" s="141"/>
      <c r="O468" s="141"/>
      <c r="P468" s="138"/>
      <c r="Q468" s="256">
        <f>Q469+Q505+Q518+Q498+Q495</f>
        <v>180021.69999999998</v>
      </c>
      <c r="R468" s="256">
        <f>R469+R505+R518</f>
        <v>148990.7</v>
      </c>
      <c r="S468" s="256">
        <f>S469+S505+S518</f>
        <v>155260.7</v>
      </c>
    </row>
    <row r="469" spans="1:19" ht="30" customHeight="1">
      <c r="A469" s="99"/>
      <c r="B469" s="98"/>
      <c r="C469" s="103"/>
      <c r="D469" s="101"/>
      <c r="E469" s="104"/>
      <c r="F469" s="104"/>
      <c r="G469" s="89"/>
      <c r="H469" s="253" t="s">
        <v>271</v>
      </c>
      <c r="I469" s="10">
        <v>663</v>
      </c>
      <c r="J469" s="16">
        <v>7</v>
      </c>
      <c r="K469" s="16">
        <v>2</v>
      </c>
      <c r="L469" s="95" t="s">
        <v>595</v>
      </c>
      <c r="M469" s="96" t="s">
        <v>563</v>
      </c>
      <c r="N469" s="96" t="s">
        <v>583</v>
      </c>
      <c r="O469" s="96" t="s">
        <v>620</v>
      </c>
      <c r="P469" s="10"/>
      <c r="Q469" s="214">
        <f>Q470+Q473+Q485+Q488</f>
        <v>177518.3</v>
      </c>
      <c r="R469" s="214"/>
      <c r="S469" s="214"/>
    </row>
    <row r="470" spans="1:19" ht="30" customHeight="1">
      <c r="A470" s="99"/>
      <c r="B470" s="98"/>
      <c r="C470" s="103"/>
      <c r="D470" s="101"/>
      <c r="E470" s="104"/>
      <c r="F470" s="104"/>
      <c r="G470" s="89"/>
      <c r="H470" s="55" t="s">
        <v>656</v>
      </c>
      <c r="I470" s="10">
        <v>663</v>
      </c>
      <c r="J470" s="16">
        <v>7</v>
      </c>
      <c r="K470" s="16">
        <v>2</v>
      </c>
      <c r="L470" s="95" t="s">
        <v>595</v>
      </c>
      <c r="M470" s="96" t="s">
        <v>563</v>
      </c>
      <c r="N470" s="96" t="s">
        <v>564</v>
      </c>
      <c r="O470" s="96" t="s">
        <v>620</v>
      </c>
      <c r="P470" s="10"/>
      <c r="Q470" s="214">
        <f>Q471</f>
        <v>172.5</v>
      </c>
      <c r="R470" s="214"/>
      <c r="S470" s="214"/>
    </row>
    <row r="471" spans="1:19" ht="24.75" customHeight="1">
      <c r="A471" s="99"/>
      <c r="B471" s="98"/>
      <c r="C471" s="103"/>
      <c r="D471" s="101"/>
      <c r="E471" s="104"/>
      <c r="F471" s="104"/>
      <c r="G471" s="89"/>
      <c r="H471" s="254" t="s">
        <v>334</v>
      </c>
      <c r="I471" s="10">
        <v>663</v>
      </c>
      <c r="J471" s="16">
        <v>7</v>
      </c>
      <c r="K471" s="16">
        <v>2</v>
      </c>
      <c r="L471" s="95" t="s">
        <v>595</v>
      </c>
      <c r="M471" s="96" t="s">
        <v>563</v>
      </c>
      <c r="N471" s="96" t="s">
        <v>564</v>
      </c>
      <c r="O471" s="96" t="s">
        <v>323</v>
      </c>
      <c r="P471" s="10"/>
      <c r="Q471" s="214">
        <f>Q472</f>
        <v>172.5</v>
      </c>
      <c r="R471" s="214"/>
      <c r="S471" s="214"/>
    </row>
    <row r="472" spans="1:19" ht="24.75" customHeight="1">
      <c r="A472" s="99"/>
      <c r="B472" s="98"/>
      <c r="C472" s="103"/>
      <c r="D472" s="101"/>
      <c r="E472" s="104"/>
      <c r="F472" s="104"/>
      <c r="G472" s="89"/>
      <c r="H472" s="254" t="s">
        <v>722</v>
      </c>
      <c r="I472" s="10">
        <v>663</v>
      </c>
      <c r="J472" s="16">
        <v>7</v>
      </c>
      <c r="K472" s="16">
        <v>2</v>
      </c>
      <c r="L472" s="95" t="s">
        <v>595</v>
      </c>
      <c r="M472" s="96" t="s">
        <v>563</v>
      </c>
      <c r="N472" s="96" t="s">
        <v>564</v>
      </c>
      <c r="O472" s="96" t="s">
        <v>323</v>
      </c>
      <c r="P472" s="10">
        <v>610</v>
      </c>
      <c r="Q472" s="214">
        <v>172.5</v>
      </c>
      <c r="R472" s="214"/>
      <c r="S472" s="214"/>
    </row>
    <row r="473" spans="1:19" ht="27" customHeight="1">
      <c r="A473" s="99"/>
      <c r="B473" s="98"/>
      <c r="C473" s="103"/>
      <c r="D473" s="101"/>
      <c r="E473" s="104"/>
      <c r="F473" s="104"/>
      <c r="G473" s="89"/>
      <c r="H473" s="18" t="s">
        <v>657</v>
      </c>
      <c r="I473" s="6">
        <v>663</v>
      </c>
      <c r="J473" s="19">
        <v>7</v>
      </c>
      <c r="K473" s="16">
        <v>2</v>
      </c>
      <c r="L473" s="95" t="s">
        <v>595</v>
      </c>
      <c r="M473" s="96" t="s">
        <v>563</v>
      </c>
      <c r="N473" s="96" t="s">
        <v>592</v>
      </c>
      <c r="O473" s="96" t="s">
        <v>620</v>
      </c>
      <c r="P473" s="6"/>
      <c r="Q473" s="216">
        <f>Q474+Q481+Q479+Q477+Q483</f>
        <v>149745.8</v>
      </c>
      <c r="R473" s="216"/>
      <c r="S473" s="216"/>
    </row>
    <row r="474" spans="1:19" ht="27" customHeight="1">
      <c r="A474" s="99"/>
      <c r="B474" s="98"/>
      <c r="C474" s="103"/>
      <c r="D474" s="101"/>
      <c r="E474" s="104"/>
      <c r="F474" s="104"/>
      <c r="G474" s="89"/>
      <c r="H474" s="20" t="s">
        <v>334</v>
      </c>
      <c r="I474" s="6">
        <v>663</v>
      </c>
      <c r="J474" s="19">
        <v>7</v>
      </c>
      <c r="K474" s="16">
        <v>2</v>
      </c>
      <c r="L474" s="95" t="s">
        <v>595</v>
      </c>
      <c r="M474" s="96" t="s">
        <v>563</v>
      </c>
      <c r="N474" s="96" t="s">
        <v>592</v>
      </c>
      <c r="O474" s="96" t="s">
        <v>323</v>
      </c>
      <c r="P474" s="6"/>
      <c r="Q474" s="216">
        <f>SUM(Q475:Q476)</f>
        <v>32096.1</v>
      </c>
      <c r="R474" s="216"/>
      <c r="S474" s="216"/>
    </row>
    <row r="475" spans="1:19" ht="27" customHeight="1" hidden="1">
      <c r="A475" s="99"/>
      <c r="B475" s="98"/>
      <c r="C475" s="103"/>
      <c r="D475" s="101"/>
      <c r="E475" s="104"/>
      <c r="F475" s="104"/>
      <c r="G475" s="89"/>
      <c r="H475" s="5" t="s">
        <v>720</v>
      </c>
      <c r="I475" s="6">
        <v>663</v>
      </c>
      <c r="J475" s="19">
        <v>7</v>
      </c>
      <c r="K475" s="16">
        <v>2</v>
      </c>
      <c r="L475" s="95" t="s">
        <v>595</v>
      </c>
      <c r="M475" s="96" t="s">
        <v>563</v>
      </c>
      <c r="N475" s="96" t="s">
        <v>592</v>
      </c>
      <c r="O475" s="96" t="s">
        <v>323</v>
      </c>
      <c r="P475" s="6">
        <v>240</v>
      </c>
      <c r="Q475" s="216">
        <f>13.5-13.5</f>
        <v>0</v>
      </c>
      <c r="R475" s="216"/>
      <c r="S475" s="216"/>
    </row>
    <row r="476" spans="1:19" ht="27" customHeight="1">
      <c r="A476" s="99"/>
      <c r="B476" s="98"/>
      <c r="C476" s="103"/>
      <c r="D476" s="101"/>
      <c r="E476" s="104"/>
      <c r="F476" s="104"/>
      <c r="G476" s="89"/>
      <c r="H476" s="20" t="s">
        <v>722</v>
      </c>
      <c r="I476" s="6">
        <v>663</v>
      </c>
      <c r="J476" s="19">
        <v>7</v>
      </c>
      <c r="K476" s="16">
        <v>2</v>
      </c>
      <c r="L476" s="95" t="s">
        <v>595</v>
      </c>
      <c r="M476" s="96" t="s">
        <v>563</v>
      </c>
      <c r="N476" s="96" t="s">
        <v>592</v>
      </c>
      <c r="O476" s="96" t="s">
        <v>323</v>
      </c>
      <c r="P476" s="6">
        <v>610</v>
      </c>
      <c r="Q476" s="216">
        <f>32087.6-5.5+14.5-0.5</f>
        <v>32096.1</v>
      </c>
      <c r="R476" s="216"/>
      <c r="S476" s="216"/>
    </row>
    <row r="477" spans="1:19" ht="81" customHeight="1">
      <c r="A477" s="99"/>
      <c r="B477" s="98"/>
      <c r="C477" s="103"/>
      <c r="D477" s="101"/>
      <c r="E477" s="104"/>
      <c r="F477" s="104"/>
      <c r="G477" s="89"/>
      <c r="H477" s="20" t="s">
        <v>226</v>
      </c>
      <c r="I477" s="6">
        <v>663</v>
      </c>
      <c r="J477" s="19">
        <v>7</v>
      </c>
      <c r="K477" s="16">
        <v>2</v>
      </c>
      <c r="L477" s="95" t="s">
        <v>595</v>
      </c>
      <c r="M477" s="96" t="s">
        <v>563</v>
      </c>
      <c r="N477" s="96" t="s">
        <v>592</v>
      </c>
      <c r="O477" s="96" t="s">
        <v>225</v>
      </c>
      <c r="P477" s="6"/>
      <c r="Q477" s="216">
        <f>Q478</f>
        <v>3114.4</v>
      </c>
      <c r="R477" s="216"/>
      <c r="S477" s="216"/>
    </row>
    <row r="478" spans="1:19" ht="27" customHeight="1">
      <c r="A478" s="99"/>
      <c r="B478" s="98"/>
      <c r="C478" s="103"/>
      <c r="D478" s="101"/>
      <c r="E478" s="104"/>
      <c r="F478" s="104"/>
      <c r="G478" s="89"/>
      <c r="H478" s="20" t="s">
        <v>722</v>
      </c>
      <c r="I478" s="6">
        <v>663</v>
      </c>
      <c r="J478" s="19">
        <v>7</v>
      </c>
      <c r="K478" s="16">
        <v>2</v>
      </c>
      <c r="L478" s="95" t="s">
        <v>595</v>
      </c>
      <c r="M478" s="96" t="s">
        <v>563</v>
      </c>
      <c r="N478" s="96" t="s">
        <v>592</v>
      </c>
      <c r="O478" s="96" t="s">
        <v>225</v>
      </c>
      <c r="P478" s="6">
        <v>610</v>
      </c>
      <c r="Q478" s="216">
        <v>3114.4</v>
      </c>
      <c r="R478" s="216"/>
      <c r="S478" s="216"/>
    </row>
    <row r="479" spans="1:19" ht="33" customHeight="1">
      <c r="A479" s="99"/>
      <c r="B479" s="98"/>
      <c r="C479" s="103"/>
      <c r="D479" s="101"/>
      <c r="E479" s="104"/>
      <c r="F479" s="104"/>
      <c r="G479" s="89"/>
      <c r="H479" s="20" t="s">
        <v>61</v>
      </c>
      <c r="I479" s="6">
        <v>663</v>
      </c>
      <c r="J479" s="19">
        <v>7</v>
      </c>
      <c r="K479" s="16">
        <v>2</v>
      </c>
      <c r="L479" s="95" t="s">
        <v>595</v>
      </c>
      <c r="M479" s="96" t="s">
        <v>563</v>
      </c>
      <c r="N479" s="96" t="s">
        <v>592</v>
      </c>
      <c r="O479" s="96" t="s">
        <v>60</v>
      </c>
      <c r="P479" s="6"/>
      <c r="Q479" s="216">
        <f>Q480</f>
        <v>10448.9</v>
      </c>
      <c r="R479" s="216"/>
      <c r="S479" s="216"/>
    </row>
    <row r="480" spans="1:19" ht="27" customHeight="1">
      <c r="A480" s="99"/>
      <c r="B480" s="98"/>
      <c r="C480" s="103"/>
      <c r="D480" s="101"/>
      <c r="E480" s="104"/>
      <c r="F480" s="104"/>
      <c r="G480" s="89"/>
      <c r="H480" s="20" t="s">
        <v>722</v>
      </c>
      <c r="I480" s="6">
        <v>663</v>
      </c>
      <c r="J480" s="19">
        <v>7</v>
      </c>
      <c r="K480" s="16">
        <v>2</v>
      </c>
      <c r="L480" s="95" t="s">
        <v>595</v>
      </c>
      <c r="M480" s="96" t="s">
        <v>563</v>
      </c>
      <c r="N480" s="96" t="s">
        <v>592</v>
      </c>
      <c r="O480" s="96" t="s">
        <v>60</v>
      </c>
      <c r="P480" s="6">
        <v>610</v>
      </c>
      <c r="Q480" s="216">
        <f>7879.7+2569.2</f>
        <v>10448.9</v>
      </c>
      <c r="R480" s="216"/>
      <c r="S480" s="216"/>
    </row>
    <row r="481" spans="1:19" ht="40.5" customHeight="1">
      <c r="A481" s="99"/>
      <c r="B481" s="98"/>
      <c r="C481" s="103"/>
      <c r="D481" s="101"/>
      <c r="E481" s="104"/>
      <c r="F481" s="104"/>
      <c r="G481" s="89"/>
      <c r="H481" s="20" t="s">
        <v>333</v>
      </c>
      <c r="I481" s="6">
        <v>663</v>
      </c>
      <c r="J481" s="19">
        <v>7</v>
      </c>
      <c r="K481" s="16">
        <v>2</v>
      </c>
      <c r="L481" s="95" t="s">
        <v>595</v>
      </c>
      <c r="M481" s="96" t="s">
        <v>563</v>
      </c>
      <c r="N481" s="96" t="s">
        <v>592</v>
      </c>
      <c r="O481" s="96" t="s">
        <v>332</v>
      </c>
      <c r="P481" s="6"/>
      <c r="Q481" s="216">
        <f>Q482</f>
        <v>103197.9</v>
      </c>
      <c r="R481" s="216"/>
      <c r="S481" s="216"/>
    </row>
    <row r="482" spans="1:19" ht="27" customHeight="1">
      <c r="A482" s="99"/>
      <c r="B482" s="98"/>
      <c r="C482" s="103"/>
      <c r="D482" s="101"/>
      <c r="E482" s="104"/>
      <c r="F482" s="104"/>
      <c r="G482" s="89"/>
      <c r="H482" s="20" t="s">
        <v>722</v>
      </c>
      <c r="I482" s="6">
        <v>663</v>
      </c>
      <c r="J482" s="19">
        <v>7</v>
      </c>
      <c r="K482" s="16">
        <v>2</v>
      </c>
      <c r="L482" s="95" t="s">
        <v>595</v>
      </c>
      <c r="M482" s="96" t="s">
        <v>563</v>
      </c>
      <c r="N482" s="96" t="s">
        <v>592</v>
      </c>
      <c r="O482" s="96" t="s">
        <v>332</v>
      </c>
      <c r="P482" s="6">
        <v>610</v>
      </c>
      <c r="Q482" s="216">
        <f>100300.7+2897.2</f>
        <v>103197.9</v>
      </c>
      <c r="R482" s="216"/>
      <c r="S482" s="216"/>
    </row>
    <row r="483" spans="1:19" ht="33" customHeight="1">
      <c r="A483" s="99"/>
      <c r="B483" s="98"/>
      <c r="C483" s="103"/>
      <c r="D483" s="101"/>
      <c r="E483" s="104"/>
      <c r="F483" s="104"/>
      <c r="G483" s="89"/>
      <c r="H483" s="20" t="s">
        <v>229</v>
      </c>
      <c r="I483" s="8">
        <v>663</v>
      </c>
      <c r="J483" s="19">
        <v>7</v>
      </c>
      <c r="K483" s="16">
        <v>2</v>
      </c>
      <c r="L483" s="95" t="s">
        <v>595</v>
      </c>
      <c r="M483" s="96" t="s">
        <v>563</v>
      </c>
      <c r="N483" s="96" t="s">
        <v>592</v>
      </c>
      <c r="O483" s="96" t="s">
        <v>228</v>
      </c>
      <c r="P483" s="6"/>
      <c r="Q483" s="216">
        <f>Q484</f>
        <v>888.5</v>
      </c>
      <c r="R483" s="216"/>
      <c r="S483" s="216"/>
    </row>
    <row r="484" spans="1:19" ht="27" customHeight="1">
      <c r="A484" s="99"/>
      <c r="B484" s="98"/>
      <c r="C484" s="103"/>
      <c r="D484" s="101"/>
      <c r="E484" s="104"/>
      <c r="F484" s="104"/>
      <c r="G484" s="89"/>
      <c r="H484" s="20" t="s">
        <v>722</v>
      </c>
      <c r="I484" s="8">
        <v>663</v>
      </c>
      <c r="J484" s="19">
        <v>7</v>
      </c>
      <c r="K484" s="16">
        <v>2</v>
      </c>
      <c r="L484" s="95" t="s">
        <v>595</v>
      </c>
      <c r="M484" s="96" t="s">
        <v>563</v>
      </c>
      <c r="N484" s="96" t="s">
        <v>592</v>
      </c>
      <c r="O484" s="96" t="s">
        <v>228</v>
      </c>
      <c r="P484" s="6">
        <v>610</v>
      </c>
      <c r="Q484" s="216">
        <v>888.5</v>
      </c>
      <c r="R484" s="216"/>
      <c r="S484" s="216"/>
    </row>
    <row r="485" spans="1:19" ht="24" customHeight="1">
      <c r="A485" s="99"/>
      <c r="B485" s="98"/>
      <c r="C485" s="103"/>
      <c r="D485" s="101"/>
      <c r="E485" s="104"/>
      <c r="F485" s="104"/>
      <c r="G485" s="89"/>
      <c r="H485" s="3" t="s">
        <v>792</v>
      </c>
      <c r="I485" s="8">
        <v>663</v>
      </c>
      <c r="J485" s="19">
        <v>7</v>
      </c>
      <c r="K485" s="16">
        <v>2</v>
      </c>
      <c r="L485" s="95" t="s">
        <v>595</v>
      </c>
      <c r="M485" s="96" t="s">
        <v>563</v>
      </c>
      <c r="N485" s="96" t="s">
        <v>593</v>
      </c>
      <c r="O485" s="96" t="s">
        <v>620</v>
      </c>
      <c r="P485" s="6"/>
      <c r="Q485" s="216">
        <f>Q486</f>
        <v>122</v>
      </c>
      <c r="R485" s="216"/>
      <c r="S485" s="216"/>
    </row>
    <row r="486" spans="1:19" ht="24" customHeight="1">
      <c r="A486" s="99"/>
      <c r="B486" s="98"/>
      <c r="C486" s="103"/>
      <c r="D486" s="101"/>
      <c r="E486" s="104"/>
      <c r="F486" s="104"/>
      <c r="G486" s="89"/>
      <c r="H486" s="3" t="s">
        <v>334</v>
      </c>
      <c r="I486" s="8">
        <v>663</v>
      </c>
      <c r="J486" s="19">
        <v>7</v>
      </c>
      <c r="K486" s="16">
        <v>2</v>
      </c>
      <c r="L486" s="95" t="s">
        <v>595</v>
      </c>
      <c r="M486" s="96" t="s">
        <v>563</v>
      </c>
      <c r="N486" s="96" t="s">
        <v>593</v>
      </c>
      <c r="O486" s="96" t="s">
        <v>323</v>
      </c>
      <c r="P486" s="6"/>
      <c r="Q486" s="216">
        <f>Q487</f>
        <v>122</v>
      </c>
      <c r="R486" s="216"/>
      <c r="S486" s="216"/>
    </row>
    <row r="487" spans="1:19" ht="24" customHeight="1">
      <c r="A487" s="99"/>
      <c r="B487" s="98"/>
      <c r="C487" s="103"/>
      <c r="D487" s="101"/>
      <c r="E487" s="104"/>
      <c r="F487" s="104"/>
      <c r="G487" s="89"/>
      <c r="H487" s="3" t="s">
        <v>722</v>
      </c>
      <c r="I487" s="8">
        <v>663</v>
      </c>
      <c r="J487" s="19">
        <v>7</v>
      </c>
      <c r="K487" s="16">
        <v>2</v>
      </c>
      <c r="L487" s="95" t="s">
        <v>595</v>
      </c>
      <c r="M487" s="96" t="s">
        <v>563</v>
      </c>
      <c r="N487" s="96" t="s">
        <v>593</v>
      </c>
      <c r="O487" s="96" t="s">
        <v>323</v>
      </c>
      <c r="P487" s="6">
        <v>610</v>
      </c>
      <c r="Q487" s="216">
        <v>122</v>
      </c>
      <c r="R487" s="216"/>
      <c r="S487" s="216"/>
    </row>
    <row r="488" spans="1:19" ht="29.25" customHeight="1">
      <c r="A488" s="99"/>
      <c r="B488" s="98"/>
      <c r="C488" s="103"/>
      <c r="D488" s="101"/>
      <c r="E488" s="104"/>
      <c r="F488" s="104"/>
      <c r="G488" s="89"/>
      <c r="H488" s="3" t="s">
        <v>793</v>
      </c>
      <c r="I488" s="8">
        <v>663</v>
      </c>
      <c r="J488" s="19">
        <v>7</v>
      </c>
      <c r="K488" s="16">
        <v>2</v>
      </c>
      <c r="L488" s="95" t="s">
        <v>595</v>
      </c>
      <c r="M488" s="96" t="s">
        <v>563</v>
      </c>
      <c r="N488" s="96" t="s">
        <v>566</v>
      </c>
      <c r="O488" s="96" t="s">
        <v>620</v>
      </c>
      <c r="P488" s="6"/>
      <c r="Q488" s="216">
        <f>Q489+Q491+Q493</f>
        <v>27478</v>
      </c>
      <c r="R488" s="216"/>
      <c r="S488" s="216"/>
    </row>
    <row r="489" spans="1:19" ht="22.5" customHeight="1">
      <c r="A489" s="99"/>
      <c r="B489" s="98"/>
      <c r="C489" s="103"/>
      <c r="D489" s="101"/>
      <c r="E489" s="104"/>
      <c r="F489" s="104"/>
      <c r="G489" s="89"/>
      <c r="H489" s="3" t="s">
        <v>334</v>
      </c>
      <c r="I489" s="8">
        <v>663</v>
      </c>
      <c r="J489" s="19">
        <v>7</v>
      </c>
      <c r="K489" s="16">
        <v>2</v>
      </c>
      <c r="L489" s="95" t="s">
        <v>595</v>
      </c>
      <c r="M489" s="96" t="s">
        <v>563</v>
      </c>
      <c r="N489" s="96" t="s">
        <v>566</v>
      </c>
      <c r="O489" s="96" t="s">
        <v>323</v>
      </c>
      <c r="P489" s="6"/>
      <c r="Q489" s="216">
        <f>Q490</f>
        <v>1744.8</v>
      </c>
      <c r="R489" s="216"/>
      <c r="S489" s="216"/>
    </row>
    <row r="490" spans="1:19" ht="27.75" customHeight="1">
      <c r="A490" s="99"/>
      <c r="B490" s="98"/>
      <c r="C490" s="103"/>
      <c r="D490" s="101"/>
      <c r="E490" s="104"/>
      <c r="F490" s="104"/>
      <c r="G490" s="89"/>
      <c r="H490" s="3" t="s">
        <v>722</v>
      </c>
      <c r="I490" s="8">
        <v>663</v>
      </c>
      <c r="J490" s="19">
        <v>7</v>
      </c>
      <c r="K490" s="16">
        <v>2</v>
      </c>
      <c r="L490" s="95" t="s">
        <v>595</v>
      </c>
      <c r="M490" s="96" t="s">
        <v>563</v>
      </c>
      <c r="N490" s="96" t="s">
        <v>566</v>
      </c>
      <c r="O490" s="96" t="s">
        <v>323</v>
      </c>
      <c r="P490" s="10">
        <v>610</v>
      </c>
      <c r="Q490" s="214">
        <f>465+79.8+1200</f>
        <v>1744.8</v>
      </c>
      <c r="R490" s="214"/>
      <c r="S490" s="214"/>
    </row>
    <row r="491" spans="1:19" ht="36" customHeight="1">
      <c r="A491" s="99"/>
      <c r="B491" s="98"/>
      <c r="C491" s="103"/>
      <c r="D491" s="101"/>
      <c r="E491" s="113"/>
      <c r="F491" s="113"/>
      <c r="G491" s="89"/>
      <c r="H491" s="5" t="s">
        <v>294</v>
      </c>
      <c r="I491" s="8">
        <v>663</v>
      </c>
      <c r="J491" s="21">
        <v>7</v>
      </c>
      <c r="K491" s="16">
        <v>2</v>
      </c>
      <c r="L491" s="16">
        <v>6</v>
      </c>
      <c r="M491" s="96" t="s">
        <v>563</v>
      </c>
      <c r="N491" s="96" t="s">
        <v>566</v>
      </c>
      <c r="O491" s="96" t="s">
        <v>295</v>
      </c>
      <c r="P491" s="10"/>
      <c r="Q491" s="214">
        <f>Q492</f>
        <v>24830</v>
      </c>
      <c r="R491" s="214"/>
      <c r="S491" s="214"/>
    </row>
    <row r="492" spans="1:19" ht="24.75" customHeight="1">
      <c r="A492" s="99"/>
      <c r="B492" s="98"/>
      <c r="C492" s="103"/>
      <c r="D492" s="101"/>
      <c r="E492" s="113"/>
      <c r="F492" s="113"/>
      <c r="G492" s="89"/>
      <c r="H492" s="5" t="s">
        <v>722</v>
      </c>
      <c r="I492" s="8">
        <v>663</v>
      </c>
      <c r="J492" s="21">
        <v>7</v>
      </c>
      <c r="K492" s="16">
        <v>2</v>
      </c>
      <c r="L492" s="16">
        <v>6</v>
      </c>
      <c r="M492" s="96" t="s">
        <v>563</v>
      </c>
      <c r="N492" s="96" t="s">
        <v>566</v>
      </c>
      <c r="O492" s="96" t="s">
        <v>295</v>
      </c>
      <c r="P492" s="10">
        <v>610</v>
      </c>
      <c r="Q492" s="214">
        <f>24190-110+750</f>
        <v>24830</v>
      </c>
      <c r="R492" s="214"/>
      <c r="S492" s="214"/>
    </row>
    <row r="493" spans="1:19" ht="24.75" customHeight="1">
      <c r="A493" s="99"/>
      <c r="B493" s="98"/>
      <c r="C493" s="97"/>
      <c r="D493" s="101"/>
      <c r="E493" s="113"/>
      <c r="F493" s="113"/>
      <c r="G493" s="89"/>
      <c r="H493" s="320" t="s">
        <v>212</v>
      </c>
      <c r="I493" s="6">
        <v>663</v>
      </c>
      <c r="J493" s="19">
        <v>7</v>
      </c>
      <c r="K493" s="16">
        <v>2</v>
      </c>
      <c r="L493" s="16">
        <v>6</v>
      </c>
      <c r="M493" s="96" t="s">
        <v>563</v>
      </c>
      <c r="N493" s="96" t="s">
        <v>566</v>
      </c>
      <c r="O493" s="96" t="s">
        <v>211</v>
      </c>
      <c r="P493" s="10"/>
      <c r="Q493" s="214">
        <f>Q494</f>
        <v>903.2</v>
      </c>
      <c r="R493" s="216"/>
      <c r="S493" s="216"/>
    </row>
    <row r="494" spans="1:19" ht="24.75" customHeight="1">
      <c r="A494" s="99"/>
      <c r="B494" s="98"/>
      <c r="C494" s="97"/>
      <c r="D494" s="101"/>
      <c r="E494" s="113"/>
      <c r="F494" s="113"/>
      <c r="G494" s="89"/>
      <c r="H494" s="5" t="s">
        <v>722</v>
      </c>
      <c r="I494" s="6">
        <v>663</v>
      </c>
      <c r="J494" s="19">
        <v>7</v>
      </c>
      <c r="K494" s="16">
        <v>2</v>
      </c>
      <c r="L494" s="16">
        <v>6</v>
      </c>
      <c r="M494" s="96" t="s">
        <v>563</v>
      </c>
      <c r="N494" s="96" t="s">
        <v>566</v>
      </c>
      <c r="O494" s="96" t="s">
        <v>211</v>
      </c>
      <c r="P494" s="10">
        <v>610</v>
      </c>
      <c r="Q494" s="214">
        <v>903.2</v>
      </c>
      <c r="R494" s="216"/>
      <c r="S494" s="216"/>
    </row>
    <row r="495" spans="1:19" ht="24.75" customHeight="1">
      <c r="A495" s="99"/>
      <c r="B495" s="98"/>
      <c r="C495" s="97"/>
      <c r="D495" s="101"/>
      <c r="E495" s="113"/>
      <c r="F495" s="113"/>
      <c r="G495" s="89"/>
      <c r="H495" s="259" t="s">
        <v>128</v>
      </c>
      <c r="I495" s="6">
        <v>663</v>
      </c>
      <c r="J495" s="19">
        <v>7</v>
      </c>
      <c r="K495" s="16">
        <v>2</v>
      </c>
      <c r="L495" s="16">
        <v>6</v>
      </c>
      <c r="M495" s="96" t="s">
        <v>563</v>
      </c>
      <c r="N495" s="96" t="s">
        <v>689</v>
      </c>
      <c r="O495" s="96" t="s">
        <v>620</v>
      </c>
      <c r="P495" s="10"/>
      <c r="Q495" s="214">
        <f>Q496</f>
        <v>2234.4</v>
      </c>
      <c r="R495" s="216"/>
      <c r="S495" s="216"/>
    </row>
    <row r="496" spans="1:19" ht="49.5" customHeight="1">
      <c r="A496" s="99"/>
      <c r="B496" s="98"/>
      <c r="C496" s="97"/>
      <c r="D496" s="101"/>
      <c r="E496" s="113"/>
      <c r="F496" s="113"/>
      <c r="G496" s="89"/>
      <c r="H496" s="259" t="s">
        <v>691</v>
      </c>
      <c r="I496" s="6">
        <v>663</v>
      </c>
      <c r="J496" s="19">
        <v>7</v>
      </c>
      <c r="K496" s="16">
        <v>2</v>
      </c>
      <c r="L496" s="16">
        <v>6</v>
      </c>
      <c r="M496" s="96" t="s">
        <v>563</v>
      </c>
      <c r="N496" s="96" t="s">
        <v>689</v>
      </c>
      <c r="O496" s="96" t="s">
        <v>72</v>
      </c>
      <c r="P496" s="10"/>
      <c r="Q496" s="214">
        <f>Q497</f>
        <v>2234.4</v>
      </c>
      <c r="R496" s="216"/>
      <c r="S496" s="216"/>
    </row>
    <row r="497" spans="1:19" ht="24.75" customHeight="1">
      <c r="A497" s="99"/>
      <c r="B497" s="98"/>
      <c r="C497" s="97"/>
      <c r="D497" s="101"/>
      <c r="E497" s="113"/>
      <c r="F497" s="113"/>
      <c r="G497" s="89"/>
      <c r="H497" s="11" t="s">
        <v>722</v>
      </c>
      <c r="I497" s="6">
        <v>663</v>
      </c>
      <c r="J497" s="19">
        <v>7</v>
      </c>
      <c r="K497" s="16">
        <v>2</v>
      </c>
      <c r="L497" s="16">
        <v>6</v>
      </c>
      <c r="M497" s="96" t="s">
        <v>563</v>
      </c>
      <c r="N497" s="96" t="s">
        <v>689</v>
      </c>
      <c r="O497" s="96" t="s">
        <v>72</v>
      </c>
      <c r="P497" s="10">
        <v>610</v>
      </c>
      <c r="Q497" s="214">
        <v>2234.4</v>
      </c>
      <c r="R497" s="216"/>
      <c r="S497" s="216"/>
    </row>
    <row r="498" spans="1:19" ht="39" customHeight="1">
      <c r="A498" s="99"/>
      <c r="B498" s="98"/>
      <c r="C498" s="97"/>
      <c r="D498" s="101"/>
      <c r="E498" s="115"/>
      <c r="F498" s="115"/>
      <c r="G498" s="89"/>
      <c r="H498" s="117" t="s">
        <v>289</v>
      </c>
      <c r="I498" s="6">
        <v>663</v>
      </c>
      <c r="J498" s="19">
        <v>7</v>
      </c>
      <c r="K498" s="16">
        <v>2</v>
      </c>
      <c r="L498" s="95" t="s">
        <v>558</v>
      </c>
      <c r="M498" s="96" t="s">
        <v>563</v>
      </c>
      <c r="N498" s="96" t="s">
        <v>583</v>
      </c>
      <c r="O498" s="96" t="s">
        <v>620</v>
      </c>
      <c r="P498" s="6"/>
      <c r="Q498" s="216">
        <f>Q499+Q502</f>
        <v>30</v>
      </c>
      <c r="R498" s="216">
        <f aca="true" t="shared" si="41" ref="Q498:S503">R499</f>
        <v>30</v>
      </c>
      <c r="S498" s="216">
        <f t="shared" si="41"/>
        <v>0</v>
      </c>
    </row>
    <row r="499" spans="1:19" ht="41.25" customHeight="1">
      <c r="A499" s="99"/>
      <c r="B499" s="98"/>
      <c r="C499" s="97"/>
      <c r="D499" s="101"/>
      <c r="E499" s="115"/>
      <c r="F499" s="115"/>
      <c r="G499" s="89"/>
      <c r="H499" s="5" t="s">
        <v>290</v>
      </c>
      <c r="I499" s="6">
        <v>663</v>
      </c>
      <c r="J499" s="19">
        <v>7</v>
      </c>
      <c r="K499" s="16">
        <v>2</v>
      </c>
      <c r="L499" s="95" t="s">
        <v>558</v>
      </c>
      <c r="M499" s="96" t="s">
        <v>563</v>
      </c>
      <c r="N499" s="96" t="s">
        <v>564</v>
      </c>
      <c r="O499" s="96" t="s">
        <v>620</v>
      </c>
      <c r="P499" s="6"/>
      <c r="Q499" s="216">
        <f t="shared" si="41"/>
        <v>20</v>
      </c>
      <c r="R499" s="216">
        <f t="shared" si="41"/>
        <v>30</v>
      </c>
      <c r="S499" s="216">
        <f t="shared" si="41"/>
        <v>0</v>
      </c>
    </row>
    <row r="500" spans="1:19" ht="30.75" customHeight="1">
      <c r="A500" s="99"/>
      <c r="B500" s="98"/>
      <c r="C500" s="97"/>
      <c r="D500" s="101"/>
      <c r="E500" s="115"/>
      <c r="F500" s="115"/>
      <c r="G500" s="89"/>
      <c r="H500" s="5" t="s">
        <v>292</v>
      </c>
      <c r="I500" s="6">
        <v>663</v>
      </c>
      <c r="J500" s="19">
        <v>7</v>
      </c>
      <c r="K500" s="16">
        <v>2</v>
      </c>
      <c r="L500" s="95" t="s">
        <v>558</v>
      </c>
      <c r="M500" s="96" t="s">
        <v>563</v>
      </c>
      <c r="N500" s="96" t="s">
        <v>564</v>
      </c>
      <c r="O500" s="96" t="s">
        <v>291</v>
      </c>
      <c r="P500" s="6"/>
      <c r="Q500" s="216">
        <f t="shared" si="41"/>
        <v>20</v>
      </c>
      <c r="R500" s="216">
        <f t="shared" si="41"/>
        <v>30</v>
      </c>
      <c r="S500" s="216">
        <f t="shared" si="41"/>
        <v>0</v>
      </c>
    </row>
    <row r="501" spans="1:19" ht="29.25" customHeight="1">
      <c r="A501" s="99"/>
      <c r="B501" s="98"/>
      <c r="C501" s="97"/>
      <c r="D501" s="101"/>
      <c r="E501" s="115"/>
      <c r="F501" s="115"/>
      <c r="G501" s="89"/>
      <c r="H501" s="5" t="s">
        <v>722</v>
      </c>
      <c r="I501" s="6">
        <v>663</v>
      </c>
      <c r="J501" s="19">
        <v>7</v>
      </c>
      <c r="K501" s="16">
        <v>2</v>
      </c>
      <c r="L501" s="95" t="s">
        <v>558</v>
      </c>
      <c r="M501" s="96" t="s">
        <v>563</v>
      </c>
      <c r="N501" s="96" t="s">
        <v>564</v>
      </c>
      <c r="O501" s="96" t="s">
        <v>291</v>
      </c>
      <c r="P501" s="6">
        <v>610</v>
      </c>
      <c r="Q501" s="216">
        <v>20</v>
      </c>
      <c r="R501" s="216">
        <v>30</v>
      </c>
      <c r="S501" s="216">
        <v>0</v>
      </c>
    </row>
    <row r="502" spans="1:19" ht="36.75" customHeight="1">
      <c r="A502" s="99"/>
      <c r="B502" s="98"/>
      <c r="C502" s="97"/>
      <c r="D502" s="101"/>
      <c r="E502" s="115"/>
      <c r="F502" s="115"/>
      <c r="G502" s="89"/>
      <c r="H502" s="5" t="s">
        <v>114</v>
      </c>
      <c r="I502" s="6">
        <v>663</v>
      </c>
      <c r="J502" s="19">
        <v>7</v>
      </c>
      <c r="K502" s="16">
        <v>2</v>
      </c>
      <c r="L502" s="95" t="s">
        <v>558</v>
      </c>
      <c r="M502" s="96" t="s">
        <v>563</v>
      </c>
      <c r="N502" s="96" t="s">
        <v>592</v>
      </c>
      <c r="O502" s="96" t="s">
        <v>620</v>
      </c>
      <c r="P502" s="6"/>
      <c r="Q502" s="216">
        <f t="shared" si="41"/>
        <v>10</v>
      </c>
      <c r="R502" s="216">
        <f t="shared" si="41"/>
        <v>30</v>
      </c>
      <c r="S502" s="216">
        <f t="shared" si="41"/>
        <v>0</v>
      </c>
    </row>
    <row r="503" spans="1:19" ht="30.75" customHeight="1">
      <c r="A503" s="99"/>
      <c r="B503" s="98"/>
      <c r="C503" s="97"/>
      <c r="D503" s="101"/>
      <c r="E503" s="115"/>
      <c r="F503" s="115"/>
      <c r="G503" s="89"/>
      <c r="H503" s="5" t="s">
        <v>292</v>
      </c>
      <c r="I503" s="6">
        <v>663</v>
      </c>
      <c r="J503" s="19">
        <v>7</v>
      </c>
      <c r="K503" s="16">
        <v>2</v>
      </c>
      <c r="L503" s="95" t="s">
        <v>558</v>
      </c>
      <c r="M503" s="96" t="s">
        <v>563</v>
      </c>
      <c r="N503" s="96" t="s">
        <v>592</v>
      </c>
      <c r="O503" s="96" t="s">
        <v>291</v>
      </c>
      <c r="P503" s="6"/>
      <c r="Q503" s="216">
        <f t="shared" si="41"/>
        <v>10</v>
      </c>
      <c r="R503" s="216">
        <f t="shared" si="41"/>
        <v>30</v>
      </c>
      <c r="S503" s="216">
        <f t="shared" si="41"/>
        <v>0</v>
      </c>
    </row>
    <row r="504" spans="1:19" ht="29.25" customHeight="1">
      <c r="A504" s="99"/>
      <c r="B504" s="98"/>
      <c r="C504" s="97"/>
      <c r="D504" s="101"/>
      <c r="E504" s="115"/>
      <c r="F504" s="115"/>
      <c r="G504" s="89"/>
      <c r="H504" s="5" t="s">
        <v>722</v>
      </c>
      <c r="I504" s="6">
        <v>663</v>
      </c>
      <c r="J504" s="19">
        <v>7</v>
      </c>
      <c r="K504" s="16">
        <v>2</v>
      </c>
      <c r="L504" s="95" t="s">
        <v>558</v>
      </c>
      <c r="M504" s="96" t="s">
        <v>563</v>
      </c>
      <c r="N504" s="96" t="s">
        <v>592</v>
      </c>
      <c r="O504" s="96" t="s">
        <v>291</v>
      </c>
      <c r="P504" s="6">
        <v>610</v>
      </c>
      <c r="Q504" s="216">
        <v>10</v>
      </c>
      <c r="R504" s="216">
        <v>30</v>
      </c>
      <c r="S504" s="216">
        <v>0</v>
      </c>
    </row>
    <row r="505" spans="1:19" ht="30.75" customHeight="1">
      <c r="A505" s="99"/>
      <c r="B505" s="98"/>
      <c r="C505" s="103"/>
      <c r="D505" s="101"/>
      <c r="E505" s="104"/>
      <c r="F505" s="104"/>
      <c r="G505" s="89"/>
      <c r="H505" s="5" t="s">
        <v>687</v>
      </c>
      <c r="I505" s="10">
        <v>663</v>
      </c>
      <c r="J505" s="16">
        <v>7</v>
      </c>
      <c r="K505" s="16">
        <v>2</v>
      </c>
      <c r="L505" s="95" t="s">
        <v>688</v>
      </c>
      <c r="M505" s="96" t="s">
        <v>563</v>
      </c>
      <c r="N505" s="96" t="s">
        <v>583</v>
      </c>
      <c r="O505" s="96" t="s">
        <v>620</v>
      </c>
      <c r="P505" s="10"/>
      <c r="Q505" s="214">
        <f>Q506+Q509+Q512+Q515</f>
        <v>239</v>
      </c>
      <c r="R505" s="214">
        <f>R506+R509+R512+R515</f>
        <v>239</v>
      </c>
      <c r="S505" s="214">
        <f>S506+S509+S512+S515</f>
        <v>239</v>
      </c>
    </row>
    <row r="506" spans="1:19" ht="34.5" customHeight="1">
      <c r="A506" s="99"/>
      <c r="B506" s="98"/>
      <c r="C506" s="103"/>
      <c r="D506" s="101"/>
      <c r="E506" s="104"/>
      <c r="F506" s="104"/>
      <c r="G506" s="89"/>
      <c r="H506" s="18" t="s">
        <v>324</v>
      </c>
      <c r="I506" s="10">
        <v>663</v>
      </c>
      <c r="J506" s="16">
        <v>7</v>
      </c>
      <c r="K506" s="16">
        <v>2</v>
      </c>
      <c r="L506" s="95" t="s">
        <v>688</v>
      </c>
      <c r="M506" s="96" t="s">
        <v>563</v>
      </c>
      <c r="N506" s="96" t="s">
        <v>592</v>
      </c>
      <c r="O506" s="96" t="s">
        <v>620</v>
      </c>
      <c r="P506" s="10"/>
      <c r="Q506" s="214">
        <f aca="true" t="shared" si="42" ref="Q506:S507">Q507</f>
        <v>9</v>
      </c>
      <c r="R506" s="214">
        <f t="shared" si="42"/>
        <v>9</v>
      </c>
      <c r="S506" s="214">
        <f t="shared" si="42"/>
        <v>9</v>
      </c>
    </row>
    <row r="507" spans="1:19" ht="24.75" customHeight="1">
      <c r="A507" s="99"/>
      <c r="B507" s="98"/>
      <c r="C507" s="103"/>
      <c r="D507" s="101"/>
      <c r="E507" s="104"/>
      <c r="F507" s="104"/>
      <c r="G507" s="89"/>
      <c r="H507" s="18" t="s">
        <v>325</v>
      </c>
      <c r="I507" s="10">
        <v>663</v>
      </c>
      <c r="J507" s="16">
        <v>7</v>
      </c>
      <c r="K507" s="16">
        <v>2</v>
      </c>
      <c r="L507" s="95" t="s">
        <v>688</v>
      </c>
      <c r="M507" s="96" t="s">
        <v>563</v>
      </c>
      <c r="N507" s="96" t="s">
        <v>592</v>
      </c>
      <c r="O507" s="96" t="s">
        <v>323</v>
      </c>
      <c r="P507" s="10"/>
      <c r="Q507" s="214">
        <f t="shared" si="42"/>
        <v>9</v>
      </c>
      <c r="R507" s="214">
        <f t="shared" si="42"/>
        <v>9</v>
      </c>
      <c r="S507" s="214">
        <f t="shared" si="42"/>
        <v>9</v>
      </c>
    </row>
    <row r="508" spans="1:19" ht="24.75" customHeight="1">
      <c r="A508" s="99"/>
      <c r="B508" s="98"/>
      <c r="C508" s="103"/>
      <c r="D508" s="101"/>
      <c r="E508" s="104"/>
      <c r="F508" s="104"/>
      <c r="G508" s="89"/>
      <c r="H508" s="18" t="s">
        <v>722</v>
      </c>
      <c r="I508" s="10">
        <v>663</v>
      </c>
      <c r="J508" s="16">
        <v>7</v>
      </c>
      <c r="K508" s="16">
        <v>2</v>
      </c>
      <c r="L508" s="95" t="s">
        <v>688</v>
      </c>
      <c r="M508" s="96" t="s">
        <v>563</v>
      </c>
      <c r="N508" s="96" t="s">
        <v>592</v>
      </c>
      <c r="O508" s="96" t="s">
        <v>323</v>
      </c>
      <c r="P508" s="10">
        <v>610</v>
      </c>
      <c r="Q508" s="214">
        <v>9</v>
      </c>
      <c r="R508" s="214">
        <v>9</v>
      </c>
      <c r="S508" s="214">
        <v>9</v>
      </c>
    </row>
    <row r="509" spans="1:19" ht="30" customHeight="1">
      <c r="A509" s="99"/>
      <c r="B509" s="98"/>
      <c r="C509" s="103"/>
      <c r="D509" s="101"/>
      <c r="E509" s="104"/>
      <c r="F509" s="104"/>
      <c r="G509" s="89"/>
      <c r="H509" s="5" t="s">
        <v>326</v>
      </c>
      <c r="I509" s="10">
        <v>663</v>
      </c>
      <c r="J509" s="16">
        <v>7</v>
      </c>
      <c r="K509" s="16">
        <v>2</v>
      </c>
      <c r="L509" s="95" t="s">
        <v>688</v>
      </c>
      <c r="M509" s="96" t="s">
        <v>563</v>
      </c>
      <c r="N509" s="96" t="s">
        <v>593</v>
      </c>
      <c r="O509" s="96" t="s">
        <v>620</v>
      </c>
      <c r="P509" s="10"/>
      <c r="Q509" s="214">
        <f aca="true" t="shared" si="43" ref="Q509:S510">Q510</f>
        <v>25</v>
      </c>
      <c r="R509" s="214">
        <f t="shared" si="43"/>
        <v>25</v>
      </c>
      <c r="S509" s="214">
        <f t="shared" si="43"/>
        <v>25</v>
      </c>
    </row>
    <row r="510" spans="1:19" ht="30" customHeight="1">
      <c r="A510" s="99"/>
      <c r="B510" s="98"/>
      <c r="C510" s="103"/>
      <c r="D510" s="101"/>
      <c r="E510" s="104"/>
      <c r="F510" s="104"/>
      <c r="G510" s="89"/>
      <c r="H510" s="5" t="s">
        <v>325</v>
      </c>
      <c r="I510" s="10">
        <v>663</v>
      </c>
      <c r="J510" s="16">
        <v>7</v>
      </c>
      <c r="K510" s="16">
        <v>2</v>
      </c>
      <c r="L510" s="95" t="s">
        <v>688</v>
      </c>
      <c r="M510" s="96" t="s">
        <v>563</v>
      </c>
      <c r="N510" s="96" t="s">
        <v>593</v>
      </c>
      <c r="O510" s="96" t="s">
        <v>323</v>
      </c>
      <c r="P510" s="10"/>
      <c r="Q510" s="214">
        <f t="shared" si="43"/>
        <v>25</v>
      </c>
      <c r="R510" s="214">
        <f t="shared" si="43"/>
        <v>25</v>
      </c>
      <c r="S510" s="214">
        <f t="shared" si="43"/>
        <v>25</v>
      </c>
    </row>
    <row r="511" spans="1:19" ht="30" customHeight="1">
      <c r="A511" s="99"/>
      <c r="B511" s="98"/>
      <c r="C511" s="103"/>
      <c r="D511" s="101"/>
      <c r="E511" s="104"/>
      <c r="F511" s="104"/>
      <c r="G511" s="89"/>
      <c r="H511" s="5" t="s">
        <v>722</v>
      </c>
      <c r="I511" s="10">
        <v>663</v>
      </c>
      <c r="J511" s="16">
        <v>7</v>
      </c>
      <c r="K511" s="16">
        <v>2</v>
      </c>
      <c r="L511" s="95" t="s">
        <v>688</v>
      </c>
      <c r="M511" s="96" t="s">
        <v>563</v>
      </c>
      <c r="N511" s="96" t="s">
        <v>593</v>
      </c>
      <c r="O511" s="96" t="s">
        <v>323</v>
      </c>
      <c r="P511" s="10">
        <v>610</v>
      </c>
      <c r="Q511" s="214">
        <v>25</v>
      </c>
      <c r="R511" s="214">
        <v>25</v>
      </c>
      <c r="S511" s="214">
        <v>25</v>
      </c>
    </row>
    <row r="512" spans="1:19" ht="41.25" customHeight="1">
      <c r="A512" s="99"/>
      <c r="B512" s="98"/>
      <c r="C512" s="103"/>
      <c r="D512" s="101"/>
      <c r="E512" s="104"/>
      <c r="F512" s="104"/>
      <c r="G512" s="89"/>
      <c r="H512" s="5" t="s">
        <v>686</v>
      </c>
      <c r="I512" s="10">
        <v>663</v>
      </c>
      <c r="J512" s="16">
        <v>7</v>
      </c>
      <c r="K512" s="16">
        <v>2</v>
      </c>
      <c r="L512" s="95" t="s">
        <v>688</v>
      </c>
      <c r="M512" s="96" t="s">
        <v>563</v>
      </c>
      <c r="N512" s="96" t="s">
        <v>588</v>
      </c>
      <c r="O512" s="96" t="s">
        <v>620</v>
      </c>
      <c r="P512" s="10"/>
      <c r="Q512" s="214">
        <f aca="true" t="shared" si="44" ref="Q512:S513">Q513</f>
        <v>80</v>
      </c>
      <c r="R512" s="214">
        <f t="shared" si="44"/>
        <v>80</v>
      </c>
      <c r="S512" s="214">
        <f t="shared" si="44"/>
        <v>80</v>
      </c>
    </row>
    <row r="513" spans="1:19" ht="28.5" customHeight="1">
      <c r="A513" s="99"/>
      <c r="B513" s="98"/>
      <c r="C513" s="103"/>
      <c r="D513" s="101"/>
      <c r="E513" s="104"/>
      <c r="F513" s="104"/>
      <c r="G513" s="89"/>
      <c r="H513" s="5" t="s">
        <v>325</v>
      </c>
      <c r="I513" s="10">
        <v>663</v>
      </c>
      <c r="J513" s="16">
        <v>7</v>
      </c>
      <c r="K513" s="16">
        <v>2</v>
      </c>
      <c r="L513" s="95" t="s">
        <v>688</v>
      </c>
      <c r="M513" s="96" t="s">
        <v>563</v>
      </c>
      <c r="N513" s="96" t="s">
        <v>588</v>
      </c>
      <c r="O513" s="96" t="s">
        <v>323</v>
      </c>
      <c r="P513" s="10"/>
      <c r="Q513" s="214">
        <f t="shared" si="44"/>
        <v>80</v>
      </c>
      <c r="R513" s="214">
        <f t="shared" si="44"/>
        <v>80</v>
      </c>
      <c r="S513" s="214">
        <f t="shared" si="44"/>
        <v>80</v>
      </c>
    </row>
    <row r="514" spans="1:19" ht="30" customHeight="1">
      <c r="A514" s="99"/>
      <c r="B514" s="98"/>
      <c r="C514" s="103"/>
      <c r="D514" s="101"/>
      <c r="E514" s="104"/>
      <c r="F514" s="104"/>
      <c r="G514" s="89"/>
      <c r="H514" s="5" t="s">
        <v>722</v>
      </c>
      <c r="I514" s="10">
        <v>663</v>
      </c>
      <c r="J514" s="16">
        <v>7</v>
      </c>
      <c r="K514" s="16">
        <v>2</v>
      </c>
      <c r="L514" s="95" t="s">
        <v>688</v>
      </c>
      <c r="M514" s="96" t="s">
        <v>563</v>
      </c>
      <c r="N514" s="96" t="s">
        <v>588</v>
      </c>
      <c r="O514" s="96" t="s">
        <v>323</v>
      </c>
      <c r="P514" s="10">
        <v>610</v>
      </c>
      <c r="Q514" s="214">
        <v>80</v>
      </c>
      <c r="R514" s="214">
        <v>80</v>
      </c>
      <c r="S514" s="214">
        <v>80</v>
      </c>
    </row>
    <row r="515" spans="1:19" ht="41.25" customHeight="1">
      <c r="A515" s="99"/>
      <c r="B515" s="98"/>
      <c r="C515" s="103"/>
      <c r="D515" s="101"/>
      <c r="E515" s="104"/>
      <c r="F515" s="104"/>
      <c r="G515" s="89"/>
      <c r="H515" s="117" t="s">
        <v>253</v>
      </c>
      <c r="I515" s="10">
        <v>663</v>
      </c>
      <c r="J515" s="16">
        <v>7</v>
      </c>
      <c r="K515" s="16">
        <v>2</v>
      </c>
      <c r="L515" s="95" t="s">
        <v>688</v>
      </c>
      <c r="M515" s="96" t="s">
        <v>563</v>
      </c>
      <c r="N515" s="96" t="s">
        <v>566</v>
      </c>
      <c r="O515" s="96" t="s">
        <v>620</v>
      </c>
      <c r="P515" s="10"/>
      <c r="Q515" s="214">
        <f aca="true" t="shared" si="45" ref="Q515:S516">Q516</f>
        <v>125</v>
      </c>
      <c r="R515" s="214">
        <f t="shared" si="45"/>
        <v>125</v>
      </c>
      <c r="S515" s="214">
        <f t="shared" si="45"/>
        <v>125</v>
      </c>
    </row>
    <row r="516" spans="1:19" ht="25.5" customHeight="1">
      <c r="A516" s="99"/>
      <c r="B516" s="98"/>
      <c r="C516" s="103"/>
      <c r="D516" s="101"/>
      <c r="E516" s="104"/>
      <c r="F516" s="104"/>
      <c r="G516" s="89"/>
      <c r="H516" s="5" t="s">
        <v>325</v>
      </c>
      <c r="I516" s="10">
        <v>663</v>
      </c>
      <c r="J516" s="16">
        <v>7</v>
      </c>
      <c r="K516" s="16">
        <v>2</v>
      </c>
      <c r="L516" s="95" t="s">
        <v>688</v>
      </c>
      <c r="M516" s="96" t="s">
        <v>563</v>
      </c>
      <c r="N516" s="96" t="s">
        <v>566</v>
      </c>
      <c r="O516" s="96" t="s">
        <v>323</v>
      </c>
      <c r="P516" s="10"/>
      <c r="Q516" s="214">
        <f t="shared" si="45"/>
        <v>125</v>
      </c>
      <c r="R516" s="214">
        <f t="shared" si="45"/>
        <v>125</v>
      </c>
      <c r="S516" s="214">
        <f t="shared" si="45"/>
        <v>125</v>
      </c>
    </row>
    <row r="517" spans="1:19" ht="27" customHeight="1">
      <c r="A517" s="99"/>
      <c r="B517" s="98"/>
      <c r="C517" s="103"/>
      <c r="D517" s="101"/>
      <c r="E517" s="104"/>
      <c r="F517" s="104"/>
      <c r="G517" s="89"/>
      <c r="H517" s="5" t="s">
        <v>722</v>
      </c>
      <c r="I517" s="10">
        <v>663</v>
      </c>
      <c r="J517" s="16">
        <v>7</v>
      </c>
      <c r="K517" s="16">
        <v>2</v>
      </c>
      <c r="L517" s="95" t="s">
        <v>688</v>
      </c>
      <c r="M517" s="96" t="s">
        <v>563</v>
      </c>
      <c r="N517" s="96" t="s">
        <v>566</v>
      </c>
      <c r="O517" s="96" t="s">
        <v>323</v>
      </c>
      <c r="P517" s="10">
        <v>610</v>
      </c>
      <c r="Q517" s="214">
        <v>125</v>
      </c>
      <c r="R517" s="214">
        <v>125</v>
      </c>
      <c r="S517" s="214">
        <v>125</v>
      </c>
    </row>
    <row r="518" spans="1:19" ht="33" customHeight="1" hidden="1">
      <c r="A518" s="99"/>
      <c r="B518" s="98"/>
      <c r="C518" s="103"/>
      <c r="D518" s="101"/>
      <c r="E518" s="113"/>
      <c r="F518" s="113"/>
      <c r="G518" s="89"/>
      <c r="H518" s="5" t="s">
        <v>299</v>
      </c>
      <c r="I518" s="8">
        <v>663</v>
      </c>
      <c r="J518" s="21">
        <v>7</v>
      </c>
      <c r="K518" s="16">
        <v>2</v>
      </c>
      <c r="L518" s="16">
        <v>91</v>
      </c>
      <c r="M518" s="96" t="s">
        <v>563</v>
      </c>
      <c r="N518" s="96" t="s">
        <v>583</v>
      </c>
      <c r="O518" s="96" t="s">
        <v>620</v>
      </c>
      <c r="P518" s="10"/>
      <c r="Q518" s="214">
        <f>Q519+Q522</f>
        <v>0</v>
      </c>
      <c r="R518" s="214">
        <f>R519+R522</f>
        <v>148751.7</v>
      </c>
      <c r="S518" s="214">
        <f>S519+S522</f>
        <v>155021.7</v>
      </c>
    </row>
    <row r="519" spans="1:19" ht="33" customHeight="1" hidden="1">
      <c r="A519" s="99"/>
      <c r="B519" s="98"/>
      <c r="C519" s="103"/>
      <c r="D519" s="101"/>
      <c r="E519" s="113"/>
      <c r="F519" s="113"/>
      <c r="G519" s="89"/>
      <c r="H519" s="5" t="s">
        <v>334</v>
      </c>
      <c r="I519" s="8">
        <v>663</v>
      </c>
      <c r="J519" s="21">
        <v>7</v>
      </c>
      <c r="K519" s="16">
        <v>2</v>
      </c>
      <c r="L519" s="16">
        <v>91</v>
      </c>
      <c r="M519" s="96" t="s">
        <v>563</v>
      </c>
      <c r="N519" s="96" t="s">
        <v>583</v>
      </c>
      <c r="O519" s="96" t="s">
        <v>323</v>
      </c>
      <c r="P519" s="10"/>
      <c r="Q519" s="214">
        <f>SUM(Q520:Q521)</f>
        <v>0</v>
      </c>
      <c r="R519" s="214">
        <f>SUM(R520:R521)</f>
        <v>42740.3</v>
      </c>
      <c r="S519" s="214">
        <f>SUM(S520:S521)</f>
        <v>42740.3</v>
      </c>
    </row>
    <row r="520" spans="1:19" ht="33" customHeight="1" hidden="1">
      <c r="A520" s="99"/>
      <c r="B520" s="98"/>
      <c r="C520" s="103"/>
      <c r="D520" s="101"/>
      <c r="E520" s="113"/>
      <c r="F520" s="113"/>
      <c r="G520" s="89"/>
      <c r="H520" s="5" t="s">
        <v>720</v>
      </c>
      <c r="I520" s="8">
        <v>663</v>
      </c>
      <c r="J520" s="21">
        <v>7</v>
      </c>
      <c r="K520" s="16">
        <v>2</v>
      </c>
      <c r="L520" s="16">
        <v>91</v>
      </c>
      <c r="M520" s="96" t="s">
        <v>563</v>
      </c>
      <c r="N520" s="96" t="s">
        <v>583</v>
      </c>
      <c r="O520" s="96" t="s">
        <v>323</v>
      </c>
      <c r="P520" s="10">
        <v>240</v>
      </c>
      <c r="Q520" s="214">
        <v>0</v>
      </c>
      <c r="R520" s="214">
        <v>13.5</v>
      </c>
      <c r="S520" s="214">
        <v>13.5</v>
      </c>
    </row>
    <row r="521" spans="1:19" ht="33" customHeight="1" hidden="1">
      <c r="A521" s="99"/>
      <c r="B521" s="98"/>
      <c r="C521" s="103"/>
      <c r="D521" s="101"/>
      <c r="E521" s="113"/>
      <c r="F521" s="113"/>
      <c r="G521" s="89"/>
      <c r="H521" s="5" t="s">
        <v>722</v>
      </c>
      <c r="I521" s="8">
        <v>663</v>
      </c>
      <c r="J521" s="21">
        <v>7</v>
      </c>
      <c r="K521" s="16">
        <v>2</v>
      </c>
      <c r="L521" s="16">
        <v>91</v>
      </c>
      <c r="M521" s="96" t="s">
        <v>563</v>
      </c>
      <c r="N521" s="96" t="s">
        <v>583</v>
      </c>
      <c r="O521" s="96" t="s">
        <v>323</v>
      </c>
      <c r="P521" s="10">
        <v>610</v>
      </c>
      <c r="Q521" s="214">
        <v>0</v>
      </c>
      <c r="R521" s="214">
        <v>42726.8</v>
      </c>
      <c r="S521" s="214">
        <v>42726.8</v>
      </c>
    </row>
    <row r="522" spans="1:19" ht="33" customHeight="1" hidden="1">
      <c r="A522" s="99"/>
      <c r="B522" s="98"/>
      <c r="C522" s="103"/>
      <c r="D522" s="101"/>
      <c r="E522" s="113"/>
      <c r="F522" s="113"/>
      <c r="G522" s="89"/>
      <c r="H522" s="5" t="s">
        <v>333</v>
      </c>
      <c r="I522" s="8">
        <v>663</v>
      </c>
      <c r="J522" s="21">
        <v>7</v>
      </c>
      <c r="K522" s="16">
        <v>2</v>
      </c>
      <c r="L522" s="16">
        <v>91</v>
      </c>
      <c r="M522" s="96" t="s">
        <v>563</v>
      </c>
      <c r="N522" s="96" t="s">
        <v>583</v>
      </c>
      <c r="O522" s="96" t="s">
        <v>332</v>
      </c>
      <c r="P522" s="10"/>
      <c r="Q522" s="214">
        <f>Q523</f>
        <v>0</v>
      </c>
      <c r="R522" s="214">
        <f>R523</f>
        <v>106011.4</v>
      </c>
      <c r="S522" s="214">
        <f>S523</f>
        <v>112281.4</v>
      </c>
    </row>
    <row r="523" spans="1:19" ht="33" customHeight="1" hidden="1">
      <c r="A523" s="99"/>
      <c r="B523" s="98"/>
      <c r="C523" s="103"/>
      <c r="D523" s="101"/>
      <c r="E523" s="113"/>
      <c r="F523" s="113"/>
      <c r="G523" s="89"/>
      <c r="H523" s="5" t="s">
        <v>722</v>
      </c>
      <c r="I523" s="8">
        <v>663</v>
      </c>
      <c r="J523" s="21">
        <v>7</v>
      </c>
      <c r="K523" s="16">
        <v>2</v>
      </c>
      <c r="L523" s="16">
        <v>91</v>
      </c>
      <c r="M523" s="96" t="s">
        <v>563</v>
      </c>
      <c r="N523" s="96" t="s">
        <v>583</v>
      </c>
      <c r="O523" s="96" t="s">
        <v>332</v>
      </c>
      <c r="P523" s="10">
        <v>610</v>
      </c>
      <c r="Q523" s="214">
        <v>0</v>
      </c>
      <c r="R523" s="214">
        <v>106011.4</v>
      </c>
      <c r="S523" s="214">
        <v>112281.4</v>
      </c>
    </row>
    <row r="524" spans="1:19" s="179" customFormat="1" ht="25.5" customHeight="1">
      <c r="A524" s="142"/>
      <c r="B524" s="143"/>
      <c r="C524" s="153"/>
      <c r="D524" s="150"/>
      <c r="E524" s="154"/>
      <c r="F524" s="154"/>
      <c r="G524" s="136"/>
      <c r="H524" s="149" t="s">
        <v>347</v>
      </c>
      <c r="I524" s="152">
        <v>663</v>
      </c>
      <c r="J524" s="156">
        <v>7</v>
      </c>
      <c r="K524" s="139">
        <v>3</v>
      </c>
      <c r="L524" s="139"/>
      <c r="M524" s="141"/>
      <c r="N524" s="141"/>
      <c r="O524" s="141"/>
      <c r="P524" s="138"/>
      <c r="Q524" s="213">
        <f>Q525</f>
        <v>4805.7</v>
      </c>
      <c r="R524" s="213" t="e">
        <f>R525+#REF!</f>
        <v>#REF!</v>
      </c>
      <c r="S524" s="213" t="e">
        <f>S525+#REF!</f>
        <v>#REF!</v>
      </c>
    </row>
    <row r="525" spans="1:19" ht="30.75" customHeight="1">
      <c r="A525" s="97"/>
      <c r="B525" s="98"/>
      <c r="C525" s="103"/>
      <c r="D525" s="101"/>
      <c r="E525" s="113"/>
      <c r="F525" s="113"/>
      <c r="G525" s="89"/>
      <c r="H525" s="5" t="s">
        <v>271</v>
      </c>
      <c r="I525" s="8">
        <v>663</v>
      </c>
      <c r="J525" s="21">
        <v>7</v>
      </c>
      <c r="K525" s="16">
        <v>3</v>
      </c>
      <c r="L525" s="16">
        <v>6</v>
      </c>
      <c r="M525" s="96" t="s">
        <v>563</v>
      </c>
      <c r="N525" s="96" t="s">
        <v>583</v>
      </c>
      <c r="O525" s="96" t="s">
        <v>620</v>
      </c>
      <c r="P525" s="10"/>
      <c r="Q525" s="214">
        <f>Q526+Q533</f>
        <v>4805.7</v>
      </c>
      <c r="R525" s="214"/>
      <c r="S525" s="214"/>
    </row>
    <row r="526" spans="1:19" ht="25.5" customHeight="1">
      <c r="A526" s="99"/>
      <c r="B526" s="98"/>
      <c r="C526" s="103"/>
      <c r="D526" s="101"/>
      <c r="E526" s="113"/>
      <c r="F526" s="113"/>
      <c r="G526" s="89"/>
      <c r="H526" s="5" t="s">
        <v>792</v>
      </c>
      <c r="I526" s="8">
        <v>663</v>
      </c>
      <c r="J526" s="21">
        <v>7</v>
      </c>
      <c r="K526" s="16">
        <v>3</v>
      </c>
      <c r="L526" s="16">
        <v>6</v>
      </c>
      <c r="M526" s="96" t="s">
        <v>563</v>
      </c>
      <c r="N526" s="96" t="s">
        <v>593</v>
      </c>
      <c r="O526" s="96" t="s">
        <v>620</v>
      </c>
      <c r="P526" s="10"/>
      <c r="Q526" s="214">
        <f>Q527+Q529+Q531</f>
        <v>4076.8999999999996</v>
      </c>
      <c r="R526" s="214"/>
      <c r="S526" s="214"/>
    </row>
    <row r="527" spans="1:19" ht="25.5" customHeight="1">
      <c r="A527" s="99"/>
      <c r="B527" s="98"/>
      <c r="C527" s="103"/>
      <c r="D527" s="101"/>
      <c r="E527" s="113"/>
      <c r="F527" s="113"/>
      <c r="G527" s="89"/>
      <c r="H527" s="5" t="s">
        <v>335</v>
      </c>
      <c r="I527" s="8">
        <v>663</v>
      </c>
      <c r="J527" s="21">
        <v>7</v>
      </c>
      <c r="K527" s="16">
        <v>3</v>
      </c>
      <c r="L527" s="16">
        <v>6</v>
      </c>
      <c r="M527" s="96" t="s">
        <v>563</v>
      </c>
      <c r="N527" s="96" t="s">
        <v>593</v>
      </c>
      <c r="O527" s="96" t="s">
        <v>270</v>
      </c>
      <c r="P527" s="10"/>
      <c r="Q527" s="214">
        <f>Q528</f>
        <v>2910.1</v>
      </c>
      <c r="R527" s="214"/>
      <c r="S527" s="214"/>
    </row>
    <row r="528" spans="1:19" ht="25.5" customHeight="1">
      <c r="A528" s="99"/>
      <c r="B528" s="98"/>
      <c r="C528" s="103"/>
      <c r="D528" s="101"/>
      <c r="E528" s="113"/>
      <c r="F528" s="113"/>
      <c r="G528" s="89"/>
      <c r="H528" s="5" t="s">
        <v>722</v>
      </c>
      <c r="I528" s="8">
        <v>663</v>
      </c>
      <c r="J528" s="21">
        <v>7</v>
      </c>
      <c r="K528" s="16">
        <v>3</v>
      </c>
      <c r="L528" s="16">
        <v>6</v>
      </c>
      <c r="M528" s="96" t="s">
        <v>563</v>
      </c>
      <c r="N528" s="96" t="s">
        <v>593</v>
      </c>
      <c r="O528" s="96" t="s">
        <v>270</v>
      </c>
      <c r="P528" s="10">
        <v>610</v>
      </c>
      <c r="Q528" s="214">
        <v>2910.1</v>
      </c>
      <c r="R528" s="214"/>
      <c r="S528" s="214"/>
    </row>
    <row r="529" spans="1:19" ht="39.75" customHeight="1">
      <c r="A529" s="99"/>
      <c r="B529" s="98"/>
      <c r="C529" s="103"/>
      <c r="D529" s="101"/>
      <c r="E529" s="113"/>
      <c r="F529" s="113"/>
      <c r="G529" s="89"/>
      <c r="H529" s="5" t="s">
        <v>61</v>
      </c>
      <c r="I529" s="8">
        <v>663</v>
      </c>
      <c r="J529" s="21">
        <v>7</v>
      </c>
      <c r="K529" s="16">
        <v>3</v>
      </c>
      <c r="L529" s="16">
        <v>6</v>
      </c>
      <c r="M529" s="96" t="s">
        <v>563</v>
      </c>
      <c r="N529" s="96" t="s">
        <v>593</v>
      </c>
      <c r="O529" s="96" t="s">
        <v>60</v>
      </c>
      <c r="P529" s="10"/>
      <c r="Q529" s="214">
        <f>Q530</f>
        <v>1093.1</v>
      </c>
      <c r="R529" s="214">
        <f>R530</f>
        <v>4805.6</v>
      </c>
      <c r="S529" s="214">
        <f>S530</f>
        <v>4805.6</v>
      </c>
    </row>
    <row r="530" spans="1:19" ht="21" customHeight="1">
      <c r="A530" s="99"/>
      <c r="B530" s="98"/>
      <c r="C530" s="103"/>
      <c r="D530" s="101"/>
      <c r="E530" s="113"/>
      <c r="F530" s="113"/>
      <c r="G530" s="89"/>
      <c r="H530" s="5" t="s">
        <v>722</v>
      </c>
      <c r="I530" s="8">
        <v>663</v>
      </c>
      <c r="J530" s="21">
        <v>7</v>
      </c>
      <c r="K530" s="16">
        <v>3</v>
      </c>
      <c r="L530" s="16">
        <v>6</v>
      </c>
      <c r="M530" s="96" t="s">
        <v>563</v>
      </c>
      <c r="N530" s="96" t="s">
        <v>593</v>
      </c>
      <c r="O530" s="96" t="s">
        <v>60</v>
      </c>
      <c r="P530" s="10">
        <v>610</v>
      </c>
      <c r="Q530" s="214">
        <f>895.5+197.6</f>
        <v>1093.1</v>
      </c>
      <c r="R530" s="216">
        <v>4805.6</v>
      </c>
      <c r="S530" s="216">
        <v>4805.6</v>
      </c>
    </row>
    <row r="531" spans="1:19" ht="21" customHeight="1">
      <c r="A531" s="99"/>
      <c r="B531" s="98"/>
      <c r="C531" s="103"/>
      <c r="D531" s="101"/>
      <c r="E531" s="113"/>
      <c r="F531" s="113"/>
      <c r="G531" s="89"/>
      <c r="H531" s="5" t="s">
        <v>232</v>
      </c>
      <c r="I531" s="8">
        <v>663</v>
      </c>
      <c r="J531" s="21">
        <v>7</v>
      </c>
      <c r="K531" s="16">
        <v>3</v>
      </c>
      <c r="L531" s="16">
        <v>6</v>
      </c>
      <c r="M531" s="96" t="s">
        <v>563</v>
      </c>
      <c r="N531" s="96" t="s">
        <v>593</v>
      </c>
      <c r="O531" s="96" t="s">
        <v>231</v>
      </c>
      <c r="P531" s="10"/>
      <c r="Q531" s="214">
        <f>Q532</f>
        <v>73.7</v>
      </c>
      <c r="R531" s="216"/>
      <c r="S531" s="216"/>
    </row>
    <row r="532" spans="1:19" ht="21" customHeight="1">
      <c r="A532" s="99"/>
      <c r="B532" s="98"/>
      <c r="C532" s="103"/>
      <c r="D532" s="101"/>
      <c r="E532" s="113"/>
      <c r="F532" s="113"/>
      <c r="G532" s="89"/>
      <c r="H532" s="5" t="s">
        <v>722</v>
      </c>
      <c r="I532" s="8">
        <v>663</v>
      </c>
      <c r="J532" s="21">
        <v>7</v>
      </c>
      <c r="K532" s="16">
        <v>3</v>
      </c>
      <c r="L532" s="16">
        <v>6</v>
      </c>
      <c r="M532" s="96" t="s">
        <v>563</v>
      </c>
      <c r="N532" s="96" t="s">
        <v>593</v>
      </c>
      <c r="O532" s="96" t="s">
        <v>231</v>
      </c>
      <c r="P532" s="10">
        <v>610</v>
      </c>
      <c r="Q532" s="214">
        <v>73.7</v>
      </c>
      <c r="R532" s="216"/>
      <c r="S532" s="216"/>
    </row>
    <row r="533" spans="1:19" ht="21" customHeight="1">
      <c r="A533" s="99"/>
      <c r="B533" s="98"/>
      <c r="C533" s="103"/>
      <c r="D533" s="101"/>
      <c r="E533" s="113"/>
      <c r="F533" s="113"/>
      <c r="G533" s="89"/>
      <c r="H533" s="5" t="s">
        <v>126</v>
      </c>
      <c r="I533" s="8">
        <v>663</v>
      </c>
      <c r="J533" s="21">
        <v>7</v>
      </c>
      <c r="K533" s="16">
        <v>3</v>
      </c>
      <c r="L533" s="16">
        <v>6</v>
      </c>
      <c r="M533" s="96" t="s">
        <v>563</v>
      </c>
      <c r="N533" s="96" t="s">
        <v>80</v>
      </c>
      <c r="O533" s="96" t="s">
        <v>620</v>
      </c>
      <c r="P533" s="10"/>
      <c r="Q533" s="214">
        <f>Q534</f>
        <v>728.8</v>
      </c>
      <c r="R533" s="216"/>
      <c r="S533" s="216"/>
    </row>
    <row r="534" spans="1:19" ht="33.75" customHeight="1">
      <c r="A534" s="99"/>
      <c r="B534" s="98"/>
      <c r="C534" s="103"/>
      <c r="D534" s="101"/>
      <c r="E534" s="113"/>
      <c r="F534" s="113"/>
      <c r="G534" s="89"/>
      <c r="H534" s="5" t="s">
        <v>131</v>
      </c>
      <c r="I534" s="8">
        <v>663</v>
      </c>
      <c r="J534" s="21">
        <v>7</v>
      </c>
      <c r="K534" s="16">
        <v>3</v>
      </c>
      <c r="L534" s="16">
        <v>6</v>
      </c>
      <c r="M534" s="96" t="s">
        <v>563</v>
      </c>
      <c r="N534" s="96" t="s">
        <v>80</v>
      </c>
      <c r="O534" s="96" t="s">
        <v>81</v>
      </c>
      <c r="P534" s="6"/>
      <c r="Q534" s="216">
        <v>728.8</v>
      </c>
      <c r="R534" s="216"/>
      <c r="S534" s="216"/>
    </row>
    <row r="535" spans="1:19" ht="21" customHeight="1">
      <c r="A535" s="99"/>
      <c r="B535" s="98"/>
      <c r="C535" s="103"/>
      <c r="D535" s="101"/>
      <c r="E535" s="113"/>
      <c r="F535" s="113"/>
      <c r="G535" s="89"/>
      <c r="H535" s="5" t="s">
        <v>722</v>
      </c>
      <c r="I535" s="8">
        <v>663</v>
      </c>
      <c r="J535" s="21">
        <v>7</v>
      </c>
      <c r="K535" s="16">
        <v>3</v>
      </c>
      <c r="L535" s="16">
        <v>6</v>
      </c>
      <c r="M535" s="96" t="s">
        <v>563</v>
      </c>
      <c r="N535" s="96" t="s">
        <v>80</v>
      </c>
      <c r="O535" s="96" t="s">
        <v>81</v>
      </c>
      <c r="P535" s="6">
        <v>610</v>
      </c>
      <c r="Q535" s="216">
        <v>728.8</v>
      </c>
      <c r="R535" s="216"/>
      <c r="S535" s="216"/>
    </row>
    <row r="536" spans="1:19" s="179" customFormat="1" ht="24.75" customHeight="1">
      <c r="A536" s="142"/>
      <c r="B536" s="143"/>
      <c r="C536" s="153"/>
      <c r="D536" s="150"/>
      <c r="E536" s="154"/>
      <c r="F536" s="154"/>
      <c r="G536" s="136"/>
      <c r="H536" s="149" t="s">
        <v>543</v>
      </c>
      <c r="I536" s="152">
        <v>663</v>
      </c>
      <c r="J536" s="156">
        <v>7</v>
      </c>
      <c r="K536" s="139">
        <v>9</v>
      </c>
      <c r="L536" s="140"/>
      <c r="M536" s="141"/>
      <c r="N536" s="141"/>
      <c r="O536" s="141"/>
      <c r="P536" s="146"/>
      <c r="Q536" s="217">
        <f>Q537+Q578+Q589+Q573</f>
        <v>17071.4</v>
      </c>
      <c r="R536" s="217">
        <f>R537+R578+R589</f>
        <v>19980.300000000003</v>
      </c>
      <c r="S536" s="217">
        <f>S537+S578+S589</f>
        <v>31111.500000000004</v>
      </c>
    </row>
    <row r="537" spans="1:19" ht="30.75" customHeight="1">
      <c r="A537" s="99"/>
      <c r="B537" s="98"/>
      <c r="C537" s="103"/>
      <c r="D537" s="101"/>
      <c r="E537" s="104"/>
      <c r="F537" s="104"/>
      <c r="G537" s="89"/>
      <c r="H537" s="253" t="s">
        <v>271</v>
      </c>
      <c r="I537" s="10">
        <v>663</v>
      </c>
      <c r="J537" s="16">
        <v>7</v>
      </c>
      <c r="K537" s="16">
        <v>9</v>
      </c>
      <c r="L537" s="95" t="s">
        <v>595</v>
      </c>
      <c r="M537" s="96" t="s">
        <v>563</v>
      </c>
      <c r="N537" s="96" t="s">
        <v>583</v>
      </c>
      <c r="O537" s="96" t="s">
        <v>620</v>
      </c>
      <c r="P537" s="10"/>
      <c r="Q537" s="214">
        <f>Q538+Q543+Q551+Q557+Q562</f>
        <v>16894.4</v>
      </c>
      <c r="R537" s="214"/>
      <c r="S537" s="214"/>
    </row>
    <row r="538" spans="1:19" ht="32.25" customHeight="1">
      <c r="A538" s="99"/>
      <c r="B538" s="98"/>
      <c r="C538" s="103"/>
      <c r="D538" s="101"/>
      <c r="E538" s="104"/>
      <c r="F538" s="104"/>
      <c r="G538" s="89"/>
      <c r="H538" s="254" t="s">
        <v>656</v>
      </c>
      <c r="I538" s="10">
        <v>663</v>
      </c>
      <c r="J538" s="16">
        <v>7</v>
      </c>
      <c r="K538" s="16">
        <v>9</v>
      </c>
      <c r="L538" s="95" t="s">
        <v>595</v>
      </c>
      <c r="M538" s="96" t="s">
        <v>563</v>
      </c>
      <c r="N538" s="96" t="s">
        <v>564</v>
      </c>
      <c r="O538" s="96" t="s">
        <v>620</v>
      </c>
      <c r="P538" s="10" t="s">
        <v>621</v>
      </c>
      <c r="Q538" s="214">
        <f>Q539+Q541</f>
        <v>117.3</v>
      </c>
      <c r="R538" s="214"/>
      <c r="S538" s="214"/>
    </row>
    <row r="539" spans="1:19" ht="32.25" customHeight="1">
      <c r="A539" s="99"/>
      <c r="B539" s="98"/>
      <c r="C539" s="103"/>
      <c r="D539" s="101"/>
      <c r="E539" s="104"/>
      <c r="F539" s="104"/>
      <c r="G539" s="89"/>
      <c r="H539" s="258" t="s">
        <v>342</v>
      </c>
      <c r="I539" s="10">
        <v>663</v>
      </c>
      <c r="J539" s="16">
        <v>7</v>
      </c>
      <c r="K539" s="16">
        <v>9</v>
      </c>
      <c r="L539" s="95" t="s">
        <v>595</v>
      </c>
      <c r="M539" s="96" t="s">
        <v>563</v>
      </c>
      <c r="N539" s="96" t="s">
        <v>564</v>
      </c>
      <c r="O539" s="96" t="s">
        <v>648</v>
      </c>
      <c r="P539" s="10"/>
      <c r="Q539" s="214">
        <f>Q540</f>
        <v>15</v>
      </c>
      <c r="R539" s="214"/>
      <c r="S539" s="214"/>
    </row>
    <row r="540" spans="1:19" ht="32.25" customHeight="1">
      <c r="A540" s="99"/>
      <c r="B540" s="98"/>
      <c r="C540" s="103"/>
      <c r="D540" s="101"/>
      <c r="E540" s="104"/>
      <c r="F540" s="104"/>
      <c r="G540" s="89"/>
      <c r="H540" s="258" t="s">
        <v>720</v>
      </c>
      <c r="I540" s="10">
        <v>663</v>
      </c>
      <c r="J540" s="16">
        <v>7</v>
      </c>
      <c r="K540" s="16">
        <v>9</v>
      </c>
      <c r="L540" s="95" t="s">
        <v>595</v>
      </c>
      <c r="M540" s="96" t="s">
        <v>563</v>
      </c>
      <c r="N540" s="96" t="s">
        <v>564</v>
      </c>
      <c r="O540" s="96" t="s">
        <v>648</v>
      </c>
      <c r="P540" s="10">
        <v>240</v>
      </c>
      <c r="Q540" s="214">
        <v>15</v>
      </c>
      <c r="R540" s="214"/>
      <c r="S540" s="214"/>
    </row>
    <row r="541" spans="1:19" ht="39" customHeight="1">
      <c r="A541" s="99"/>
      <c r="B541" s="98"/>
      <c r="C541" s="103"/>
      <c r="D541" s="101"/>
      <c r="E541" s="104"/>
      <c r="F541" s="104"/>
      <c r="G541" s="89"/>
      <c r="H541" s="22" t="s">
        <v>330</v>
      </c>
      <c r="I541" s="10">
        <v>663</v>
      </c>
      <c r="J541" s="16">
        <v>7</v>
      </c>
      <c r="K541" s="16">
        <v>9</v>
      </c>
      <c r="L541" s="95" t="s">
        <v>595</v>
      </c>
      <c r="M541" s="96" t="s">
        <v>563</v>
      </c>
      <c r="N541" s="96" t="s">
        <v>564</v>
      </c>
      <c r="O541" s="96" t="s">
        <v>329</v>
      </c>
      <c r="P541" s="10"/>
      <c r="Q541" s="214">
        <f>Q542</f>
        <v>102.3</v>
      </c>
      <c r="R541" s="214"/>
      <c r="S541" s="214"/>
    </row>
    <row r="542" spans="1:19" ht="33" customHeight="1">
      <c r="A542" s="99"/>
      <c r="B542" s="98"/>
      <c r="C542" s="103"/>
      <c r="D542" s="101"/>
      <c r="E542" s="104"/>
      <c r="F542" s="104"/>
      <c r="G542" s="89"/>
      <c r="H542" s="5" t="s">
        <v>722</v>
      </c>
      <c r="I542" s="10">
        <v>663</v>
      </c>
      <c r="J542" s="16">
        <v>7</v>
      </c>
      <c r="K542" s="16">
        <v>9</v>
      </c>
      <c r="L542" s="95" t="s">
        <v>595</v>
      </c>
      <c r="M542" s="96" t="s">
        <v>563</v>
      </c>
      <c r="N542" s="96" t="s">
        <v>564</v>
      </c>
      <c r="O542" s="96" t="s">
        <v>329</v>
      </c>
      <c r="P542" s="10">
        <v>610</v>
      </c>
      <c r="Q542" s="214">
        <v>102.3</v>
      </c>
      <c r="R542" s="214"/>
      <c r="S542" s="214"/>
    </row>
    <row r="543" spans="1:19" ht="29.25" customHeight="1">
      <c r="A543" s="99"/>
      <c r="B543" s="98"/>
      <c r="C543" s="103"/>
      <c r="D543" s="101"/>
      <c r="E543" s="104"/>
      <c r="F543" s="104"/>
      <c r="G543" s="89"/>
      <c r="H543" s="18" t="s">
        <v>657</v>
      </c>
      <c r="I543" s="10">
        <v>663</v>
      </c>
      <c r="J543" s="16">
        <v>7</v>
      </c>
      <c r="K543" s="16">
        <v>9</v>
      </c>
      <c r="L543" s="95" t="s">
        <v>595</v>
      </c>
      <c r="M543" s="96" t="s">
        <v>563</v>
      </c>
      <c r="N543" s="96" t="s">
        <v>592</v>
      </c>
      <c r="O543" s="96" t="s">
        <v>620</v>
      </c>
      <c r="P543" s="10" t="s">
        <v>621</v>
      </c>
      <c r="Q543" s="214">
        <f>Q544+Q548+Q546</f>
        <v>10362.5</v>
      </c>
      <c r="R543" s="214"/>
      <c r="S543" s="214"/>
    </row>
    <row r="544" spans="1:19" ht="29.25" customHeight="1">
      <c r="A544" s="99"/>
      <c r="B544" s="98"/>
      <c r="C544" s="103"/>
      <c r="D544" s="101"/>
      <c r="E544" s="104"/>
      <c r="F544" s="104"/>
      <c r="G544" s="89"/>
      <c r="H544" s="22" t="s">
        <v>342</v>
      </c>
      <c r="I544" s="10">
        <v>663</v>
      </c>
      <c r="J544" s="16">
        <v>7</v>
      </c>
      <c r="K544" s="16">
        <v>9</v>
      </c>
      <c r="L544" s="95" t="s">
        <v>595</v>
      </c>
      <c r="M544" s="96" t="s">
        <v>563</v>
      </c>
      <c r="N544" s="96" t="s">
        <v>592</v>
      </c>
      <c r="O544" s="96" t="s">
        <v>648</v>
      </c>
      <c r="P544" s="10"/>
      <c r="Q544" s="214">
        <f>Q545</f>
        <v>50</v>
      </c>
      <c r="R544" s="214"/>
      <c r="S544" s="214"/>
    </row>
    <row r="545" spans="1:19" ht="29.25" customHeight="1">
      <c r="A545" s="99"/>
      <c r="B545" s="98"/>
      <c r="C545" s="103"/>
      <c r="D545" s="101"/>
      <c r="E545" s="104"/>
      <c r="F545" s="104"/>
      <c r="G545" s="89"/>
      <c r="H545" s="22" t="s">
        <v>720</v>
      </c>
      <c r="I545" s="10">
        <v>663</v>
      </c>
      <c r="J545" s="16">
        <v>7</v>
      </c>
      <c r="K545" s="16">
        <v>9</v>
      </c>
      <c r="L545" s="95" t="s">
        <v>595</v>
      </c>
      <c r="M545" s="96" t="s">
        <v>563</v>
      </c>
      <c r="N545" s="96" t="s">
        <v>592</v>
      </c>
      <c r="O545" s="96" t="s">
        <v>648</v>
      </c>
      <c r="P545" s="10">
        <v>240</v>
      </c>
      <c r="Q545" s="214">
        <f>51-1</f>
        <v>50</v>
      </c>
      <c r="R545" s="214"/>
      <c r="S545" s="214"/>
    </row>
    <row r="546" spans="1:19" ht="35.25" customHeight="1">
      <c r="A546" s="99"/>
      <c r="B546" s="98"/>
      <c r="C546" s="103"/>
      <c r="D546" s="101"/>
      <c r="E546" s="104"/>
      <c r="F546" s="104"/>
      <c r="G546" s="89"/>
      <c r="H546" s="259" t="s">
        <v>501</v>
      </c>
      <c r="I546" s="10">
        <v>663</v>
      </c>
      <c r="J546" s="16">
        <v>7</v>
      </c>
      <c r="K546" s="16">
        <v>9</v>
      </c>
      <c r="L546" s="95" t="s">
        <v>595</v>
      </c>
      <c r="M546" s="96" t="s">
        <v>563</v>
      </c>
      <c r="N546" s="96" t="s">
        <v>592</v>
      </c>
      <c r="O546" s="96" t="s">
        <v>300</v>
      </c>
      <c r="P546" s="10"/>
      <c r="Q546" s="214">
        <f>Q547</f>
        <v>6</v>
      </c>
      <c r="R546" s="214"/>
      <c r="S546" s="214"/>
    </row>
    <row r="547" spans="1:19" ht="29.25" customHeight="1">
      <c r="A547" s="99"/>
      <c r="B547" s="98"/>
      <c r="C547" s="103"/>
      <c r="D547" s="101"/>
      <c r="E547" s="104"/>
      <c r="F547" s="104"/>
      <c r="G547" s="89"/>
      <c r="H547" s="259" t="s">
        <v>723</v>
      </c>
      <c r="I547" s="10">
        <v>663</v>
      </c>
      <c r="J547" s="16">
        <v>7</v>
      </c>
      <c r="K547" s="16">
        <v>9</v>
      </c>
      <c r="L547" s="95" t="s">
        <v>595</v>
      </c>
      <c r="M547" s="96" t="s">
        <v>563</v>
      </c>
      <c r="N547" s="96" t="s">
        <v>592</v>
      </c>
      <c r="O547" s="96" t="s">
        <v>300</v>
      </c>
      <c r="P547" s="10">
        <v>110</v>
      </c>
      <c r="Q547" s="214">
        <f>5.5+0.5</f>
        <v>6</v>
      </c>
      <c r="R547" s="214"/>
      <c r="S547" s="214"/>
    </row>
    <row r="548" spans="1:19" ht="39" customHeight="1">
      <c r="A548" s="99"/>
      <c r="B548" s="98"/>
      <c r="C548" s="103"/>
      <c r="D548" s="101"/>
      <c r="E548" s="104"/>
      <c r="F548" s="104"/>
      <c r="G548" s="89"/>
      <c r="H548" s="22" t="s">
        <v>330</v>
      </c>
      <c r="I548" s="10">
        <v>663</v>
      </c>
      <c r="J548" s="16">
        <v>7</v>
      </c>
      <c r="K548" s="16">
        <v>9</v>
      </c>
      <c r="L548" s="95" t="s">
        <v>595</v>
      </c>
      <c r="M548" s="96" t="s">
        <v>563</v>
      </c>
      <c r="N548" s="96" t="s">
        <v>592</v>
      </c>
      <c r="O548" s="96" t="s">
        <v>329</v>
      </c>
      <c r="P548" s="10"/>
      <c r="Q548" s="214">
        <f>Q549+Q550</f>
        <v>10306.5</v>
      </c>
      <c r="R548" s="214"/>
      <c r="S548" s="214"/>
    </row>
    <row r="549" spans="1:19" ht="33" customHeight="1">
      <c r="A549" s="99"/>
      <c r="B549" s="98"/>
      <c r="C549" s="103"/>
      <c r="D549" s="101"/>
      <c r="E549" s="104"/>
      <c r="F549" s="104"/>
      <c r="G549" s="89"/>
      <c r="H549" s="22" t="s">
        <v>725</v>
      </c>
      <c r="I549" s="10">
        <v>663</v>
      </c>
      <c r="J549" s="16">
        <v>7</v>
      </c>
      <c r="K549" s="16">
        <v>9</v>
      </c>
      <c r="L549" s="95" t="s">
        <v>595</v>
      </c>
      <c r="M549" s="96" t="s">
        <v>563</v>
      </c>
      <c r="N549" s="96" t="s">
        <v>592</v>
      </c>
      <c r="O549" s="96" t="s">
        <v>329</v>
      </c>
      <c r="P549" s="10">
        <v>320</v>
      </c>
      <c r="Q549" s="214">
        <v>1956.6</v>
      </c>
      <c r="R549" s="214"/>
      <c r="S549" s="214"/>
    </row>
    <row r="550" spans="1:19" ht="33" customHeight="1">
      <c r="A550" s="99"/>
      <c r="B550" s="98"/>
      <c r="C550" s="103"/>
      <c r="D550" s="101"/>
      <c r="E550" s="104"/>
      <c r="F550" s="104"/>
      <c r="G550" s="89"/>
      <c r="H550" s="5" t="s">
        <v>722</v>
      </c>
      <c r="I550" s="10">
        <v>663</v>
      </c>
      <c r="J550" s="16">
        <v>7</v>
      </c>
      <c r="K550" s="16">
        <v>9</v>
      </c>
      <c r="L550" s="95" t="s">
        <v>595</v>
      </c>
      <c r="M550" s="96" t="s">
        <v>563</v>
      </c>
      <c r="N550" s="96" t="s">
        <v>592</v>
      </c>
      <c r="O550" s="96" t="s">
        <v>329</v>
      </c>
      <c r="P550" s="10">
        <v>610</v>
      </c>
      <c r="Q550" s="214">
        <f>7298.8+1051.1</f>
        <v>8349.9</v>
      </c>
      <c r="R550" s="214"/>
      <c r="S550" s="214"/>
    </row>
    <row r="551" spans="1:19" ht="27" customHeight="1">
      <c r="A551" s="99"/>
      <c r="B551" s="98"/>
      <c r="C551" s="103"/>
      <c r="D551" s="101"/>
      <c r="E551" s="104"/>
      <c r="F551" s="104"/>
      <c r="G551" s="89"/>
      <c r="H551" s="11" t="s">
        <v>792</v>
      </c>
      <c r="I551" s="10">
        <v>663</v>
      </c>
      <c r="J551" s="16">
        <v>7</v>
      </c>
      <c r="K551" s="16">
        <v>9</v>
      </c>
      <c r="L551" s="95" t="s">
        <v>595</v>
      </c>
      <c r="M551" s="96" t="s">
        <v>563</v>
      </c>
      <c r="N551" s="96" t="s">
        <v>593</v>
      </c>
      <c r="O551" s="96" t="s">
        <v>620</v>
      </c>
      <c r="P551" s="10"/>
      <c r="Q551" s="214">
        <f>Q552+Q555</f>
        <v>1582</v>
      </c>
      <c r="R551" s="214"/>
      <c r="S551" s="214"/>
    </row>
    <row r="552" spans="1:19" ht="18" customHeight="1">
      <c r="A552" s="99"/>
      <c r="B552" s="98"/>
      <c r="C552" s="103"/>
      <c r="D552" s="101"/>
      <c r="E552" s="104"/>
      <c r="F552" s="104"/>
      <c r="G552" s="89"/>
      <c r="H552" s="11" t="s">
        <v>342</v>
      </c>
      <c r="I552" s="10">
        <v>663</v>
      </c>
      <c r="J552" s="16">
        <v>7</v>
      </c>
      <c r="K552" s="16">
        <v>9</v>
      </c>
      <c r="L552" s="95" t="s">
        <v>595</v>
      </c>
      <c r="M552" s="96" t="s">
        <v>563</v>
      </c>
      <c r="N552" s="96" t="s">
        <v>593</v>
      </c>
      <c r="O552" s="96" t="s">
        <v>648</v>
      </c>
      <c r="P552" s="10"/>
      <c r="Q552" s="214">
        <f>Q554+Q553</f>
        <v>1577</v>
      </c>
      <c r="R552" s="214"/>
      <c r="S552" s="214"/>
    </row>
    <row r="553" spans="1:19" ht="18" customHeight="1">
      <c r="A553" s="99"/>
      <c r="B553" s="98"/>
      <c r="C553" s="103"/>
      <c r="D553" s="101"/>
      <c r="E553" s="104"/>
      <c r="F553" s="104"/>
      <c r="G553" s="89"/>
      <c r="H553" s="22" t="s">
        <v>720</v>
      </c>
      <c r="I553" s="10">
        <v>663</v>
      </c>
      <c r="J553" s="16">
        <v>7</v>
      </c>
      <c r="K553" s="16">
        <v>9</v>
      </c>
      <c r="L553" s="95" t="s">
        <v>595</v>
      </c>
      <c r="M553" s="96" t="s">
        <v>563</v>
      </c>
      <c r="N553" s="96" t="s">
        <v>593</v>
      </c>
      <c r="O553" s="96" t="s">
        <v>648</v>
      </c>
      <c r="P553" s="10">
        <v>240</v>
      </c>
      <c r="Q553" s="214">
        <v>70</v>
      </c>
      <c r="R553" s="214"/>
      <c r="S553" s="214"/>
    </row>
    <row r="554" spans="1:19" ht="37.5" customHeight="1">
      <c r="A554" s="99"/>
      <c r="B554" s="98"/>
      <c r="C554" s="103"/>
      <c r="D554" s="101"/>
      <c r="E554" s="104"/>
      <c r="F554" s="104"/>
      <c r="G554" s="89"/>
      <c r="H554" s="11" t="s">
        <v>210</v>
      </c>
      <c r="I554" s="10">
        <v>663</v>
      </c>
      <c r="J554" s="16">
        <v>7</v>
      </c>
      <c r="K554" s="16">
        <v>9</v>
      </c>
      <c r="L554" s="95" t="s">
        <v>595</v>
      </c>
      <c r="M554" s="96" t="s">
        <v>563</v>
      </c>
      <c r="N554" s="96" t="s">
        <v>593</v>
      </c>
      <c r="O554" s="96" t="s">
        <v>648</v>
      </c>
      <c r="P554" s="10">
        <v>630</v>
      </c>
      <c r="Q554" s="214">
        <v>1507</v>
      </c>
      <c r="R554" s="214"/>
      <c r="S554" s="214"/>
    </row>
    <row r="555" spans="1:19" ht="39" customHeight="1">
      <c r="A555" s="99"/>
      <c r="B555" s="98"/>
      <c r="C555" s="103"/>
      <c r="D555" s="101"/>
      <c r="E555" s="104"/>
      <c r="F555" s="104"/>
      <c r="G555" s="89"/>
      <c r="H555" s="11" t="s">
        <v>327</v>
      </c>
      <c r="I555" s="10">
        <v>663</v>
      </c>
      <c r="J555" s="16">
        <v>7</v>
      </c>
      <c r="K555" s="16">
        <v>9</v>
      </c>
      <c r="L555" s="95" t="s">
        <v>595</v>
      </c>
      <c r="M555" s="96" t="s">
        <v>563</v>
      </c>
      <c r="N555" s="96" t="s">
        <v>593</v>
      </c>
      <c r="O555" s="96" t="s">
        <v>300</v>
      </c>
      <c r="P555" s="10"/>
      <c r="Q555" s="214">
        <f>Q556</f>
        <v>5</v>
      </c>
      <c r="R555" s="214"/>
      <c r="S555" s="214"/>
    </row>
    <row r="556" spans="1:19" ht="24.75" customHeight="1">
      <c r="A556" s="99"/>
      <c r="B556" s="98"/>
      <c r="C556" s="103"/>
      <c r="D556" s="101"/>
      <c r="E556" s="104"/>
      <c r="F556" s="104"/>
      <c r="G556" s="89"/>
      <c r="H556" s="11" t="s">
        <v>720</v>
      </c>
      <c r="I556" s="10">
        <v>663</v>
      </c>
      <c r="J556" s="16">
        <v>7</v>
      </c>
      <c r="K556" s="16">
        <v>9</v>
      </c>
      <c r="L556" s="95" t="s">
        <v>595</v>
      </c>
      <c r="M556" s="96" t="s">
        <v>563</v>
      </c>
      <c r="N556" s="96" t="s">
        <v>593</v>
      </c>
      <c r="O556" s="96" t="s">
        <v>300</v>
      </c>
      <c r="P556" s="10">
        <v>240</v>
      </c>
      <c r="Q556" s="214">
        <f>75-70</f>
        <v>5</v>
      </c>
      <c r="R556" s="214"/>
      <c r="S556" s="214"/>
    </row>
    <row r="557" spans="1:19" ht="28.5" customHeight="1">
      <c r="A557" s="99"/>
      <c r="B557" s="98"/>
      <c r="C557" s="103"/>
      <c r="D557" s="101"/>
      <c r="E557" s="104"/>
      <c r="F557" s="104"/>
      <c r="G557" s="89"/>
      <c r="H557" s="22" t="s">
        <v>658</v>
      </c>
      <c r="I557" s="10">
        <v>663</v>
      </c>
      <c r="J557" s="16">
        <v>7</v>
      </c>
      <c r="K557" s="16">
        <v>9</v>
      </c>
      <c r="L557" s="95" t="s">
        <v>595</v>
      </c>
      <c r="M557" s="96" t="s">
        <v>563</v>
      </c>
      <c r="N557" s="96" t="s">
        <v>588</v>
      </c>
      <c r="O557" s="96" t="s">
        <v>620</v>
      </c>
      <c r="P557" s="10"/>
      <c r="Q557" s="214">
        <f>Q558+Q560</f>
        <v>41.5</v>
      </c>
      <c r="R557" s="214"/>
      <c r="S557" s="214"/>
    </row>
    <row r="558" spans="1:19" ht="28.5" customHeight="1">
      <c r="A558" s="99"/>
      <c r="B558" s="98"/>
      <c r="C558" s="103"/>
      <c r="D558" s="101"/>
      <c r="E558" s="104"/>
      <c r="F558" s="104"/>
      <c r="G558" s="89"/>
      <c r="H558" s="22" t="s">
        <v>342</v>
      </c>
      <c r="I558" s="10">
        <v>663</v>
      </c>
      <c r="J558" s="16">
        <v>7</v>
      </c>
      <c r="K558" s="16">
        <v>9</v>
      </c>
      <c r="L558" s="95" t="s">
        <v>595</v>
      </c>
      <c r="M558" s="96" t="s">
        <v>563</v>
      </c>
      <c r="N558" s="96" t="s">
        <v>588</v>
      </c>
      <c r="O558" s="96" t="s">
        <v>648</v>
      </c>
      <c r="P558" s="10"/>
      <c r="Q558" s="214">
        <f>Q559</f>
        <v>41.5</v>
      </c>
      <c r="R558" s="214"/>
      <c r="S558" s="214"/>
    </row>
    <row r="559" spans="1:19" ht="28.5" customHeight="1">
      <c r="A559" s="99"/>
      <c r="B559" s="98"/>
      <c r="C559" s="103"/>
      <c r="D559" s="101"/>
      <c r="E559" s="104"/>
      <c r="F559" s="104"/>
      <c r="G559" s="89"/>
      <c r="H559" s="22" t="s">
        <v>720</v>
      </c>
      <c r="I559" s="10">
        <v>663</v>
      </c>
      <c r="J559" s="16">
        <v>7</v>
      </c>
      <c r="K559" s="16">
        <v>9</v>
      </c>
      <c r="L559" s="95" t="s">
        <v>595</v>
      </c>
      <c r="M559" s="96" t="s">
        <v>563</v>
      </c>
      <c r="N559" s="96" t="s">
        <v>588</v>
      </c>
      <c r="O559" s="96" t="s">
        <v>648</v>
      </c>
      <c r="P559" s="10">
        <v>240</v>
      </c>
      <c r="Q559" s="214">
        <f>11.5+30</f>
        <v>41.5</v>
      </c>
      <c r="R559" s="214"/>
      <c r="S559" s="214"/>
    </row>
    <row r="560" spans="1:19" ht="41.25" customHeight="1" hidden="1">
      <c r="A560" s="99"/>
      <c r="B560" s="98"/>
      <c r="C560" s="103"/>
      <c r="D560" s="101"/>
      <c r="E560" s="104"/>
      <c r="F560" s="104"/>
      <c r="G560" s="89"/>
      <c r="H560" s="22" t="s">
        <v>501</v>
      </c>
      <c r="I560" s="10">
        <v>663</v>
      </c>
      <c r="J560" s="16">
        <v>7</v>
      </c>
      <c r="K560" s="16">
        <v>9</v>
      </c>
      <c r="L560" s="95" t="s">
        <v>595</v>
      </c>
      <c r="M560" s="96" t="s">
        <v>563</v>
      </c>
      <c r="N560" s="96" t="s">
        <v>588</v>
      </c>
      <c r="O560" s="96" t="s">
        <v>300</v>
      </c>
      <c r="P560" s="10"/>
      <c r="Q560" s="214">
        <f>Q561</f>
        <v>0</v>
      </c>
      <c r="R560" s="214"/>
      <c r="S560" s="214"/>
    </row>
    <row r="561" spans="1:19" ht="30" customHeight="1" hidden="1">
      <c r="A561" s="99"/>
      <c r="B561" s="98"/>
      <c r="C561" s="103"/>
      <c r="D561" s="101"/>
      <c r="E561" s="104"/>
      <c r="F561" s="104"/>
      <c r="G561" s="89"/>
      <c r="H561" s="22" t="s">
        <v>720</v>
      </c>
      <c r="I561" s="10">
        <v>663</v>
      </c>
      <c r="J561" s="16">
        <v>7</v>
      </c>
      <c r="K561" s="16">
        <v>9</v>
      </c>
      <c r="L561" s="95" t="s">
        <v>595</v>
      </c>
      <c r="M561" s="96" t="s">
        <v>563</v>
      </c>
      <c r="N561" s="96" t="s">
        <v>588</v>
      </c>
      <c r="O561" s="96" t="s">
        <v>300</v>
      </c>
      <c r="P561" s="10">
        <v>240</v>
      </c>
      <c r="Q561" s="214">
        <f>30-30</f>
        <v>0</v>
      </c>
      <c r="R561" s="214"/>
      <c r="S561" s="214"/>
    </row>
    <row r="562" spans="1:19" ht="29.25" customHeight="1">
      <c r="A562" s="99"/>
      <c r="B562" s="98"/>
      <c r="C562" s="103"/>
      <c r="D562" s="101"/>
      <c r="E562" s="104"/>
      <c r="F562" s="104"/>
      <c r="G562" s="89"/>
      <c r="H562" s="22" t="s">
        <v>14</v>
      </c>
      <c r="I562" s="10">
        <v>663</v>
      </c>
      <c r="J562" s="16">
        <v>7</v>
      </c>
      <c r="K562" s="16">
        <v>9</v>
      </c>
      <c r="L562" s="95" t="s">
        <v>595</v>
      </c>
      <c r="M562" s="96" t="s">
        <v>563</v>
      </c>
      <c r="N562" s="96" t="s">
        <v>595</v>
      </c>
      <c r="O562" s="96" t="s">
        <v>620</v>
      </c>
      <c r="P562" s="10"/>
      <c r="Q562" s="214">
        <f>Q563+Q569+Q567</f>
        <v>4791.1</v>
      </c>
      <c r="R562" s="214"/>
      <c r="S562" s="214"/>
    </row>
    <row r="563" spans="1:19" ht="27" customHeight="1">
      <c r="A563" s="99"/>
      <c r="B563" s="98"/>
      <c r="C563" s="103"/>
      <c r="D563" s="101"/>
      <c r="E563" s="104"/>
      <c r="F563" s="104"/>
      <c r="G563" s="89"/>
      <c r="H563" s="22" t="s">
        <v>342</v>
      </c>
      <c r="I563" s="10">
        <v>663</v>
      </c>
      <c r="J563" s="16">
        <v>7</v>
      </c>
      <c r="K563" s="16">
        <v>9</v>
      </c>
      <c r="L563" s="95" t="s">
        <v>595</v>
      </c>
      <c r="M563" s="96" t="s">
        <v>563</v>
      </c>
      <c r="N563" s="96" t="s">
        <v>595</v>
      </c>
      <c r="O563" s="96" t="s">
        <v>648</v>
      </c>
      <c r="P563" s="10"/>
      <c r="Q563" s="214">
        <f>SUM(Q564:Q566)</f>
        <v>3516</v>
      </c>
      <c r="R563" s="214"/>
      <c r="S563" s="214"/>
    </row>
    <row r="564" spans="1:19" ht="27" customHeight="1">
      <c r="A564" s="99"/>
      <c r="B564" s="98"/>
      <c r="C564" s="103"/>
      <c r="D564" s="101"/>
      <c r="E564" s="104"/>
      <c r="F564" s="104"/>
      <c r="G564" s="89"/>
      <c r="H564" s="22" t="s">
        <v>533</v>
      </c>
      <c r="I564" s="10">
        <v>663</v>
      </c>
      <c r="J564" s="16">
        <v>7</v>
      </c>
      <c r="K564" s="16">
        <v>9</v>
      </c>
      <c r="L564" s="95" t="s">
        <v>595</v>
      </c>
      <c r="M564" s="96" t="s">
        <v>563</v>
      </c>
      <c r="N564" s="96" t="s">
        <v>595</v>
      </c>
      <c r="O564" s="96" t="s">
        <v>648</v>
      </c>
      <c r="P564" s="10">
        <v>120</v>
      </c>
      <c r="Q564" s="214">
        <f>1916.7+1357.6</f>
        <v>3274.3</v>
      </c>
      <c r="R564" s="214"/>
      <c r="S564" s="214"/>
    </row>
    <row r="565" spans="1:19" ht="26.25" customHeight="1">
      <c r="A565" s="99"/>
      <c r="B565" s="98"/>
      <c r="C565" s="103"/>
      <c r="D565" s="101"/>
      <c r="E565" s="104"/>
      <c r="F565" s="104"/>
      <c r="G565" s="89"/>
      <c r="H565" s="22" t="s">
        <v>720</v>
      </c>
      <c r="I565" s="10">
        <v>663</v>
      </c>
      <c r="J565" s="16">
        <v>7</v>
      </c>
      <c r="K565" s="16">
        <v>9</v>
      </c>
      <c r="L565" s="95" t="s">
        <v>595</v>
      </c>
      <c r="M565" s="96" t="s">
        <v>563</v>
      </c>
      <c r="N565" s="96" t="s">
        <v>595</v>
      </c>
      <c r="O565" s="96" t="s">
        <v>648</v>
      </c>
      <c r="P565" s="10">
        <v>240</v>
      </c>
      <c r="Q565" s="214">
        <f>469-344+90+25.7</f>
        <v>240.7</v>
      </c>
      <c r="R565" s="214"/>
      <c r="S565" s="214"/>
    </row>
    <row r="566" spans="1:19" ht="26.25" customHeight="1">
      <c r="A566" s="99"/>
      <c r="B566" s="98"/>
      <c r="C566" s="103"/>
      <c r="D566" s="101"/>
      <c r="E566" s="104"/>
      <c r="F566" s="104"/>
      <c r="G566" s="89"/>
      <c r="H566" s="11" t="s">
        <v>721</v>
      </c>
      <c r="I566" s="10">
        <v>663</v>
      </c>
      <c r="J566" s="16">
        <v>7</v>
      </c>
      <c r="K566" s="16">
        <v>9</v>
      </c>
      <c r="L566" s="95" t="s">
        <v>595</v>
      </c>
      <c r="M566" s="96" t="s">
        <v>563</v>
      </c>
      <c r="N566" s="96" t="s">
        <v>595</v>
      </c>
      <c r="O566" s="96" t="s">
        <v>648</v>
      </c>
      <c r="P566" s="10">
        <v>850</v>
      </c>
      <c r="Q566" s="214">
        <v>1</v>
      </c>
      <c r="R566" s="214"/>
      <c r="S566" s="214"/>
    </row>
    <row r="567" spans="1:19" ht="40.5" customHeight="1">
      <c r="A567" s="99"/>
      <c r="B567" s="98"/>
      <c r="C567" s="103"/>
      <c r="D567" s="101"/>
      <c r="E567" s="104"/>
      <c r="F567" s="104"/>
      <c r="G567" s="89"/>
      <c r="H567" s="259" t="s">
        <v>61</v>
      </c>
      <c r="I567" s="10">
        <v>663</v>
      </c>
      <c r="J567" s="16">
        <v>7</v>
      </c>
      <c r="K567" s="16">
        <v>9</v>
      </c>
      <c r="L567" s="95" t="s">
        <v>595</v>
      </c>
      <c r="M567" s="96" t="s">
        <v>563</v>
      </c>
      <c r="N567" s="96" t="s">
        <v>595</v>
      </c>
      <c r="O567" s="96" t="s">
        <v>60</v>
      </c>
      <c r="P567" s="10"/>
      <c r="Q567" s="214">
        <f>Q568</f>
        <v>655.5</v>
      </c>
      <c r="R567" s="214"/>
      <c r="S567" s="214"/>
    </row>
    <row r="568" spans="1:19" ht="26.25" customHeight="1">
      <c r="A568" s="99"/>
      <c r="B568" s="98"/>
      <c r="C568" s="103"/>
      <c r="D568" s="101"/>
      <c r="E568" s="104"/>
      <c r="F568" s="104"/>
      <c r="G568" s="89"/>
      <c r="H568" s="22" t="s">
        <v>533</v>
      </c>
      <c r="I568" s="10">
        <v>663</v>
      </c>
      <c r="J568" s="16">
        <v>7</v>
      </c>
      <c r="K568" s="16">
        <v>9</v>
      </c>
      <c r="L568" s="95" t="s">
        <v>595</v>
      </c>
      <c r="M568" s="96" t="s">
        <v>563</v>
      </c>
      <c r="N568" s="96" t="s">
        <v>595</v>
      </c>
      <c r="O568" s="96" t="s">
        <v>60</v>
      </c>
      <c r="P568" s="10">
        <v>120</v>
      </c>
      <c r="Q568" s="214">
        <f>326.2+329.3</f>
        <v>655.5</v>
      </c>
      <c r="R568" s="214"/>
      <c r="S568" s="214"/>
    </row>
    <row r="569" spans="1:19" ht="38.25" customHeight="1">
      <c r="A569" s="99"/>
      <c r="B569" s="98"/>
      <c r="C569" s="103"/>
      <c r="D569" s="101"/>
      <c r="E569" s="104"/>
      <c r="F569" s="104"/>
      <c r="G569" s="89"/>
      <c r="H569" s="259" t="s">
        <v>501</v>
      </c>
      <c r="I569" s="10">
        <v>663</v>
      </c>
      <c r="J569" s="16">
        <v>7</v>
      </c>
      <c r="K569" s="16">
        <v>9</v>
      </c>
      <c r="L569" s="95" t="s">
        <v>595</v>
      </c>
      <c r="M569" s="96" t="s">
        <v>563</v>
      </c>
      <c r="N569" s="96" t="s">
        <v>595</v>
      </c>
      <c r="O569" s="96" t="s">
        <v>300</v>
      </c>
      <c r="P569" s="10"/>
      <c r="Q569" s="214">
        <f>SUM(Q570:Q572)</f>
        <v>619.6000000000001</v>
      </c>
      <c r="R569" s="214"/>
      <c r="S569" s="214"/>
    </row>
    <row r="570" spans="1:19" ht="27" customHeight="1">
      <c r="A570" s="99"/>
      <c r="B570" s="98"/>
      <c r="C570" s="103"/>
      <c r="D570" s="101"/>
      <c r="E570" s="104"/>
      <c r="F570" s="104"/>
      <c r="G570" s="89"/>
      <c r="H570" s="259" t="s">
        <v>723</v>
      </c>
      <c r="I570" s="10">
        <v>663</v>
      </c>
      <c r="J570" s="16">
        <v>7</v>
      </c>
      <c r="K570" s="16">
        <v>9</v>
      </c>
      <c r="L570" s="95" t="s">
        <v>595</v>
      </c>
      <c r="M570" s="96" t="s">
        <v>563</v>
      </c>
      <c r="N570" s="96" t="s">
        <v>595</v>
      </c>
      <c r="O570" s="96" t="s">
        <v>300</v>
      </c>
      <c r="P570" s="10">
        <v>110</v>
      </c>
      <c r="Q570" s="214">
        <f>1944.8-0.1-1357.6</f>
        <v>587.1000000000001</v>
      </c>
      <c r="R570" s="214"/>
      <c r="S570" s="214"/>
    </row>
    <row r="571" spans="1:19" ht="22.5" customHeight="1">
      <c r="A571" s="99"/>
      <c r="B571" s="98"/>
      <c r="C571" s="103"/>
      <c r="D571" s="101"/>
      <c r="E571" s="104"/>
      <c r="F571" s="104"/>
      <c r="G571" s="89"/>
      <c r="H571" s="259" t="s">
        <v>720</v>
      </c>
      <c r="I571" s="10">
        <v>663</v>
      </c>
      <c r="J571" s="16">
        <v>7</v>
      </c>
      <c r="K571" s="16">
        <v>9</v>
      </c>
      <c r="L571" s="95" t="s">
        <v>595</v>
      </c>
      <c r="M571" s="96" t="s">
        <v>563</v>
      </c>
      <c r="N571" s="96" t="s">
        <v>595</v>
      </c>
      <c r="O571" s="96" t="s">
        <v>300</v>
      </c>
      <c r="P571" s="10">
        <v>240</v>
      </c>
      <c r="Q571" s="214">
        <f>59.1-0.2-26.7</f>
        <v>32.2</v>
      </c>
      <c r="R571" s="214"/>
      <c r="S571" s="214"/>
    </row>
    <row r="572" spans="1:19" ht="22.5" customHeight="1">
      <c r="A572" s="99"/>
      <c r="B572" s="98"/>
      <c r="C572" s="103"/>
      <c r="D572" s="101"/>
      <c r="E572" s="104"/>
      <c r="F572" s="104"/>
      <c r="G572" s="89"/>
      <c r="H572" s="11" t="s">
        <v>721</v>
      </c>
      <c r="I572" s="10">
        <v>663</v>
      </c>
      <c r="J572" s="16">
        <v>7</v>
      </c>
      <c r="K572" s="16">
        <v>9</v>
      </c>
      <c r="L572" s="95" t="s">
        <v>595</v>
      </c>
      <c r="M572" s="96" t="s">
        <v>563</v>
      </c>
      <c r="N572" s="96" t="s">
        <v>595</v>
      </c>
      <c r="O572" s="96" t="s">
        <v>300</v>
      </c>
      <c r="P572" s="10">
        <v>850</v>
      </c>
      <c r="Q572" s="214">
        <f>0.1+0.2</f>
        <v>0.30000000000000004</v>
      </c>
      <c r="R572" s="214"/>
      <c r="S572" s="214"/>
    </row>
    <row r="573" spans="1:19" ht="30.75" customHeight="1">
      <c r="A573" s="99"/>
      <c r="B573" s="98"/>
      <c r="C573" s="103"/>
      <c r="D573" s="101"/>
      <c r="E573" s="104"/>
      <c r="F573" s="104"/>
      <c r="G573" s="89"/>
      <c r="H573" s="5" t="s">
        <v>477</v>
      </c>
      <c r="I573" s="10">
        <v>663</v>
      </c>
      <c r="J573" s="16">
        <v>7</v>
      </c>
      <c r="K573" s="16">
        <v>9</v>
      </c>
      <c r="L573" s="95" t="s">
        <v>597</v>
      </c>
      <c r="M573" s="96" t="s">
        <v>563</v>
      </c>
      <c r="N573" s="96" t="s">
        <v>583</v>
      </c>
      <c r="O573" s="96" t="s">
        <v>620</v>
      </c>
      <c r="P573" s="10"/>
      <c r="Q573" s="214">
        <f>Q574</f>
        <v>15</v>
      </c>
      <c r="R573" s="214"/>
      <c r="S573" s="214"/>
    </row>
    <row r="574" spans="1:19" ht="22.5" customHeight="1">
      <c r="A574" s="99"/>
      <c r="B574" s="98"/>
      <c r="C574" s="103"/>
      <c r="D574" s="101"/>
      <c r="E574" s="104"/>
      <c r="F574" s="104"/>
      <c r="G574" s="89"/>
      <c r="H574" s="5" t="s">
        <v>173</v>
      </c>
      <c r="I574" s="10">
        <v>663</v>
      </c>
      <c r="J574" s="16">
        <v>7</v>
      </c>
      <c r="K574" s="16">
        <v>9</v>
      </c>
      <c r="L574" s="95" t="s">
        <v>597</v>
      </c>
      <c r="M574" s="96" t="s">
        <v>565</v>
      </c>
      <c r="N574" s="96" t="s">
        <v>583</v>
      </c>
      <c r="O574" s="96" t="s">
        <v>620</v>
      </c>
      <c r="P574" s="10"/>
      <c r="Q574" s="214">
        <f>Q575</f>
        <v>15</v>
      </c>
      <c r="R574" s="214"/>
      <c r="S574" s="214"/>
    </row>
    <row r="575" spans="1:19" ht="30.75" customHeight="1">
      <c r="A575" s="99"/>
      <c r="B575" s="98"/>
      <c r="C575" s="103"/>
      <c r="D575" s="101"/>
      <c r="E575" s="104"/>
      <c r="F575" s="104"/>
      <c r="G575" s="89"/>
      <c r="H575" s="5" t="s">
        <v>174</v>
      </c>
      <c r="I575" s="10">
        <v>663</v>
      </c>
      <c r="J575" s="16">
        <v>7</v>
      </c>
      <c r="K575" s="16">
        <v>9</v>
      </c>
      <c r="L575" s="95" t="s">
        <v>597</v>
      </c>
      <c r="M575" s="96" t="s">
        <v>565</v>
      </c>
      <c r="N575" s="96" t="s">
        <v>592</v>
      </c>
      <c r="O575" s="96" t="s">
        <v>620</v>
      </c>
      <c r="P575" s="10"/>
      <c r="Q575" s="214">
        <f>Q576</f>
        <v>15</v>
      </c>
      <c r="R575" s="214"/>
      <c r="S575" s="214"/>
    </row>
    <row r="576" spans="1:19" ht="22.5" customHeight="1">
      <c r="A576" s="99"/>
      <c r="B576" s="98"/>
      <c r="C576" s="103"/>
      <c r="D576" s="101"/>
      <c r="E576" s="104"/>
      <c r="F576" s="104"/>
      <c r="G576" s="89"/>
      <c r="H576" s="5" t="s">
        <v>292</v>
      </c>
      <c r="I576" s="10">
        <v>663</v>
      </c>
      <c r="J576" s="16">
        <v>7</v>
      </c>
      <c r="K576" s="16">
        <v>9</v>
      </c>
      <c r="L576" s="95" t="s">
        <v>597</v>
      </c>
      <c r="M576" s="96" t="s">
        <v>565</v>
      </c>
      <c r="N576" s="96" t="s">
        <v>592</v>
      </c>
      <c r="O576" s="96" t="s">
        <v>291</v>
      </c>
      <c r="P576" s="10"/>
      <c r="Q576" s="214">
        <f>Q577</f>
        <v>15</v>
      </c>
      <c r="R576" s="214"/>
      <c r="S576" s="214"/>
    </row>
    <row r="577" spans="1:19" ht="22.5" customHeight="1">
      <c r="A577" s="99"/>
      <c r="B577" s="98"/>
      <c r="C577" s="103"/>
      <c r="D577" s="101"/>
      <c r="E577" s="104"/>
      <c r="F577" s="104"/>
      <c r="G577" s="89"/>
      <c r="H577" s="259" t="s">
        <v>720</v>
      </c>
      <c r="I577" s="10">
        <v>663</v>
      </c>
      <c r="J577" s="16">
        <v>7</v>
      </c>
      <c r="K577" s="16">
        <v>9</v>
      </c>
      <c r="L577" s="95" t="s">
        <v>597</v>
      </c>
      <c r="M577" s="96" t="s">
        <v>565</v>
      </c>
      <c r="N577" s="96" t="s">
        <v>592</v>
      </c>
      <c r="O577" s="96" t="s">
        <v>291</v>
      </c>
      <c r="P577" s="10">
        <v>240</v>
      </c>
      <c r="Q577" s="214">
        <v>15</v>
      </c>
      <c r="R577" s="214"/>
      <c r="S577" s="214"/>
    </row>
    <row r="578" spans="1:19" ht="39.75" customHeight="1">
      <c r="A578" s="99"/>
      <c r="B578" s="98"/>
      <c r="C578" s="103"/>
      <c r="D578" s="101"/>
      <c r="E578" s="104"/>
      <c r="F578" s="104"/>
      <c r="G578" s="89"/>
      <c r="H578" s="5" t="s">
        <v>687</v>
      </c>
      <c r="I578" s="10">
        <v>663</v>
      </c>
      <c r="J578" s="16">
        <v>7</v>
      </c>
      <c r="K578" s="16">
        <v>9</v>
      </c>
      <c r="L578" s="95" t="s">
        <v>688</v>
      </c>
      <c r="M578" s="96" t="s">
        <v>563</v>
      </c>
      <c r="N578" s="96" t="s">
        <v>583</v>
      </c>
      <c r="O578" s="96" t="s">
        <v>620</v>
      </c>
      <c r="P578" s="10"/>
      <c r="Q578" s="214">
        <f>Q579+Q582+Q586</f>
        <v>162</v>
      </c>
      <c r="R578" s="214">
        <f>R579+R582+R586</f>
        <v>162</v>
      </c>
      <c r="S578" s="214">
        <f>S579+S582+S586</f>
        <v>162</v>
      </c>
    </row>
    <row r="579" spans="1:19" ht="33.75" customHeight="1">
      <c r="A579" s="99"/>
      <c r="B579" s="98"/>
      <c r="C579" s="103"/>
      <c r="D579" s="101"/>
      <c r="E579" s="104"/>
      <c r="F579" s="104"/>
      <c r="G579" s="89"/>
      <c r="H579" s="5" t="s">
        <v>328</v>
      </c>
      <c r="I579" s="10">
        <v>663</v>
      </c>
      <c r="J579" s="16">
        <v>7</v>
      </c>
      <c r="K579" s="16">
        <v>9</v>
      </c>
      <c r="L579" s="95" t="s">
        <v>688</v>
      </c>
      <c r="M579" s="96" t="s">
        <v>563</v>
      </c>
      <c r="N579" s="96" t="s">
        <v>564</v>
      </c>
      <c r="O579" s="96" t="s">
        <v>620</v>
      </c>
      <c r="P579" s="10"/>
      <c r="Q579" s="214">
        <f aca="true" t="shared" si="46" ref="Q579:S580">Q580</f>
        <v>10</v>
      </c>
      <c r="R579" s="214">
        <f t="shared" si="46"/>
        <v>10</v>
      </c>
      <c r="S579" s="214">
        <f t="shared" si="46"/>
        <v>10</v>
      </c>
    </row>
    <row r="580" spans="1:19" ht="42" customHeight="1">
      <c r="A580" s="99"/>
      <c r="B580" s="98"/>
      <c r="C580" s="103"/>
      <c r="D580" s="101"/>
      <c r="E580" s="104"/>
      <c r="F580" s="104"/>
      <c r="G580" s="89"/>
      <c r="H580" s="5" t="s">
        <v>327</v>
      </c>
      <c r="I580" s="10">
        <v>663</v>
      </c>
      <c r="J580" s="16">
        <v>7</v>
      </c>
      <c r="K580" s="16">
        <v>9</v>
      </c>
      <c r="L580" s="95" t="s">
        <v>688</v>
      </c>
      <c r="M580" s="96" t="s">
        <v>563</v>
      </c>
      <c r="N580" s="96" t="s">
        <v>564</v>
      </c>
      <c r="O580" s="96" t="s">
        <v>300</v>
      </c>
      <c r="P580" s="10"/>
      <c r="Q580" s="214">
        <f t="shared" si="46"/>
        <v>10</v>
      </c>
      <c r="R580" s="214">
        <f t="shared" si="46"/>
        <v>10</v>
      </c>
      <c r="S580" s="214">
        <f t="shared" si="46"/>
        <v>10</v>
      </c>
    </row>
    <row r="581" spans="1:19" ht="28.5" customHeight="1">
      <c r="A581" s="99"/>
      <c r="B581" s="98"/>
      <c r="C581" s="103"/>
      <c r="D581" s="101"/>
      <c r="E581" s="104"/>
      <c r="F581" s="104"/>
      <c r="G581" s="89"/>
      <c r="H581" s="5" t="s">
        <v>720</v>
      </c>
      <c r="I581" s="10">
        <v>663</v>
      </c>
      <c r="J581" s="16">
        <v>7</v>
      </c>
      <c r="K581" s="16">
        <v>9</v>
      </c>
      <c r="L581" s="95" t="s">
        <v>688</v>
      </c>
      <c r="M581" s="96" t="s">
        <v>563</v>
      </c>
      <c r="N581" s="96" t="s">
        <v>564</v>
      </c>
      <c r="O581" s="96" t="s">
        <v>300</v>
      </c>
      <c r="P581" s="10">
        <v>240</v>
      </c>
      <c r="Q581" s="214">
        <v>10</v>
      </c>
      <c r="R581" s="214">
        <v>10</v>
      </c>
      <c r="S581" s="214">
        <v>10</v>
      </c>
    </row>
    <row r="582" spans="1:19" ht="37.5" customHeight="1">
      <c r="A582" s="99"/>
      <c r="B582" s="98"/>
      <c r="C582" s="103"/>
      <c r="D582" s="101"/>
      <c r="E582" s="104"/>
      <c r="F582" s="104"/>
      <c r="G582" s="89"/>
      <c r="H582" s="5" t="s">
        <v>686</v>
      </c>
      <c r="I582" s="10">
        <v>663</v>
      </c>
      <c r="J582" s="16">
        <v>7</v>
      </c>
      <c r="K582" s="16">
        <v>9</v>
      </c>
      <c r="L582" s="95" t="s">
        <v>688</v>
      </c>
      <c r="M582" s="96" t="s">
        <v>563</v>
      </c>
      <c r="N582" s="96" t="s">
        <v>588</v>
      </c>
      <c r="O582" s="96" t="s">
        <v>620</v>
      </c>
      <c r="P582" s="10"/>
      <c r="Q582" s="214">
        <f>Q583</f>
        <v>77</v>
      </c>
      <c r="R582" s="214">
        <f>R583</f>
        <v>77</v>
      </c>
      <c r="S582" s="214">
        <f>S583</f>
        <v>77</v>
      </c>
    </row>
    <row r="583" spans="1:19" ht="37.5" customHeight="1">
      <c r="A583" s="99"/>
      <c r="B583" s="98"/>
      <c r="C583" s="103"/>
      <c r="D583" s="101"/>
      <c r="E583" s="104"/>
      <c r="F583" s="104"/>
      <c r="G583" s="89"/>
      <c r="H583" s="5" t="s">
        <v>327</v>
      </c>
      <c r="I583" s="10">
        <v>663</v>
      </c>
      <c r="J583" s="16">
        <v>7</v>
      </c>
      <c r="K583" s="16">
        <v>9</v>
      </c>
      <c r="L583" s="95" t="s">
        <v>688</v>
      </c>
      <c r="M583" s="96" t="s">
        <v>563</v>
      </c>
      <c r="N583" s="96" t="s">
        <v>588</v>
      </c>
      <c r="O583" s="96" t="s">
        <v>300</v>
      </c>
      <c r="P583" s="10"/>
      <c r="Q583" s="214">
        <f>SUM(Q584:Q585)</f>
        <v>77</v>
      </c>
      <c r="R583" s="214">
        <f>SUM(R584:R585)</f>
        <v>77</v>
      </c>
      <c r="S583" s="214">
        <f>SUM(S584:S585)</f>
        <v>77</v>
      </c>
    </row>
    <row r="584" spans="1:19" ht="30" customHeight="1">
      <c r="A584" s="99"/>
      <c r="B584" s="98"/>
      <c r="C584" s="103"/>
      <c r="D584" s="101"/>
      <c r="E584" s="104"/>
      <c r="F584" s="104"/>
      <c r="G584" s="89"/>
      <c r="H584" s="5" t="s">
        <v>720</v>
      </c>
      <c r="I584" s="10">
        <v>663</v>
      </c>
      <c r="J584" s="16">
        <v>7</v>
      </c>
      <c r="K584" s="16">
        <v>9</v>
      </c>
      <c r="L584" s="95" t="s">
        <v>688</v>
      </c>
      <c r="M584" s="96" t="s">
        <v>563</v>
      </c>
      <c r="N584" s="96" t="s">
        <v>588</v>
      </c>
      <c r="O584" s="96" t="s">
        <v>300</v>
      </c>
      <c r="P584" s="10">
        <v>240</v>
      </c>
      <c r="Q584" s="214">
        <v>7</v>
      </c>
      <c r="R584" s="214">
        <v>7</v>
      </c>
      <c r="S584" s="214">
        <v>7</v>
      </c>
    </row>
    <row r="585" spans="1:19" ht="27" customHeight="1">
      <c r="A585" s="99"/>
      <c r="B585" s="98"/>
      <c r="C585" s="103"/>
      <c r="D585" s="101"/>
      <c r="E585" s="104"/>
      <c r="F585" s="104"/>
      <c r="G585" s="89"/>
      <c r="H585" s="5" t="s">
        <v>725</v>
      </c>
      <c r="I585" s="10">
        <v>663</v>
      </c>
      <c r="J585" s="16">
        <v>7</v>
      </c>
      <c r="K585" s="16">
        <v>9</v>
      </c>
      <c r="L585" s="95" t="s">
        <v>688</v>
      </c>
      <c r="M585" s="96" t="s">
        <v>563</v>
      </c>
      <c r="N585" s="96" t="s">
        <v>588</v>
      </c>
      <c r="O585" s="96" t="s">
        <v>300</v>
      </c>
      <c r="P585" s="10">
        <v>320</v>
      </c>
      <c r="Q585" s="214">
        <v>70</v>
      </c>
      <c r="R585" s="214">
        <v>70</v>
      </c>
      <c r="S585" s="214">
        <v>70</v>
      </c>
    </row>
    <row r="586" spans="1:19" ht="30" customHeight="1">
      <c r="A586" s="99"/>
      <c r="B586" s="98"/>
      <c r="C586" s="103"/>
      <c r="D586" s="101"/>
      <c r="E586" s="104"/>
      <c r="F586" s="104"/>
      <c r="G586" s="89"/>
      <c r="H586" s="5" t="s">
        <v>253</v>
      </c>
      <c r="I586" s="10">
        <v>663</v>
      </c>
      <c r="J586" s="16">
        <v>7</v>
      </c>
      <c r="K586" s="16">
        <v>9</v>
      </c>
      <c r="L586" s="95" t="s">
        <v>688</v>
      </c>
      <c r="M586" s="96" t="s">
        <v>563</v>
      </c>
      <c r="N586" s="96" t="s">
        <v>566</v>
      </c>
      <c r="O586" s="96" t="s">
        <v>620</v>
      </c>
      <c r="P586" s="10"/>
      <c r="Q586" s="214">
        <f aca="true" t="shared" si="47" ref="Q586:S587">Q587</f>
        <v>75</v>
      </c>
      <c r="R586" s="214">
        <f t="shared" si="47"/>
        <v>75</v>
      </c>
      <c r="S586" s="214">
        <f t="shared" si="47"/>
        <v>75</v>
      </c>
    </row>
    <row r="587" spans="1:19" ht="33" customHeight="1">
      <c r="A587" s="99"/>
      <c r="B587" s="98"/>
      <c r="C587" s="103"/>
      <c r="D587" s="101"/>
      <c r="E587" s="104"/>
      <c r="F587" s="104"/>
      <c r="G587" s="89"/>
      <c r="H587" s="5" t="s">
        <v>327</v>
      </c>
      <c r="I587" s="10">
        <v>663</v>
      </c>
      <c r="J587" s="16">
        <v>7</v>
      </c>
      <c r="K587" s="16">
        <v>9</v>
      </c>
      <c r="L587" s="95" t="s">
        <v>688</v>
      </c>
      <c r="M587" s="96" t="s">
        <v>563</v>
      </c>
      <c r="N587" s="96" t="s">
        <v>566</v>
      </c>
      <c r="O587" s="96" t="s">
        <v>300</v>
      </c>
      <c r="P587" s="10"/>
      <c r="Q587" s="214">
        <f t="shared" si="47"/>
        <v>75</v>
      </c>
      <c r="R587" s="214">
        <f t="shared" si="47"/>
        <v>75</v>
      </c>
      <c r="S587" s="214">
        <f t="shared" si="47"/>
        <v>75</v>
      </c>
    </row>
    <row r="588" spans="1:19" ht="30" customHeight="1">
      <c r="A588" s="99"/>
      <c r="B588" s="98"/>
      <c r="C588" s="103"/>
      <c r="D588" s="101"/>
      <c r="E588" s="104"/>
      <c r="F588" s="104"/>
      <c r="G588" s="89"/>
      <c r="H588" s="5" t="s">
        <v>725</v>
      </c>
      <c r="I588" s="10">
        <v>663</v>
      </c>
      <c r="J588" s="16">
        <v>7</v>
      </c>
      <c r="K588" s="16">
        <v>9</v>
      </c>
      <c r="L588" s="95" t="s">
        <v>688</v>
      </c>
      <c r="M588" s="96" t="s">
        <v>563</v>
      </c>
      <c r="N588" s="96" t="s">
        <v>566</v>
      </c>
      <c r="O588" s="96" t="s">
        <v>300</v>
      </c>
      <c r="P588" s="10">
        <v>320</v>
      </c>
      <c r="Q588" s="214">
        <v>75</v>
      </c>
      <c r="R588" s="214">
        <v>75</v>
      </c>
      <c r="S588" s="214">
        <v>75</v>
      </c>
    </row>
    <row r="589" spans="1:19" ht="23.25" customHeight="1" hidden="1">
      <c r="A589" s="99"/>
      <c r="B589" s="98"/>
      <c r="C589" s="103"/>
      <c r="D589" s="101"/>
      <c r="E589" s="104"/>
      <c r="F589" s="104"/>
      <c r="G589" s="89"/>
      <c r="H589" s="22" t="s">
        <v>299</v>
      </c>
      <c r="I589" s="10">
        <v>663</v>
      </c>
      <c r="J589" s="16">
        <v>7</v>
      </c>
      <c r="K589" s="16">
        <v>9</v>
      </c>
      <c r="L589" s="95" t="s">
        <v>580</v>
      </c>
      <c r="M589" s="96" t="s">
        <v>563</v>
      </c>
      <c r="N589" s="96" t="s">
        <v>583</v>
      </c>
      <c r="O589" s="96" t="s">
        <v>620</v>
      </c>
      <c r="P589" s="10"/>
      <c r="Q589" s="214">
        <f>Q590+Q593+Q596+Q599+Q601</f>
        <v>0</v>
      </c>
      <c r="R589" s="214">
        <f>R590+R593+R596+R599+R601</f>
        <v>19818.300000000003</v>
      </c>
      <c r="S589" s="214">
        <f>S590+S593+S596+S599+S601</f>
        <v>30949.500000000004</v>
      </c>
    </row>
    <row r="590" spans="1:19" ht="24" customHeight="1" hidden="1">
      <c r="A590" s="99"/>
      <c r="B590" s="98"/>
      <c r="C590" s="103"/>
      <c r="D590" s="101"/>
      <c r="E590" s="104"/>
      <c r="F590" s="104"/>
      <c r="G590" s="89"/>
      <c r="H590" s="22" t="s">
        <v>533</v>
      </c>
      <c r="I590" s="10">
        <v>663</v>
      </c>
      <c r="J590" s="16">
        <v>7</v>
      </c>
      <c r="K590" s="16">
        <v>9</v>
      </c>
      <c r="L590" s="95" t="s">
        <v>580</v>
      </c>
      <c r="M590" s="96" t="s">
        <v>563</v>
      </c>
      <c r="N590" s="96" t="s">
        <v>583</v>
      </c>
      <c r="O590" s="96" t="s">
        <v>648</v>
      </c>
      <c r="P590" s="10"/>
      <c r="Q590" s="214">
        <f>SUM(Q591:Q592)</f>
        <v>0</v>
      </c>
      <c r="R590" s="214">
        <f>SUM(R591:R592)</f>
        <v>4970.2</v>
      </c>
      <c r="S590" s="214">
        <f>SUM(S591:S592)</f>
        <v>4970.2</v>
      </c>
    </row>
    <row r="591" spans="1:19" ht="24.75" customHeight="1" hidden="1">
      <c r="A591" s="99"/>
      <c r="B591" s="98"/>
      <c r="C591" s="103"/>
      <c r="D591" s="101"/>
      <c r="E591" s="104"/>
      <c r="F591" s="104"/>
      <c r="G591" s="89"/>
      <c r="H591" s="22" t="s">
        <v>533</v>
      </c>
      <c r="I591" s="10">
        <v>663</v>
      </c>
      <c r="J591" s="16">
        <v>7</v>
      </c>
      <c r="K591" s="16">
        <v>9</v>
      </c>
      <c r="L591" s="95" t="s">
        <v>580</v>
      </c>
      <c r="M591" s="96" t="s">
        <v>563</v>
      </c>
      <c r="N591" s="96" t="s">
        <v>583</v>
      </c>
      <c r="O591" s="96" t="s">
        <v>648</v>
      </c>
      <c r="P591" s="10">
        <v>120</v>
      </c>
      <c r="Q591" s="214">
        <v>0</v>
      </c>
      <c r="R591" s="214">
        <v>1916.7</v>
      </c>
      <c r="S591" s="214">
        <v>1916.7</v>
      </c>
    </row>
    <row r="592" spans="1:19" ht="24.75" customHeight="1" hidden="1">
      <c r="A592" s="99"/>
      <c r="B592" s="98"/>
      <c r="C592" s="103"/>
      <c r="D592" s="101"/>
      <c r="E592" s="104"/>
      <c r="F592" s="104"/>
      <c r="G592" s="89"/>
      <c r="H592" s="22" t="s">
        <v>720</v>
      </c>
      <c r="I592" s="10">
        <v>663</v>
      </c>
      <c r="J592" s="16">
        <v>7</v>
      </c>
      <c r="K592" s="16">
        <v>9</v>
      </c>
      <c r="L592" s="95" t="s">
        <v>580</v>
      </c>
      <c r="M592" s="96" t="s">
        <v>563</v>
      </c>
      <c r="N592" s="96" t="s">
        <v>583</v>
      </c>
      <c r="O592" s="96" t="s">
        <v>648</v>
      </c>
      <c r="P592" s="10">
        <v>240</v>
      </c>
      <c r="Q592" s="214">
        <v>0</v>
      </c>
      <c r="R592" s="214">
        <v>3053.5</v>
      </c>
      <c r="S592" s="214">
        <v>3053.5</v>
      </c>
    </row>
    <row r="593" spans="1:19" ht="33" customHeight="1" hidden="1">
      <c r="A593" s="99"/>
      <c r="B593" s="98"/>
      <c r="C593" s="103"/>
      <c r="D593" s="101"/>
      <c r="E593" s="104"/>
      <c r="F593" s="104"/>
      <c r="G593" s="89"/>
      <c r="H593" s="22" t="s">
        <v>501</v>
      </c>
      <c r="I593" s="10">
        <v>663</v>
      </c>
      <c r="J593" s="16">
        <v>7</v>
      </c>
      <c r="K593" s="16">
        <v>9</v>
      </c>
      <c r="L593" s="95" t="s">
        <v>580</v>
      </c>
      <c r="M593" s="96" t="s">
        <v>563</v>
      </c>
      <c r="N593" s="96" t="s">
        <v>583</v>
      </c>
      <c r="O593" s="96" t="s">
        <v>300</v>
      </c>
      <c r="P593" s="10"/>
      <c r="Q593" s="214">
        <f>SUM(Q594:Q595)</f>
        <v>0</v>
      </c>
      <c r="R593" s="214">
        <f>SUM(R594:R595)</f>
        <v>2108.9</v>
      </c>
      <c r="S593" s="214">
        <f>SUM(S594:S595)</f>
        <v>2108.9</v>
      </c>
    </row>
    <row r="594" spans="1:19" ht="33" customHeight="1" hidden="1">
      <c r="A594" s="99"/>
      <c r="B594" s="98"/>
      <c r="C594" s="103"/>
      <c r="D594" s="101"/>
      <c r="E594" s="104"/>
      <c r="F594" s="104"/>
      <c r="G594" s="89"/>
      <c r="H594" s="22" t="s">
        <v>723</v>
      </c>
      <c r="I594" s="10">
        <v>663</v>
      </c>
      <c r="J594" s="16">
        <v>7</v>
      </c>
      <c r="K594" s="16">
        <v>9</v>
      </c>
      <c r="L594" s="95" t="s">
        <v>580</v>
      </c>
      <c r="M594" s="96" t="s">
        <v>563</v>
      </c>
      <c r="N594" s="96" t="s">
        <v>583</v>
      </c>
      <c r="O594" s="96" t="s">
        <v>300</v>
      </c>
      <c r="P594" s="10">
        <v>110</v>
      </c>
      <c r="Q594" s="214">
        <v>0</v>
      </c>
      <c r="R594" s="214">
        <v>1944.8</v>
      </c>
      <c r="S594" s="214">
        <v>1944.8</v>
      </c>
    </row>
    <row r="595" spans="1:19" ht="33" customHeight="1" hidden="1">
      <c r="A595" s="99"/>
      <c r="B595" s="98"/>
      <c r="C595" s="103"/>
      <c r="D595" s="101"/>
      <c r="E595" s="104"/>
      <c r="F595" s="104"/>
      <c r="G595" s="89"/>
      <c r="H595" s="22" t="s">
        <v>720</v>
      </c>
      <c r="I595" s="10">
        <v>663</v>
      </c>
      <c r="J595" s="16">
        <v>7</v>
      </c>
      <c r="K595" s="16">
        <v>9</v>
      </c>
      <c r="L595" s="95" t="s">
        <v>580</v>
      </c>
      <c r="M595" s="96" t="s">
        <v>563</v>
      </c>
      <c r="N595" s="96" t="s">
        <v>583</v>
      </c>
      <c r="O595" s="96" t="s">
        <v>300</v>
      </c>
      <c r="P595" s="10">
        <v>240</v>
      </c>
      <c r="Q595" s="214">
        <v>0</v>
      </c>
      <c r="R595" s="214">
        <v>164.1</v>
      </c>
      <c r="S595" s="214">
        <v>164.1</v>
      </c>
    </row>
    <row r="596" spans="1:19" ht="48" customHeight="1" hidden="1">
      <c r="A596" s="99"/>
      <c r="B596" s="98"/>
      <c r="C596" s="103"/>
      <c r="D596" s="101"/>
      <c r="E596" s="104"/>
      <c r="F596" s="104"/>
      <c r="G596" s="89"/>
      <c r="H596" s="22" t="s">
        <v>330</v>
      </c>
      <c r="I596" s="10">
        <v>663</v>
      </c>
      <c r="J596" s="16">
        <v>7</v>
      </c>
      <c r="K596" s="16">
        <v>9</v>
      </c>
      <c r="L596" s="95" t="s">
        <v>580</v>
      </c>
      <c r="M596" s="96" t="s">
        <v>563</v>
      </c>
      <c r="N596" s="96" t="s">
        <v>583</v>
      </c>
      <c r="O596" s="96" t="s">
        <v>329</v>
      </c>
      <c r="P596" s="10"/>
      <c r="Q596" s="214">
        <f>Q597+Q598</f>
        <v>0</v>
      </c>
      <c r="R596" s="214">
        <f>R597+R598</f>
        <v>9357.7</v>
      </c>
      <c r="S596" s="214">
        <f>S597+S598</f>
        <v>9357.7</v>
      </c>
    </row>
    <row r="597" spans="1:19" ht="33" customHeight="1" hidden="1">
      <c r="A597" s="99"/>
      <c r="B597" s="98"/>
      <c r="C597" s="103"/>
      <c r="D597" s="101"/>
      <c r="E597" s="104"/>
      <c r="F597" s="104"/>
      <c r="G597" s="89"/>
      <c r="H597" s="22" t="s">
        <v>725</v>
      </c>
      <c r="I597" s="10">
        <v>663</v>
      </c>
      <c r="J597" s="16">
        <v>7</v>
      </c>
      <c r="K597" s="16">
        <v>9</v>
      </c>
      <c r="L597" s="95" t="s">
        <v>580</v>
      </c>
      <c r="M597" s="96" t="s">
        <v>563</v>
      </c>
      <c r="N597" s="96" t="s">
        <v>583</v>
      </c>
      <c r="O597" s="96" t="s">
        <v>329</v>
      </c>
      <c r="P597" s="10">
        <v>320</v>
      </c>
      <c r="Q597" s="214">
        <v>0</v>
      </c>
      <c r="R597" s="214">
        <v>1956.6</v>
      </c>
      <c r="S597" s="214">
        <v>1956.6</v>
      </c>
    </row>
    <row r="598" spans="1:19" ht="33" customHeight="1" hidden="1">
      <c r="A598" s="99"/>
      <c r="B598" s="98"/>
      <c r="C598" s="103"/>
      <c r="D598" s="101"/>
      <c r="E598" s="104"/>
      <c r="F598" s="104"/>
      <c r="G598" s="89"/>
      <c r="H598" s="5" t="s">
        <v>722</v>
      </c>
      <c r="I598" s="10">
        <v>663</v>
      </c>
      <c r="J598" s="16">
        <v>7</v>
      </c>
      <c r="K598" s="16">
        <v>9</v>
      </c>
      <c r="L598" s="95" t="s">
        <v>580</v>
      </c>
      <c r="M598" s="96" t="s">
        <v>563</v>
      </c>
      <c r="N598" s="96" t="s">
        <v>583</v>
      </c>
      <c r="O598" s="96" t="s">
        <v>329</v>
      </c>
      <c r="P598" s="10">
        <v>610</v>
      </c>
      <c r="Q598" s="214"/>
      <c r="R598" s="214">
        <v>7401.1</v>
      </c>
      <c r="S598" s="214">
        <v>7401.1</v>
      </c>
    </row>
    <row r="599" spans="1:19" ht="51.75" customHeight="1" hidden="1">
      <c r="A599" s="99"/>
      <c r="B599" s="98"/>
      <c r="C599" s="103"/>
      <c r="D599" s="101"/>
      <c r="E599" s="104"/>
      <c r="F599" s="104"/>
      <c r="G599" s="89"/>
      <c r="H599" s="11" t="s">
        <v>691</v>
      </c>
      <c r="I599" s="10">
        <v>663</v>
      </c>
      <c r="J599" s="16">
        <v>7</v>
      </c>
      <c r="K599" s="16">
        <v>9</v>
      </c>
      <c r="L599" s="95" t="s">
        <v>580</v>
      </c>
      <c r="M599" s="96" t="s">
        <v>563</v>
      </c>
      <c r="N599" s="96" t="s">
        <v>689</v>
      </c>
      <c r="O599" s="96" t="s">
        <v>690</v>
      </c>
      <c r="P599" s="10"/>
      <c r="Q599" s="214">
        <f>Q600</f>
        <v>0</v>
      </c>
      <c r="R599" s="214">
        <f>R600</f>
        <v>1127</v>
      </c>
      <c r="S599" s="214">
        <f>S600</f>
        <v>5627.9</v>
      </c>
    </row>
    <row r="600" spans="1:19" ht="24.75" customHeight="1" hidden="1">
      <c r="A600" s="99"/>
      <c r="B600" s="98"/>
      <c r="C600" s="103"/>
      <c r="D600" s="101"/>
      <c r="E600" s="104"/>
      <c r="F600" s="104"/>
      <c r="G600" s="89"/>
      <c r="H600" s="5" t="s">
        <v>722</v>
      </c>
      <c r="I600" s="10">
        <v>663</v>
      </c>
      <c r="J600" s="16">
        <v>7</v>
      </c>
      <c r="K600" s="16">
        <v>9</v>
      </c>
      <c r="L600" s="95" t="s">
        <v>580</v>
      </c>
      <c r="M600" s="96" t="s">
        <v>563</v>
      </c>
      <c r="N600" s="96" t="s">
        <v>689</v>
      </c>
      <c r="O600" s="96" t="s">
        <v>690</v>
      </c>
      <c r="P600" s="10">
        <v>610</v>
      </c>
      <c r="Q600" s="214"/>
      <c r="R600" s="214">
        <v>1127</v>
      </c>
      <c r="S600" s="214">
        <v>5627.9</v>
      </c>
    </row>
    <row r="601" spans="1:19" ht="33" customHeight="1" hidden="1">
      <c r="A601" s="99"/>
      <c r="B601" s="98"/>
      <c r="C601" s="103"/>
      <c r="D601" s="101"/>
      <c r="E601" s="104"/>
      <c r="F601" s="104"/>
      <c r="G601" s="89"/>
      <c r="H601" s="11" t="s">
        <v>694</v>
      </c>
      <c r="I601" s="10">
        <v>663</v>
      </c>
      <c r="J601" s="16">
        <v>7</v>
      </c>
      <c r="K601" s="16">
        <v>9</v>
      </c>
      <c r="L601" s="95" t="s">
        <v>580</v>
      </c>
      <c r="M601" s="96" t="s">
        <v>563</v>
      </c>
      <c r="N601" s="96" t="s">
        <v>692</v>
      </c>
      <c r="O601" s="96" t="s">
        <v>693</v>
      </c>
      <c r="P601" s="10"/>
      <c r="Q601" s="214">
        <f>Q602</f>
        <v>0</v>
      </c>
      <c r="R601" s="214">
        <f>R602</f>
        <v>2254.5</v>
      </c>
      <c r="S601" s="214">
        <f>S602</f>
        <v>8884.8</v>
      </c>
    </row>
    <row r="602" spans="1:19" ht="27" customHeight="1" hidden="1">
      <c r="A602" s="99"/>
      <c r="B602" s="98"/>
      <c r="C602" s="103"/>
      <c r="D602" s="101"/>
      <c r="E602" s="104"/>
      <c r="F602" s="104"/>
      <c r="G602" s="89"/>
      <c r="H602" s="5" t="s">
        <v>722</v>
      </c>
      <c r="I602" s="10">
        <v>663</v>
      </c>
      <c r="J602" s="16">
        <v>7</v>
      </c>
      <c r="K602" s="16">
        <v>9</v>
      </c>
      <c r="L602" s="95" t="s">
        <v>580</v>
      </c>
      <c r="M602" s="96" t="s">
        <v>563</v>
      </c>
      <c r="N602" s="96" t="s">
        <v>692</v>
      </c>
      <c r="O602" s="96" t="s">
        <v>693</v>
      </c>
      <c r="P602" s="10">
        <v>610</v>
      </c>
      <c r="Q602" s="214"/>
      <c r="R602" s="214">
        <v>2254.5</v>
      </c>
      <c r="S602" s="214">
        <v>8884.8</v>
      </c>
    </row>
    <row r="603" spans="1:19" s="179" customFormat="1" ht="21.75" customHeight="1">
      <c r="A603" s="142"/>
      <c r="B603" s="143"/>
      <c r="C603" s="153"/>
      <c r="D603" s="150"/>
      <c r="E603" s="145"/>
      <c r="F603" s="145"/>
      <c r="G603" s="136"/>
      <c r="H603" s="137" t="s">
        <v>541</v>
      </c>
      <c r="I603" s="138">
        <v>663</v>
      </c>
      <c r="J603" s="139">
        <v>10</v>
      </c>
      <c r="K603" s="139"/>
      <c r="L603" s="140"/>
      <c r="M603" s="141"/>
      <c r="N603" s="141"/>
      <c r="O603" s="141"/>
      <c r="P603" s="138"/>
      <c r="Q603" s="213">
        <f>Q604</f>
        <v>3455.1</v>
      </c>
      <c r="R603" s="213">
        <f>R604</f>
        <v>3455.1</v>
      </c>
      <c r="S603" s="213">
        <f>S604</f>
        <v>3455.1</v>
      </c>
    </row>
    <row r="604" spans="1:19" s="179" customFormat="1" ht="18.75" customHeight="1">
      <c r="A604" s="142"/>
      <c r="B604" s="143"/>
      <c r="C604" s="153"/>
      <c r="D604" s="150"/>
      <c r="E604" s="379">
        <v>3150300</v>
      </c>
      <c r="F604" s="379"/>
      <c r="G604" s="136">
        <v>850</v>
      </c>
      <c r="H604" s="137" t="s">
        <v>377</v>
      </c>
      <c r="I604" s="138">
        <v>663</v>
      </c>
      <c r="J604" s="139">
        <v>10</v>
      </c>
      <c r="K604" s="139">
        <v>4</v>
      </c>
      <c r="L604" s="140" t="s">
        <v>534</v>
      </c>
      <c r="M604" s="141" t="s">
        <v>534</v>
      </c>
      <c r="N604" s="141"/>
      <c r="O604" s="141" t="s">
        <v>534</v>
      </c>
      <c r="P604" s="138" t="s">
        <v>534</v>
      </c>
      <c r="Q604" s="213">
        <f>Q605+Q609</f>
        <v>3455.1</v>
      </c>
      <c r="R604" s="213">
        <f>R605+R609</f>
        <v>3455.1</v>
      </c>
      <c r="S604" s="213">
        <f>S605+S609</f>
        <v>3455.1</v>
      </c>
    </row>
    <row r="605" spans="1:19" ht="22.5" customHeight="1">
      <c r="A605" s="99"/>
      <c r="B605" s="98"/>
      <c r="C605" s="103"/>
      <c r="D605" s="101"/>
      <c r="E605" s="367">
        <v>5221300</v>
      </c>
      <c r="F605" s="367"/>
      <c r="G605" s="89">
        <v>410</v>
      </c>
      <c r="H605" s="11" t="s">
        <v>271</v>
      </c>
      <c r="I605" s="10">
        <v>663</v>
      </c>
      <c r="J605" s="16">
        <v>10</v>
      </c>
      <c r="K605" s="16">
        <v>4</v>
      </c>
      <c r="L605" s="95" t="s">
        <v>595</v>
      </c>
      <c r="M605" s="96" t="s">
        <v>563</v>
      </c>
      <c r="N605" s="96" t="s">
        <v>583</v>
      </c>
      <c r="O605" s="96" t="s">
        <v>620</v>
      </c>
      <c r="P605" s="10" t="s">
        <v>534</v>
      </c>
      <c r="Q605" s="214">
        <f>Q606</f>
        <v>3455.1</v>
      </c>
      <c r="R605" s="214">
        <f aca="true" t="shared" si="48" ref="R605:S607">R606</f>
        <v>0</v>
      </c>
      <c r="S605" s="214">
        <f t="shared" si="48"/>
        <v>0</v>
      </c>
    </row>
    <row r="606" spans="1:19" ht="29.25" customHeight="1">
      <c r="A606" s="99"/>
      <c r="B606" s="98"/>
      <c r="C606" s="103"/>
      <c r="D606" s="101"/>
      <c r="E606" s="104"/>
      <c r="F606" s="104"/>
      <c r="G606" s="89"/>
      <c r="H606" s="253" t="s">
        <v>336</v>
      </c>
      <c r="I606" s="10">
        <v>663</v>
      </c>
      <c r="J606" s="16">
        <v>10</v>
      </c>
      <c r="K606" s="16">
        <v>4</v>
      </c>
      <c r="L606" s="95" t="s">
        <v>595</v>
      </c>
      <c r="M606" s="96" t="s">
        <v>563</v>
      </c>
      <c r="N606" s="96" t="s">
        <v>564</v>
      </c>
      <c r="O606" s="96" t="s">
        <v>620</v>
      </c>
      <c r="P606" s="10"/>
      <c r="Q606" s="214">
        <f>Q607</f>
        <v>3455.1</v>
      </c>
      <c r="R606" s="214">
        <f t="shared" si="48"/>
        <v>0</v>
      </c>
      <c r="S606" s="214">
        <f t="shared" si="48"/>
        <v>0</v>
      </c>
    </row>
    <row r="607" spans="1:19" ht="48" customHeight="1">
      <c r="A607" s="99"/>
      <c r="B607" s="98"/>
      <c r="C607" s="103"/>
      <c r="D607" s="101"/>
      <c r="E607" s="104"/>
      <c r="F607" s="104"/>
      <c r="G607" s="89"/>
      <c r="H607" s="254" t="s">
        <v>330</v>
      </c>
      <c r="I607" s="10">
        <v>663</v>
      </c>
      <c r="J607" s="7">
        <v>10</v>
      </c>
      <c r="K607" s="16">
        <v>4</v>
      </c>
      <c r="L607" s="95" t="s">
        <v>595</v>
      </c>
      <c r="M607" s="96" t="s">
        <v>563</v>
      </c>
      <c r="N607" s="96" t="s">
        <v>564</v>
      </c>
      <c r="O607" s="96" t="s">
        <v>329</v>
      </c>
      <c r="P607" s="10"/>
      <c r="Q607" s="214">
        <f>Q608</f>
        <v>3455.1</v>
      </c>
      <c r="R607" s="214">
        <f t="shared" si="48"/>
        <v>0</v>
      </c>
      <c r="S607" s="214">
        <f t="shared" si="48"/>
        <v>0</v>
      </c>
    </row>
    <row r="608" spans="1:19" ht="26.25" customHeight="1">
      <c r="A608" s="99"/>
      <c r="B608" s="98"/>
      <c r="C608" s="103"/>
      <c r="D608" s="101"/>
      <c r="E608" s="104"/>
      <c r="F608" s="104"/>
      <c r="G608" s="89"/>
      <c r="H608" s="258" t="s">
        <v>725</v>
      </c>
      <c r="I608" s="10">
        <v>663</v>
      </c>
      <c r="J608" s="7">
        <v>10</v>
      </c>
      <c r="K608" s="16">
        <v>4</v>
      </c>
      <c r="L608" s="95" t="s">
        <v>595</v>
      </c>
      <c r="M608" s="96" t="s">
        <v>563</v>
      </c>
      <c r="N608" s="96" t="s">
        <v>564</v>
      </c>
      <c r="O608" s="96" t="s">
        <v>329</v>
      </c>
      <c r="P608" s="10">
        <v>320</v>
      </c>
      <c r="Q608" s="214">
        <v>3455.1</v>
      </c>
      <c r="R608" s="214"/>
      <c r="S608" s="214"/>
    </row>
    <row r="609" spans="1:19" ht="26.25" customHeight="1" hidden="1">
      <c r="A609" s="110"/>
      <c r="B609" s="111"/>
      <c r="C609" s="106"/>
      <c r="D609" s="107"/>
      <c r="E609" s="104"/>
      <c r="F609" s="104"/>
      <c r="G609" s="89"/>
      <c r="H609" s="22" t="s">
        <v>299</v>
      </c>
      <c r="I609" s="10">
        <v>663</v>
      </c>
      <c r="J609" s="7">
        <v>10</v>
      </c>
      <c r="K609" s="16">
        <v>4</v>
      </c>
      <c r="L609" s="95" t="s">
        <v>580</v>
      </c>
      <c r="M609" s="96" t="s">
        <v>563</v>
      </c>
      <c r="N609" s="96" t="s">
        <v>583</v>
      </c>
      <c r="O609" s="96" t="s">
        <v>620</v>
      </c>
      <c r="P609" s="10"/>
      <c r="Q609" s="214">
        <f aca="true" t="shared" si="49" ref="Q609:S610">Q610</f>
        <v>0</v>
      </c>
      <c r="R609" s="214">
        <f t="shared" si="49"/>
        <v>3455.1</v>
      </c>
      <c r="S609" s="214">
        <f t="shared" si="49"/>
        <v>3455.1</v>
      </c>
    </row>
    <row r="610" spans="1:19" ht="51" customHeight="1" hidden="1">
      <c r="A610" s="110"/>
      <c r="B610" s="111"/>
      <c r="C610" s="106"/>
      <c r="D610" s="107"/>
      <c r="E610" s="104"/>
      <c r="F610" s="104"/>
      <c r="G610" s="89"/>
      <c r="H610" s="11" t="s">
        <v>330</v>
      </c>
      <c r="I610" s="10">
        <v>663</v>
      </c>
      <c r="J610" s="7">
        <v>10</v>
      </c>
      <c r="K610" s="16">
        <v>4</v>
      </c>
      <c r="L610" s="16">
        <v>91</v>
      </c>
      <c r="M610" s="96" t="s">
        <v>563</v>
      </c>
      <c r="N610" s="96" t="s">
        <v>583</v>
      </c>
      <c r="O610" s="96" t="s">
        <v>329</v>
      </c>
      <c r="P610" s="10"/>
      <c r="Q610" s="214">
        <f t="shared" si="49"/>
        <v>0</v>
      </c>
      <c r="R610" s="214">
        <f t="shared" si="49"/>
        <v>3455.1</v>
      </c>
      <c r="S610" s="214">
        <f t="shared" si="49"/>
        <v>3455.1</v>
      </c>
    </row>
    <row r="611" spans="1:19" ht="26.25" customHeight="1" hidden="1">
      <c r="A611" s="110"/>
      <c r="B611" s="111"/>
      <c r="C611" s="106"/>
      <c r="D611" s="107"/>
      <c r="E611" s="104"/>
      <c r="F611" s="104"/>
      <c r="G611" s="89"/>
      <c r="H611" s="11" t="s">
        <v>725</v>
      </c>
      <c r="I611" s="10">
        <v>663</v>
      </c>
      <c r="J611" s="7">
        <v>10</v>
      </c>
      <c r="K611" s="16">
        <v>4</v>
      </c>
      <c r="L611" s="16">
        <v>91</v>
      </c>
      <c r="M611" s="96" t="s">
        <v>563</v>
      </c>
      <c r="N611" s="96" t="s">
        <v>583</v>
      </c>
      <c r="O611" s="96" t="s">
        <v>329</v>
      </c>
      <c r="P611" s="10">
        <v>320</v>
      </c>
      <c r="Q611" s="214">
        <v>0</v>
      </c>
      <c r="R611" s="214">
        <v>3455.1</v>
      </c>
      <c r="S611" s="214">
        <v>3455.1</v>
      </c>
    </row>
    <row r="612" spans="1:19" s="319" customFormat="1" ht="18.75" customHeight="1">
      <c r="A612" s="390">
        <v>17</v>
      </c>
      <c r="B612" s="390"/>
      <c r="C612" s="390"/>
      <c r="D612" s="390"/>
      <c r="E612" s="390"/>
      <c r="F612" s="390"/>
      <c r="G612" s="132">
        <v>240</v>
      </c>
      <c r="H612" s="33" t="s">
        <v>552</v>
      </c>
      <c r="I612" s="14">
        <v>664</v>
      </c>
      <c r="J612" s="15" t="s">
        <v>534</v>
      </c>
      <c r="K612" s="15" t="s">
        <v>534</v>
      </c>
      <c r="L612" s="133" t="s">
        <v>534</v>
      </c>
      <c r="M612" s="134" t="s">
        <v>534</v>
      </c>
      <c r="N612" s="134"/>
      <c r="O612" s="134"/>
      <c r="P612" s="14" t="s">
        <v>534</v>
      </c>
      <c r="Q612" s="212">
        <f>Q613+Q643+Q649</f>
        <v>10926.2</v>
      </c>
      <c r="R612" s="212" t="e">
        <f>R613+R643+R649</f>
        <v>#REF!</v>
      </c>
      <c r="S612" s="212" t="e">
        <f>S613+S643+S649</f>
        <v>#REF!</v>
      </c>
    </row>
    <row r="613" spans="1:19" s="179" customFormat="1" ht="18.75" customHeight="1">
      <c r="A613" s="370">
        <v>100</v>
      </c>
      <c r="B613" s="370"/>
      <c r="C613" s="371"/>
      <c r="D613" s="371"/>
      <c r="E613" s="371"/>
      <c r="F613" s="371"/>
      <c r="G613" s="136">
        <v>240</v>
      </c>
      <c r="H613" s="137" t="s">
        <v>536</v>
      </c>
      <c r="I613" s="138">
        <v>664</v>
      </c>
      <c r="J613" s="139">
        <v>1</v>
      </c>
      <c r="K613" s="139" t="s">
        <v>621</v>
      </c>
      <c r="L613" s="140" t="s">
        <v>534</v>
      </c>
      <c r="M613" s="141" t="s">
        <v>534</v>
      </c>
      <c r="N613" s="141"/>
      <c r="O613" s="141" t="s">
        <v>534</v>
      </c>
      <c r="P613" s="138" t="s">
        <v>534</v>
      </c>
      <c r="Q613" s="213">
        <f>Q614</f>
        <v>5811.4</v>
      </c>
      <c r="R613" s="213" t="e">
        <f>R614</f>
        <v>#REF!</v>
      </c>
      <c r="S613" s="213" t="e">
        <f>S614</f>
        <v>#REF!</v>
      </c>
    </row>
    <row r="614" spans="1:19" s="179" customFormat="1" ht="18.75" customHeight="1">
      <c r="A614" s="142"/>
      <c r="B614" s="143"/>
      <c r="C614" s="370">
        <v>113</v>
      </c>
      <c r="D614" s="371"/>
      <c r="E614" s="371"/>
      <c r="F614" s="371"/>
      <c r="G614" s="136">
        <v>240</v>
      </c>
      <c r="H614" s="137" t="s">
        <v>535</v>
      </c>
      <c r="I614" s="138">
        <v>664</v>
      </c>
      <c r="J614" s="139">
        <v>1</v>
      </c>
      <c r="K614" s="139">
        <v>13</v>
      </c>
      <c r="L614" s="140" t="s">
        <v>534</v>
      </c>
      <c r="M614" s="141" t="s">
        <v>534</v>
      </c>
      <c r="N614" s="141"/>
      <c r="O614" s="141" t="s">
        <v>534</v>
      </c>
      <c r="P614" s="138" t="s">
        <v>534</v>
      </c>
      <c r="Q614" s="213">
        <f>Q615</f>
        <v>5811.4</v>
      </c>
      <c r="R614" s="213" t="e">
        <f>#REF!+#REF!+#REF!+#REF!+#REF!</f>
        <v>#REF!</v>
      </c>
      <c r="S614" s="213" t="e">
        <f>#REF!+#REF!+#REF!+#REF!+#REF!</f>
        <v>#REF!</v>
      </c>
    </row>
    <row r="615" spans="1:19" ht="33.75" customHeight="1">
      <c r="A615" s="97"/>
      <c r="B615" s="98"/>
      <c r="C615" s="97"/>
      <c r="D615" s="111"/>
      <c r="E615" s="114"/>
      <c r="F615" s="114"/>
      <c r="G615" s="89"/>
      <c r="H615" s="11" t="s">
        <v>140</v>
      </c>
      <c r="I615" s="10">
        <v>664</v>
      </c>
      <c r="J615" s="16">
        <v>1</v>
      </c>
      <c r="K615" s="16">
        <v>13</v>
      </c>
      <c r="L615" s="95" t="s">
        <v>138</v>
      </c>
      <c r="M615" s="96" t="s">
        <v>563</v>
      </c>
      <c r="N615" s="96" t="s">
        <v>583</v>
      </c>
      <c r="O615" s="96" t="s">
        <v>620</v>
      </c>
      <c r="P615" s="10"/>
      <c r="Q615" s="214">
        <f>Q616+Q619+Q622+Q626+Q640</f>
        <v>5811.4</v>
      </c>
      <c r="R615" s="214"/>
      <c r="S615" s="214"/>
    </row>
    <row r="616" spans="1:19" ht="24.75" customHeight="1">
      <c r="A616" s="99"/>
      <c r="B616" s="98"/>
      <c r="C616" s="97"/>
      <c r="D616" s="109"/>
      <c r="E616" s="104"/>
      <c r="F616" s="104"/>
      <c r="G616" s="89"/>
      <c r="H616" s="11" t="s">
        <v>142</v>
      </c>
      <c r="I616" s="10">
        <v>664</v>
      </c>
      <c r="J616" s="16">
        <v>1</v>
      </c>
      <c r="K616" s="16">
        <v>13</v>
      </c>
      <c r="L616" s="16">
        <v>48</v>
      </c>
      <c r="M616" s="96" t="s">
        <v>563</v>
      </c>
      <c r="N616" s="96" t="s">
        <v>564</v>
      </c>
      <c r="O616" s="96" t="s">
        <v>620</v>
      </c>
      <c r="P616" s="10"/>
      <c r="Q616" s="214">
        <f>Q617</f>
        <v>470</v>
      </c>
      <c r="R616" s="216"/>
      <c r="S616" s="216"/>
    </row>
    <row r="617" spans="1:19" ht="24.75" customHeight="1">
      <c r="A617" s="99"/>
      <c r="B617" s="98"/>
      <c r="C617" s="97"/>
      <c r="D617" s="109"/>
      <c r="E617" s="104"/>
      <c r="F617" s="104"/>
      <c r="G617" s="89"/>
      <c r="H617" s="11" t="s">
        <v>369</v>
      </c>
      <c r="I617" s="10">
        <v>664</v>
      </c>
      <c r="J617" s="16">
        <v>1</v>
      </c>
      <c r="K617" s="16">
        <v>13</v>
      </c>
      <c r="L617" s="16">
        <v>48</v>
      </c>
      <c r="M617" s="96" t="s">
        <v>563</v>
      </c>
      <c r="N617" s="96" t="s">
        <v>564</v>
      </c>
      <c r="O617" s="96" t="s">
        <v>319</v>
      </c>
      <c r="P617" s="10"/>
      <c r="Q617" s="214">
        <f>Q618</f>
        <v>470</v>
      </c>
      <c r="R617" s="216"/>
      <c r="S617" s="216"/>
    </row>
    <row r="618" spans="1:19" ht="24.75" customHeight="1">
      <c r="A618" s="99"/>
      <c r="B618" s="98"/>
      <c r="C618" s="97"/>
      <c r="D618" s="109"/>
      <c r="E618" s="104"/>
      <c r="F618" s="104"/>
      <c r="G618" s="89"/>
      <c r="H618" s="11" t="s">
        <v>720</v>
      </c>
      <c r="I618" s="10">
        <v>664</v>
      </c>
      <c r="J618" s="16">
        <v>1</v>
      </c>
      <c r="K618" s="16">
        <v>13</v>
      </c>
      <c r="L618" s="16">
        <v>48</v>
      </c>
      <c r="M618" s="96" t="s">
        <v>563</v>
      </c>
      <c r="N618" s="96" t="s">
        <v>564</v>
      </c>
      <c r="O618" s="96" t="s">
        <v>319</v>
      </c>
      <c r="P618" s="10">
        <v>240</v>
      </c>
      <c r="Q618" s="214">
        <v>470</v>
      </c>
      <c r="R618" s="216"/>
      <c r="S618" s="216"/>
    </row>
    <row r="619" spans="1:19" ht="39" customHeight="1">
      <c r="A619" s="99"/>
      <c r="B619" s="98"/>
      <c r="C619" s="97"/>
      <c r="D619" s="109"/>
      <c r="E619" s="104"/>
      <c r="F619" s="104"/>
      <c r="G619" s="89"/>
      <c r="H619" s="11" t="s">
        <v>143</v>
      </c>
      <c r="I619" s="10">
        <v>664</v>
      </c>
      <c r="J619" s="16">
        <v>1</v>
      </c>
      <c r="K619" s="16">
        <v>13</v>
      </c>
      <c r="L619" s="16">
        <v>48</v>
      </c>
      <c r="M619" s="96" t="s">
        <v>563</v>
      </c>
      <c r="N619" s="96" t="s">
        <v>592</v>
      </c>
      <c r="O619" s="96" t="s">
        <v>620</v>
      </c>
      <c r="P619" s="10"/>
      <c r="Q619" s="214">
        <f>Q620</f>
        <v>100</v>
      </c>
      <c r="R619" s="216"/>
      <c r="S619" s="216"/>
    </row>
    <row r="620" spans="1:19" ht="39" customHeight="1">
      <c r="A620" s="99"/>
      <c r="B620" s="98"/>
      <c r="C620" s="97"/>
      <c r="D620" s="109"/>
      <c r="E620" s="104"/>
      <c r="F620" s="104"/>
      <c r="G620" s="89"/>
      <c r="H620" s="11" t="s">
        <v>144</v>
      </c>
      <c r="I620" s="10">
        <v>664</v>
      </c>
      <c r="J620" s="16">
        <v>1</v>
      </c>
      <c r="K620" s="16">
        <v>13</v>
      </c>
      <c r="L620" s="16">
        <v>48</v>
      </c>
      <c r="M620" s="96" t="s">
        <v>563</v>
      </c>
      <c r="N620" s="96" t="s">
        <v>592</v>
      </c>
      <c r="O620" s="96" t="s">
        <v>318</v>
      </c>
      <c r="P620" s="10"/>
      <c r="Q620" s="214">
        <f>Q621</f>
        <v>100</v>
      </c>
      <c r="R620" s="216"/>
      <c r="S620" s="216"/>
    </row>
    <row r="621" spans="1:19" ht="24.75" customHeight="1">
      <c r="A621" s="99"/>
      <c r="B621" s="98"/>
      <c r="C621" s="97"/>
      <c r="D621" s="109"/>
      <c r="E621" s="104"/>
      <c r="F621" s="104"/>
      <c r="G621" s="89"/>
      <c r="H621" s="11" t="s">
        <v>720</v>
      </c>
      <c r="I621" s="10">
        <v>664</v>
      </c>
      <c r="J621" s="16">
        <v>1</v>
      </c>
      <c r="K621" s="16">
        <v>13</v>
      </c>
      <c r="L621" s="16">
        <v>48</v>
      </c>
      <c r="M621" s="96" t="s">
        <v>563</v>
      </c>
      <c r="N621" s="96" t="s">
        <v>592</v>
      </c>
      <c r="O621" s="96" t="s">
        <v>318</v>
      </c>
      <c r="P621" s="10">
        <v>240</v>
      </c>
      <c r="Q621" s="214">
        <v>100</v>
      </c>
      <c r="R621" s="216"/>
      <c r="S621" s="216"/>
    </row>
    <row r="622" spans="1:19" ht="39.75" customHeight="1">
      <c r="A622" s="99"/>
      <c r="B622" s="98"/>
      <c r="C622" s="97"/>
      <c r="D622" s="109"/>
      <c r="E622" s="104"/>
      <c r="F622" s="104"/>
      <c r="G622" s="89"/>
      <c r="H622" s="11" t="s">
        <v>145</v>
      </c>
      <c r="I622" s="10">
        <v>664</v>
      </c>
      <c r="J622" s="16">
        <v>1</v>
      </c>
      <c r="K622" s="16">
        <v>13</v>
      </c>
      <c r="L622" s="16">
        <v>48</v>
      </c>
      <c r="M622" s="96" t="s">
        <v>563</v>
      </c>
      <c r="N622" s="96" t="s">
        <v>593</v>
      </c>
      <c r="O622" s="96" t="s">
        <v>620</v>
      </c>
      <c r="P622" s="10"/>
      <c r="Q622" s="214">
        <f>Q623</f>
        <v>136.8</v>
      </c>
      <c r="R622" s="216"/>
      <c r="S622" s="216"/>
    </row>
    <row r="623" spans="1:19" ht="28.5" customHeight="1">
      <c r="A623" s="99"/>
      <c r="B623" s="98"/>
      <c r="C623" s="97"/>
      <c r="D623" s="109"/>
      <c r="E623" s="104"/>
      <c r="F623" s="104"/>
      <c r="G623" s="89"/>
      <c r="H623" s="11" t="s">
        <v>280</v>
      </c>
      <c r="I623" s="10">
        <v>664</v>
      </c>
      <c r="J623" s="16">
        <v>1</v>
      </c>
      <c r="K623" s="16">
        <v>13</v>
      </c>
      <c r="L623" s="16">
        <v>48</v>
      </c>
      <c r="M623" s="96" t="s">
        <v>563</v>
      </c>
      <c r="N623" s="96" t="s">
        <v>593</v>
      </c>
      <c r="O623" s="96" t="s">
        <v>279</v>
      </c>
      <c r="P623" s="10"/>
      <c r="Q623" s="214">
        <f>Q624+Q625</f>
        <v>136.8</v>
      </c>
      <c r="R623" s="216"/>
      <c r="S623" s="216"/>
    </row>
    <row r="624" spans="1:19" ht="24.75" customHeight="1">
      <c r="A624" s="99"/>
      <c r="B624" s="98"/>
      <c r="C624" s="97"/>
      <c r="D624" s="109"/>
      <c r="E624" s="104"/>
      <c r="F624" s="104"/>
      <c r="G624" s="89"/>
      <c r="H624" s="11" t="s">
        <v>720</v>
      </c>
      <c r="I624" s="10">
        <v>664</v>
      </c>
      <c r="J624" s="16">
        <v>1</v>
      </c>
      <c r="K624" s="16">
        <v>13</v>
      </c>
      <c r="L624" s="16">
        <v>48</v>
      </c>
      <c r="M624" s="96" t="s">
        <v>563</v>
      </c>
      <c r="N624" s="96" t="s">
        <v>593</v>
      </c>
      <c r="O624" s="96" t="s">
        <v>279</v>
      </c>
      <c r="P624" s="10">
        <v>240</v>
      </c>
      <c r="Q624" s="214">
        <f>150+7.5-56.3</f>
        <v>101.2</v>
      </c>
      <c r="R624" s="216"/>
      <c r="S624" s="216"/>
    </row>
    <row r="625" spans="1:19" ht="24.75" customHeight="1">
      <c r="A625" s="99"/>
      <c r="B625" s="98"/>
      <c r="C625" s="97"/>
      <c r="D625" s="109"/>
      <c r="E625" s="104"/>
      <c r="F625" s="104"/>
      <c r="G625" s="89"/>
      <c r="H625" s="5" t="s">
        <v>721</v>
      </c>
      <c r="I625" s="10">
        <v>664</v>
      </c>
      <c r="J625" s="16">
        <v>1</v>
      </c>
      <c r="K625" s="16">
        <v>13</v>
      </c>
      <c r="L625" s="16">
        <v>48</v>
      </c>
      <c r="M625" s="96" t="s">
        <v>563</v>
      </c>
      <c r="N625" s="96" t="s">
        <v>593</v>
      </c>
      <c r="O625" s="96" t="s">
        <v>279</v>
      </c>
      <c r="P625" s="10">
        <v>850</v>
      </c>
      <c r="Q625" s="214">
        <v>35.6</v>
      </c>
      <c r="R625" s="216"/>
      <c r="S625" s="216"/>
    </row>
    <row r="626" spans="1:19" ht="24.75" customHeight="1">
      <c r="A626" s="99"/>
      <c r="B626" s="98"/>
      <c r="C626" s="97"/>
      <c r="D626" s="109"/>
      <c r="E626" s="104"/>
      <c r="F626" s="104"/>
      <c r="G626" s="89"/>
      <c r="H626" s="11" t="s">
        <v>146</v>
      </c>
      <c r="I626" s="10">
        <v>664</v>
      </c>
      <c r="J626" s="16">
        <v>1</v>
      </c>
      <c r="K626" s="16">
        <v>13</v>
      </c>
      <c r="L626" s="16">
        <v>48</v>
      </c>
      <c r="M626" s="96" t="s">
        <v>563</v>
      </c>
      <c r="N626" s="96" t="s">
        <v>588</v>
      </c>
      <c r="O626" s="96" t="s">
        <v>620</v>
      </c>
      <c r="P626" s="10"/>
      <c r="Q626" s="214">
        <f>Q627+Q632+Q634+Q637</f>
        <v>5030.9</v>
      </c>
      <c r="R626" s="216"/>
      <c r="S626" s="216"/>
    </row>
    <row r="627" spans="1:19" ht="24.75" customHeight="1">
      <c r="A627" s="99"/>
      <c r="B627" s="98"/>
      <c r="C627" s="97"/>
      <c r="D627" s="109"/>
      <c r="E627" s="104"/>
      <c r="F627" s="104"/>
      <c r="G627" s="89"/>
      <c r="H627" s="11" t="s">
        <v>342</v>
      </c>
      <c r="I627" s="10">
        <v>664</v>
      </c>
      <c r="J627" s="16">
        <v>1</v>
      </c>
      <c r="K627" s="16">
        <v>13</v>
      </c>
      <c r="L627" s="16">
        <v>48</v>
      </c>
      <c r="M627" s="96" t="s">
        <v>563</v>
      </c>
      <c r="N627" s="96" t="s">
        <v>588</v>
      </c>
      <c r="O627" s="96" t="s">
        <v>648</v>
      </c>
      <c r="P627" s="10"/>
      <c r="Q627" s="214">
        <f>Q628+Q629+Q630+Q631</f>
        <v>3407.5</v>
      </c>
      <c r="R627" s="216"/>
      <c r="S627" s="216"/>
    </row>
    <row r="628" spans="1:19" ht="24.75" customHeight="1">
      <c r="A628" s="99"/>
      <c r="B628" s="98"/>
      <c r="C628" s="97"/>
      <c r="D628" s="109"/>
      <c r="E628" s="104"/>
      <c r="F628" s="104"/>
      <c r="G628" s="89"/>
      <c r="H628" s="11" t="s">
        <v>533</v>
      </c>
      <c r="I628" s="10">
        <v>664</v>
      </c>
      <c r="J628" s="16">
        <v>1</v>
      </c>
      <c r="K628" s="16">
        <v>13</v>
      </c>
      <c r="L628" s="16">
        <v>48</v>
      </c>
      <c r="M628" s="96" t="s">
        <v>563</v>
      </c>
      <c r="N628" s="96" t="s">
        <v>588</v>
      </c>
      <c r="O628" s="96" t="s">
        <v>648</v>
      </c>
      <c r="P628" s="10">
        <v>120</v>
      </c>
      <c r="Q628" s="214">
        <v>2820.6</v>
      </c>
      <c r="R628" s="216"/>
      <c r="S628" s="216"/>
    </row>
    <row r="629" spans="1:19" ht="24.75" customHeight="1">
      <c r="A629" s="99"/>
      <c r="B629" s="98"/>
      <c r="C629" s="97"/>
      <c r="D629" s="109"/>
      <c r="E629" s="104"/>
      <c r="F629" s="104"/>
      <c r="G629" s="89"/>
      <c r="H629" s="11" t="s">
        <v>720</v>
      </c>
      <c r="I629" s="10">
        <v>664</v>
      </c>
      <c r="J629" s="16">
        <v>1</v>
      </c>
      <c r="K629" s="16">
        <v>13</v>
      </c>
      <c r="L629" s="16">
        <v>48</v>
      </c>
      <c r="M629" s="96" t="s">
        <v>563</v>
      </c>
      <c r="N629" s="96" t="s">
        <v>588</v>
      </c>
      <c r="O629" s="96" t="s">
        <v>648</v>
      </c>
      <c r="P629" s="10">
        <v>240</v>
      </c>
      <c r="Q629" s="214">
        <f>518.1+46.2+2.6</f>
        <v>566.9000000000001</v>
      </c>
      <c r="R629" s="216"/>
      <c r="S629" s="216"/>
    </row>
    <row r="630" spans="1:19" ht="24.75" customHeight="1">
      <c r="A630" s="99"/>
      <c r="B630" s="98"/>
      <c r="C630" s="97"/>
      <c r="D630" s="109"/>
      <c r="E630" s="104"/>
      <c r="F630" s="104"/>
      <c r="G630" s="89"/>
      <c r="H630" s="5" t="s">
        <v>728</v>
      </c>
      <c r="I630" s="10">
        <v>664</v>
      </c>
      <c r="J630" s="16">
        <v>1</v>
      </c>
      <c r="K630" s="16">
        <v>13</v>
      </c>
      <c r="L630" s="16">
        <v>48</v>
      </c>
      <c r="M630" s="96" t="s">
        <v>563</v>
      </c>
      <c r="N630" s="96" t="s">
        <v>588</v>
      </c>
      <c r="O630" s="96" t="s">
        <v>648</v>
      </c>
      <c r="P630" s="10">
        <v>830</v>
      </c>
      <c r="Q630" s="214">
        <v>10</v>
      </c>
      <c r="R630" s="216"/>
      <c r="S630" s="216"/>
    </row>
    <row r="631" spans="1:19" ht="24.75" customHeight="1">
      <c r="A631" s="99"/>
      <c r="B631" s="98"/>
      <c r="C631" s="97"/>
      <c r="D631" s="109"/>
      <c r="E631" s="104"/>
      <c r="F631" s="104"/>
      <c r="G631" s="89"/>
      <c r="H631" s="5" t="s">
        <v>721</v>
      </c>
      <c r="I631" s="10">
        <v>664</v>
      </c>
      <c r="J631" s="16">
        <v>1</v>
      </c>
      <c r="K631" s="16">
        <v>13</v>
      </c>
      <c r="L631" s="16">
        <v>48</v>
      </c>
      <c r="M631" s="96" t="s">
        <v>563</v>
      </c>
      <c r="N631" s="96" t="s">
        <v>588</v>
      </c>
      <c r="O631" s="96" t="s">
        <v>648</v>
      </c>
      <c r="P631" s="10">
        <v>850</v>
      </c>
      <c r="Q631" s="214">
        <v>10</v>
      </c>
      <c r="R631" s="216"/>
      <c r="S631" s="216"/>
    </row>
    <row r="632" spans="1:19" ht="36" customHeight="1">
      <c r="A632" s="99"/>
      <c r="B632" s="98"/>
      <c r="C632" s="97"/>
      <c r="D632" s="109"/>
      <c r="E632" s="104"/>
      <c r="F632" s="104"/>
      <c r="G632" s="89"/>
      <c r="H632" s="11" t="s">
        <v>61</v>
      </c>
      <c r="I632" s="10">
        <v>664</v>
      </c>
      <c r="J632" s="16">
        <v>1</v>
      </c>
      <c r="K632" s="16">
        <v>13</v>
      </c>
      <c r="L632" s="16">
        <v>48</v>
      </c>
      <c r="M632" s="96" t="s">
        <v>563</v>
      </c>
      <c r="N632" s="96" t="s">
        <v>588</v>
      </c>
      <c r="O632" s="96" t="s">
        <v>60</v>
      </c>
      <c r="P632" s="10"/>
      <c r="Q632" s="214">
        <f>Q633</f>
        <v>789.2</v>
      </c>
      <c r="R632" s="216"/>
      <c r="S632" s="216"/>
    </row>
    <row r="633" spans="1:19" ht="24.75" customHeight="1">
      <c r="A633" s="99"/>
      <c r="B633" s="98"/>
      <c r="C633" s="97"/>
      <c r="D633" s="109"/>
      <c r="E633" s="104"/>
      <c r="F633" s="104"/>
      <c r="G633" s="89"/>
      <c r="H633" s="11" t="s">
        <v>533</v>
      </c>
      <c r="I633" s="10">
        <v>664</v>
      </c>
      <c r="J633" s="16">
        <v>1</v>
      </c>
      <c r="K633" s="16">
        <v>13</v>
      </c>
      <c r="L633" s="16">
        <v>48</v>
      </c>
      <c r="M633" s="96" t="s">
        <v>563</v>
      </c>
      <c r="N633" s="96" t="s">
        <v>588</v>
      </c>
      <c r="O633" s="96" t="s">
        <v>60</v>
      </c>
      <c r="P633" s="10">
        <v>120</v>
      </c>
      <c r="Q633" s="214">
        <v>789.2</v>
      </c>
      <c r="R633" s="216"/>
      <c r="S633" s="216"/>
    </row>
    <row r="634" spans="1:19" ht="51.75" customHeight="1">
      <c r="A634" s="99"/>
      <c r="B634" s="98"/>
      <c r="C634" s="97"/>
      <c r="D634" s="109"/>
      <c r="E634" s="104"/>
      <c r="F634" s="104"/>
      <c r="G634" s="89"/>
      <c r="H634" s="11" t="s">
        <v>147</v>
      </c>
      <c r="I634" s="10">
        <v>664</v>
      </c>
      <c r="J634" s="16">
        <v>1</v>
      </c>
      <c r="K634" s="16">
        <v>13</v>
      </c>
      <c r="L634" s="16">
        <v>48</v>
      </c>
      <c r="M634" s="96" t="s">
        <v>563</v>
      </c>
      <c r="N634" s="96" t="s">
        <v>588</v>
      </c>
      <c r="O634" s="96" t="s">
        <v>750</v>
      </c>
      <c r="P634" s="10"/>
      <c r="Q634" s="214">
        <f>Q635+Q636</f>
        <v>373.8</v>
      </c>
      <c r="R634" s="216"/>
      <c r="S634" s="216"/>
    </row>
    <row r="635" spans="1:19" ht="24.75" customHeight="1">
      <c r="A635" s="99"/>
      <c r="B635" s="98"/>
      <c r="C635" s="97"/>
      <c r="D635" s="109"/>
      <c r="E635" s="104"/>
      <c r="F635" s="104"/>
      <c r="G635" s="89"/>
      <c r="H635" s="11" t="s">
        <v>533</v>
      </c>
      <c r="I635" s="10">
        <v>664</v>
      </c>
      <c r="J635" s="16">
        <v>1</v>
      </c>
      <c r="K635" s="16">
        <v>13</v>
      </c>
      <c r="L635" s="16">
        <v>48</v>
      </c>
      <c r="M635" s="96" t="s">
        <v>563</v>
      </c>
      <c r="N635" s="96" t="s">
        <v>588</v>
      </c>
      <c r="O635" s="96" t="s">
        <v>750</v>
      </c>
      <c r="P635" s="10">
        <v>120</v>
      </c>
      <c r="Q635" s="214">
        <f>402.8-37.5</f>
        <v>365.3</v>
      </c>
      <c r="R635" s="216"/>
      <c r="S635" s="216"/>
    </row>
    <row r="636" spans="1:19" ht="24.75" customHeight="1">
      <c r="A636" s="99"/>
      <c r="B636" s="98"/>
      <c r="C636" s="97"/>
      <c r="D636" s="109"/>
      <c r="E636" s="104"/>
      <c r="F636" s="104"/>
      <c r="G636" s="89"/>
      <c r="H636" s="11" t="s">
        <v>720</v>
      </c>
      <c r="I636" s="10">
        <v>664</v>
      </c>
      <c r="J636" s="16">
        <v>1</v>
      </c>
      <c r="K636" s="16">
        <v>13</v>
      </c>
      <c r="L636" s="16">
        <v>48</v>
      </c>
      <c r="M636" s="96" t="s">
        <v>563</v>
      </c>
      <c r="N636" s="96" t="s">
        <v>588</v>
      </c>
      <c r="O636" s="96" t="s">
        <v>750</v>
      </c>
      <c r="P636" s="10">
        <v>240</v>
      </c>
      <c r="Q636" s="214">
        <v>8.5</v>
      </c>
      <c r="R636" s="216"/>
      <c r="S636" s="216"/>
    </row>
    <row r="637" spans="1:19" ht="24.75" customHeight="1">
      <c r="A637" s="99"/>
      <c r="B637" s="98"/>
      <c r="C637" s="97"/>
      <c r="D637" s="109"/>
      <c r="E637" s="104"/>
      <c r="F637" s="104"/>
      <c r="G637" s="89"/>
      <c r="H637" s="11" t="s">
        <v>148</v>
      </c>
      <c r="I637" s="10">
        <v>664</v>
      </c>
      <c r="J637" s="16">
        <v>1</v>
      </c>
      <c r="K637" s="16">
        <v>13</v>
      </c>
      <c r="L637" s="16">
        <v>48</v>
      </c>
      <c r="M637" s="96" t="s">
        <v>563</v>
      </c>
      <c r="N637" s="96" t="s">
        <v>588</v>
      </c>
      <c r="O637" s="96" t="s">
        <v>751</v>
      </c>
      <c r="P637" s="10"/>
      <c r="Q637" s="214">
        <f>Q638+Q639</f>
        <v>460.4</v>
      </c>
      <c r="R637" s="216"/>
      <c r="S637" s="216"/>
    </row>
    <row r="638" spans="1:19" ht="24.75" customHeight="1">
      <c r="A638" s="99"/>
      <c r="B638" s="98"/>
      <c r="C638" s="97"/>
      <c r="D638" s="109"/>
      <c r="E638" s="104"/>
      <c r="F638" s="104"/>
      <c r="G638" s="89"/>
      <c r="H638" s="11" t="s">
        <v>533</v>
      </c>
      <c r="I638" s="10">
        <v>664</v>
      </c>
      <c r="J638" s="16">
        <v>1</v>
      </c>
      <c r="K638" s="16">
        <v>13</v>
      </c>
      <c r="L638" s="16">
        <v>48</v>
      </c>
      <c r="M638" s="96" t="s">
        <v>563</v>
      </c>
      <c r="N638" s="96" t="s">
        <v>588</v>
      </c>
      <c r="O638" s="96" t="s">
        <v>751</v>
      </c>
      <c r="P638" s="10">
        <v>120</v>
      </c>
      <c r="Q638" s="214">
        <f>486.9-35</f>
        <v>451.9</v>
      </c>
      <c r="R638" s="216"/>
      <c r="S638" s="216"/>
    </row>
    <row r="639" spans="1:19" ht="24.75" customHeight="1">
      <c r="A639" s="99"/>
      <c r="B639" s="98"/>
      <c r="C639" s="97"/>
      <c r="D639" s="109"/>
      <c r="E639" s="104"/>
      <c r="F639" s="104"/>
      <c r="G639" s="89"/>
      <c r="H639" s="11" t="s">
        <v>720</v>
      </c>
      <c r="I639" s="10">
        <v>664</v>
      </c>
      <c r="J639" s="16">
        <v>1</v>
      </c>
      <c r="K639" s="16">
        <v>13</v>
      </c>
      <c r="L639" s="16">
        <v>48</v>
      </c>
      <c r="M639" s="96" t="s">
        <v>563</v>
      </c>
      <c r="N639" s="96" t="s">
        <v>588</v>
      </c>
      <c r="O639" s="96" t="s">
        <v>751</v>
      </c>
      <c r="P639" s="10">
        <v>240</v>
      </c>
      <c r="Q639" s="214">
        <v>8.5</v>
      </c>
      <c r="R639" s="216"/>
      <c r="S639" s="216"/>
    </row>
    <row r="640" spans="1:19" ht="51.75" customHeight="1">
      <c r="A640" s="99"/>
      <c r="B640" s="98"/>
      <c r="C640" s="97"/>
      <c r="D640" s="109"/>
      <c r="E640" s="104"/>
      <c r="F640" s="104"/>
      <c r="G640" s="89"/>
      <c r="H640" s="11" t="s">
        <v>139</v>
      </c>
      <c r="I640" s="10">
        <v>664</v>
      </c>
      <c r="J640" s="16">
        <v>1</v>
      </c>
      <c r="K640" s="16">
        <v>13</v>
      </c>
      <c r="L640" s="95" t="s">
        <v>138</v>
      </c>
      <c r="M640" s="96" t="s">
        <v>563</v>
      </c>
      <c r="N640" s="96" t="s">
        <v>137</v>
      </c>
      <c r="O640" s="96" t="s">
        <v>620</v>
      </c>
      <c r="P640" s="10"/>
      <c r="Q640" s="214">
        <f>Q641</f>
        <v>73.7</v>
      </c>
      <c r="R640" s="216"/>
      <c r="S640" s="216"/>
    </row>
    <row r="641" spans="1:19" ht="50.25" customHeight="1">
      <c r="A641" s="99"/>
      <c r="B641" s="98"/>
      <c r="C641" s="97"/>
      <c r="D641" s="109"/>
      <c r="E641" s="104"/>
      <c r="F641" s="104"/>
      <c r="G641" s="89"/>
      <c r="H641" s="11" t="s">
        <v>298</v>
      </c>
      <c r="I641" s="10">
        <v>664</v>
      </c>
      <c r="J641" s="16">
        <v>1</v>
      </c>
      <c r="K641" s="16">
        <v>13</v>
      </c>
      <c r="L641" s="16">
        <v>48</v>
      </c>
      <c r="M641" s="96" t="s">
        <v>563</v>
      </c>
      <c r="N641" s="96" t="s">
        <v>137</v>
      </c>
      <c r="O641" s="96" t="s">
        <v>791</v>
      </c>
      <c r="P641" s="10"/>
      <c r="Q641" s="214">
        <f>Q642</f>
        <v>73.7</v>
      </c>
      <c r="R641" s="216"/>
      <c r="S641" s="216"/>
    </row>
    <row r="642" spans="1:19" ht="24.75" customHeight="1">
      <c r="A642" s="99"/>
      <c r="B642" s="98"/>
      <c r="C642" s="97"/>
      <c r="D642" s="109"/>
      <c r="E642" s="104"/>
      <c r="F642" s="104"/>
      <c r="G642" s="89"/>
      <c r="H642" s="11" t="s">
        <v>720</v>
      </c>
      <c r="I642" s="10">
        <v>664</v>
      </c>
      <c r="J642" s="16">
        <v>1</v>
      </c>
      <c r="K642" s="16">
        <v>13</v>
      </c>
      <c r="L642" s="16">
        <v>48</v>
      </c>
      <c r="M642" s="96" t="s">
        <v>563</v>
      </c>
      <c r="N642" s="96" t="s">
        <v>137</v>
      </c>
      <c r="O642" s="96" t="s">
        <v>791</v>
      </c>
      <c r="P642" s="10">
        <v>240</v>
      </c>
      <c r="Q642" s="214">
        <v>73.7</v>
      </c>
      <c r="R642" s="216"/>
      <c r="S642" s="216"/>
    </row>
    <row r="643" spans="1:19" s="179" customFormat="1" ht="27.75" customHeight="1">
      <c r="A643" s="142"/>
      <c r="B643" s="143"/>
      <c r="C643" s="142"/>
      <c r="D643" s="135"/>
      <c r="E643" s="135"/>
      <c r="F643" s="135"/>
      <c r="G643" s="136"/>
      <c r="H643" s="149" t="s">
        <v>531</v>
      </c>
      <c r="I643" s="138">
        <v>664</v>
      </c>
      <c r="J643" s="139">
        <v>4</v>
      </c>
      <c r="K643" s="139" t="s">
        <v>621</v>
      </c>
      <c r="L643" s="140"/>
      <c r="M643" s="141"/>
      <c r="N643" s="141"/>
      <c r="O643" s="141"/>
      <c r="P643" s="247"/>
      <c r="Q643" s="218">
        <f>Q644</f>
        <v>200</v>
      </c>
      <c r="R643" s="218">
        <f aca="true" t="shared" si="50" ref="R643:S647">R644</f>
        <v>200</v>
      </c>
      <c r="S643" s="218">
        <f t="shared" si="50"/>
        <v>200</v>
      </c>
    </row>
    <row r="644" spans="1:19" s="179" customFormat="1" ht="30" customHeight="1">
      <c r="A644" s="142"/>
      <c r="B644" s="143"/>
      <c r="C644" s="142"/>
      <c r="D644" s="135"/>
      <c r="E644" s="135"/>
      <c r="F644" s="135"/>
      <c r="G644" s="136"/>
      <c r="H644" s="149" t="s">
        <v>337</v>
      </c>
      <c r="I644" s="138">
        <v>664</v>
      </c>
      <c r="J644" s="139">
        <v>4</v>
      </c>
      <c r="K644" s="139">
        <v>9</v>
      </c>
      <c r="L644" s="140"/>
      <c r="M644" s="141"/>
      <c r="N644" s="141"/>
      <c r="O644" s="141"/>
      <c r="P644" s="247"/>
      <c r="Q644" s="218">
        <f>Q645</f>
        <v>200</v>
      </c>
      <c r="R644" s="218">
        <f t="shared" si="50"/>
        <v>200</v>
      </c>
      <c r="S644" s="218">
        <f t="shared" si="50"/>
        <v>200</v>
      </c>
    </row>
    <row r="645" spans="1:19" ht="36.75" customHeight="1">
      <c r="A645" s="99"/>
      <c r="B645" s="98"/>
      <c r="C645" s="97"/>
      <c r="D645" s="94"/>
      <c r="E645" s="94"/>
      <c r="F645" s="94"/>
      <c r="G645" s="89"/>
      <c r="H645" s="5" t="s">
        <v>774</v>
      </c>
      <c r="I645" s="10">
        <v>664</v>
      </c>
      <c r="J645" s="16">
        <v>4</v>
      </c>
      <c r="K645" s="16">
        <v>9</v>
      </c>
      <c r="L645" s="95" t="s">
        <v>588</v>
      </c>
      <c r="M645" s="96" t="s">
        <v>563</v>
      </c>
      <c r="N645" s="96" t="s">
        <v>583</v>
      </c>
      <c r="O645" s="96" t="s">
        <v>620</v>
      </c>
      <c r="P645" s="23"/>
      <c r="Q645" s="219">
        <f>Q646</f>
        <v>200</v>
      </c>
      <c r="R645" s="219">
        <f t="shared" si="50"/>
        <v>200</v>
      </c>
      <c r="S645" s="219">
        <f t="shared" si="50"/>
        <v>200</v>
      </c>
    </row>
    <row r="646" spans="1:19" ht="24" customHeight="1">
      <c r="A646" s="99"/>
      <c r="B646" s="98"/>
      <c r="C646" s="97"/>
      <c r="D646" s="94"/>
      <c r="E646" s="94"/>
      <c r="F646" s="94"/>
      <c r="G646" s="89"/>
      <c r="H646" s="5" t="s">
        <v>784</v>
      </c>
      <c r="I646" s="10">
        <v>664</v>
      </c>
      <c r="J646" s="16">
        <v>4</v>
      </c>
      <c r="K646" s="16">
        <v>9</v>
      </c>
      <c r="L646" s="95" t="s">
        <v>588</v>
      </c>
      <c r="M646" s="96" t="s">
        <v>563</v>
      </c>
      <c r="N646" s="96" t="s">
        <v>588</v>
      </c>
      <c r="O646" s="96" t="s">
        <v>620</v>
      </c>
      <c r="P646" s="23"/>
      <c r="Q646" s="219">
        <f>Q647</f>
        <v>200</v>
      </c>
      <c r="R646" s="219">
        <f t="shared" si="50"/>
        <v>200</v>
      </c>
      <c r="S646" s="219">
        <f t="shared" si="50"/>
        <v>200</v>
      </c>
    </row>
    <row r="647" spans="1:19" ht="23.25" customHeight="1">
      <c r="A647" s="99"/>
      <c r="B647" s="98"/>
      <c r="C647" s="97"/>
      <c r="D647" s="94"/>
      <c r="E647" s="94"/>
      <c r="F647" s="94"/>
      <c r="G647" s="89"/>
      <c r="H647" s="5" t="s">
        <v>785</v>
      </c>
      <c r="I647" s="10">
        <v>664</v>
      </c>
      <c r="J647" s="16">
        <v>4</v>
      </c>
      <c r="K647" s="16">
        <v>9</v>
      </c>
      <c r="L647" s="95" t="s">
        <v>588</v>
      </c>
      <c r="M647" s="96" t="s">
        <v>563</v>
      </c>
      <c r="N647" s="96" t="s">
        <v>588</v>
      </c>
      <c r="O647" s="96" t="s">
        <v>761</v>
      </c>
      <c r="P647" s="23"/>
      <c r="Q647" s="219">
        <f>Q648</f>
        <v>200</v>
      </c>
      <c r="R647" s="219">
        <f t="shared" si="50"/>
        <v>200</v>
      </c>
      <c r="S647" s="219">
        <f t="shared" si="50"/>
        <v>200</v>
      </c>
    </row>
    <row r="648" spans="1:19" ht="20.25" customHeight="1">
      <c r="A648" s="99"/>
      <c r="B648" s="98"/>
      <c r="C648" s="97"/>
      <c r="D648" s="94"/>
      <c r="E648" s="94"/>
      <c r="F648" s="94"/>
      <c r="G648" s="89"/>
      <c r="H648" s="5" t="s">
        <v>773</v>
      </c>
      <c r="I648" s="10">
        <v>664</v>
      </c>
      <c r="J648" s="16">
        <v>4</v>
      </c>
      <c r="K648" s="16">
        <v>9</v>
      </c>
      <c r="L648" s="95" t="s">
        <v>588</v>
      </c>
      <c r="M648" s="96" t="s">
        <v>563</v>
      </c>
      <c r="N648" s="96" t="s">
        <v>588</v>
      </c>
      <c r="O648" s="96" t="s">
        <v>761</v>
      </c>
      <c r="P648" s="23">
        <v>240</v>
      </c>
      <c r="Q648" s="219">
        <v>200</v>
      </c>
      <c r="R648" s="219">
        <v>200</v>
      </c>
      <c r="S648" s="219">
        <v>200</v>
      </c>
    </row>
    <row r="649" spans="1:19" s="179" customFormat="1" ht="20.25" customHeight="1">
      <c r="A649" s="142"/>
      <c r="B649" s="143"/>
      <c r="C649" s="142"/>
      <c r="D649" s="235"/>
      <c r="E649" s="166"/>
      <c r="F649" s="166"/>
      <c r="G649" s="136"/>
      <c r="H649" s="137" t="s">
        <v>541</v>
      </c>
      <c r="I649" s="138">
        <v>664</v>
      </c>
      <c r="J649" s="139">
        <v>10</v>
      </c>
      <c r="K649" s="139" t="s">
        <v>621</v>
      </c>
      <c r="L649" s="140"/>
      <c r="M649" s="141"/>
      <c r="N649" s="141"/>
      <c r="O649" s="141"/>
      <c r="P649" s="247"/>
      <c r="Q649" s="218">
        <f>Q650</f>
        <v>4914.8</v>
      </c>
      <c r="R649" s="218">
        <f>R650</f>
        <v>4914.8</v>
      </c>
      <c r="S649" s="218">
        <f>S650</f>
        <v>4914.8</v>
      </c>
    </row>
    <row r="650" spans="1:19" s="179" customFormat="1" ht="20.25" customHeight="1">
      <c r="A650" s="142"/>
      <c r="B650" s="143"/>
      <c r="C650" s="142"/>
      <c r="D650" s="235"/>
      <c r="E650" s="166"/>
      <c r="F650" s="166"/>
      <c r="G650" s="136"/>
      <c r="H650" s="137" t="s">
        <v>540</v>
      </c>
      <c r="I650" s="138">
        <v>664</v>
      </c>
      <c r="J650" s="139">
        <v>10</v>
      </c>
      <c r="K650" s="139">
        <v>3</v>
      </c>
      <c r="L650" s="140"/>
      <c r="M650" s="141"/>
      <c r="N650" s="141"/>
      <c r="O650" s="141"/>
      <c r="P650" s="247"/>
      <c r="Q650" s="218">
        <f>Q651</f>
        <v>4914.8</v>
      </c>
      <c r="R650" s="218">
        <f>R653</f>
        <v>4914.8</v>
      </c>
      <c r="S650" s="218">
        <f>S653</f>
        <v>4914.8</v>
      </c>
    </row>
    <row r="651" spans="1:19" ht="37.5" customHeight="1">
      <c r="A651" s="97"/>
      <c r="B651" s="98"/>
      <c r="C651" s="97"/>
      <c r="D651" s="111"/>
      <c r="E651" s="114"/>
      <c r="F651" s="114"/>
      <c r="G651" s="89"/>
      <c r="H651" s="11" t="s">
        <v>140</v>
      </c>
      <c r="I651" s="10">
        <v>664</v>
      </c>
      <c r="J651" s="16">
        <v>10</v>
      </c>
      <c r="K651" s="16">
        <v>3</v>
      </c>
      <c r="L651" s="95" t="s">
        <v>138</v>
      </c>
      <c r="M651" s="96" t="s">
        <v>563</v>
      </c>
      <c r="N651" s="96" t="s">
        <v>583</v>
      </c>
      <c r="O651" s="96" t="s">
        <v>620</v>
      </c>
      <c r="P651" s="23"/>
      <c r="Q651" s="219">
        <f>Q652</f>
        <v>4914.8</v>
      </c>
      <c r="R651" s="219"/>
      <c r="S651" s="219"/>
    </row>
    <row r="652" spans="1:19" ht="50.25" customHeight="1">
      <c r="A652" s="97"/>
      <c r="B652" s="98"/>
      <c r="C652" s="97"/>
      <c r="D652" s="111"/>
      <c r="E652" s="114"/>
      <c r="F652" s="114"/>
      <c r="G652" s="89"/>
      <c r="H652" s="11" t="s">
        <v>139</v>
      </c>
      <c r="I652" s="10">
        <v>664</v>
      </c>
      <c r="J652" s="16">
        <v>10</v>
      </c>
      <c r="K652" s="16">
        <v>3</v>
      </c>
      <c r="L652" s="95" t="s">
        <v>138</v>
      </c>
      <c r="M652" s="96" t="s">
        <v>563</v>
      </c>
      <c r="N652" s="96" t="s">
        <v>141</v>
      </c>
      <c r="O652" s="96" t="s">
        <v>620</v>
      </c>
      <c r="P652" s="23"/>
      <c r="Q652" s="219">
        <f>Q653</f>
        <v>4914.8</v>
      </c>
      <c r="R652" s="219"/>
      <c r="S652" s="219"/>
    </row>
    <row r="653" spans="1:19" ht="51" customHeight="1">
      <c r="A653" s="99"/>
      <c r="B653" s="98"/>
      <c r="C653" s="103"/>
      <c r="D653" s="101"/>
      <c r="E653" s="113"/>
      <c r="F653" s="113"/>
      <c r="G653" s="89"/>
      <c r="H653" s="11" t="s">
        <v>298</v>
      </c>
      <c r="I653" s="10">
        <v>664</v>
      </c>
      <c r="J653" s="16">
        <v>10</v>
      </c>
      <c r="K653" s="16">
        <v>3</v>
      </c>
      <c r="L653" s="95" t="s">
        <v>138</v>
      </c>
      <c r="M653" s="96" t="s">
        <v>563</v>
      </c>
      <c r="N653" s="96" t="s">
        <v>137</v>
      </c>
      <c r="O653" s="96" t="s">
        <v>791</v>
      </c>
      <c r="P653" s="10"/>
      <c r="Q653" s="214">
        <f>Q654</f>
        <v>4914.8</v>
      </c>
      <c r="R653" s="214">
        <f>R654</f>
        <v>4914.8</v>
      </c>
      <c r="S653" s="214">
        <f>S654</f>
        <v>4914.8</v>
      </c>
    </row>
    <row r="654" spans="1:19" ht="27" customHeight="1">
      <c r="A654" s="99"/>
      <c r="B654" s="98"/>
      <c r="C654" s="103"/>
      <c r="D654" s="101"/>
      <c r="E654" s="113"/>
      <c r="F654" s="113"/>
      <c r="G654" s="89"/>
      <c r="H654" s="11" t="s">
        <v>725</v>
      </c>
      <c r="I654" s="10">
        <v>664</v>
      </c>
      <c r="J654" s="16">
        <v>10</v>
      </c>
      <c r="K654" s="16">
        <v>3</v>
      </c>
      <c r="L654" s="95" t="s">
        <v>138</v>
      </c>
      <c r="M654" s="96" t="s">
        <v>563</v>
      </c>
      <c r="N654" s="96" t="s">
        <v>137</v>
      </c>
      <c r="O654" s="96" t="s">
        <v>791</v>
      </c>
      <c r="P654" s="10">
        <v>320</v>
      </c>
      <c r="Q654" s="214">
        <v>4914.8</v>
      </c>
      <c r="R654" s="239">
        <v>4914.8</v>
      </c>
      <c r="S654" s="239">
        <v>4914.8</v>
      </c>
    </row>
    <row r="655" spans="1:19" ht="21.75" customHeight="1">
      <c r="A655" s="99"/>
      <c r="B655" s="98"/>
      <c r="C655" s="97"/>
      <c r="D655" s="363">
        <v>20000</v>
      </c>
      <c r="E655" s="364"/>
      <c r="F655" s="364"/>
      <c r="G655" s="89">
        <v>360</v>
      </c>
      <c r="H655" s="125" t="s">
        <v>532</v>
      </c>
      <c r="I655" s="90"/>
      <c r="J655" s="91"/>
      <c r="K655" s="91"/>
      <c r="L655" s="92"/>
      <c r="M655" s="93"/>
      <c r="N655" s="93"/>
      <c r="O655" s="93"/>
      <c r="P655" s="9"/>
      <c r="Q655" s="212">
        <f>Q14+Q354+Q367+Q379+Q439+Q612+Q319</f>
        <v>631669.5</v>
      </c>
      <c r="R655" s="315" t="e">
        <f>R14+R354+R367+R379+R439+R612+R319</f>
        <v>#REF!</v>
      </c>
      <c r="S655" s="315" t="e">
        <f>S14+S354+S367+S379+S439+S612+S319</f>
        <v>#REF!</v>
      </c>
    </row>
    <row r="656" spans="17:19" ht="15.75">
      <c r="Q656" s="321" t="s">
        <v>528</v>
      </c>
      <c r="S656" s="316" t="s">
        <v>528</v>
      </c>
    </row>
  </sheetData>
  <sheetProtection/>
  <mergeCells count="45">
    <mergeCell ref="D286:F286"/>
    <mergeCell ref="E247:F247"/>
    <mergeCell ref="D440:F440"/>
    <mergeCell ref="E294:F294"/>
    <mergeCell ref="D270:F270"/>
    <mergeCell ref="E381:F381"/>
    <mergeCell ref="E367:F367"/>
    <mergeCell ref="D302:F302"/>
    <mergeCell ref="A612:F612"/>
    <mergeCell ref="D655:F655"/>
    <mergeCell ref="E604:F604"/>
    <mergeCell ref="E605:F605"/>
    <mergeCell ref="A613:F613"/>
    <mergeCell ref="C614:F614"/>
    <mergeCell ref="E441:F441"/>
    <mergeCell ref="E58:F58"/>
    <mergeCell ref="C223:F223"/>
    <mergeCell ref="D41:F41"/>
    <mergeCell ref="D61:F61"/>
    <mergeCell ref="A369:F369"/>
    <mergeCell ref="D380:F380"/>
    <mergeCell ref="D280:F280"/>
    <mergeCell ref="D371:F371"/>
    <mergeCell ref="D232:F232"/>
    <mergeCell ref="Q12:S12"/>
    <mergeCell ref="R11:S11"/>
    <mergeCell ref="L12:O12"/>
    <mergeCell ref="C40:F40"/>
    <mergeCell ref="A15:F15"/>
    <mergeCell ref="A14:F14"/>
    <mergeCell ref="C230:F230"/>
    <mergeCell ref="L13:O13"/>
    <mergeCell ref="D245:F245"/>
    <mergeCell ref="E278:F278"/>
    <mergeCell ref="A39:F39"/>
    <mergeCell ref="C16:F16"/>
    <mergeCell ref="D18:F18"/>
    <mergeCell ref="E246:F246"/>
    <mergeCell ref="E160:F160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6"/>
  <sheetViews>
    <sheetView showGridLines="0" zoomScale="75" zoomScaleNormal="75" zoomScaleSheetLayoutView="100" zoomScalePageLayoutView="0" workbookViewId="0" topLeftCell="H574">
      <selection activeCell="R526" sqref="R526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6.7109375" style="175" customWidth="1"/>
    <col min="17" max="17" width="16.8515625" style="309" customWidth="1"/>
    <col min="18" max="18" width="18.00390625" style="309" customWidth="1"/>
    <col min="19" max="16384" width="9.140625" style="31" customWidth="1"/>
  </cols>
  <sheetData>
    <row r="1" ht="15.75">
      <c r="I1" s="176" t="s">
        <v>830</v>
      </c>
    </row>
    <row r="2" ht="15.75">
      <c r="I2" s="176" t="s">
        <v>529</v>
      </c>
    </row>
    <row r="3" ht="15.75">
      <c r="I3" s="68" t="s">
        <v>530</v>
      </c>
    </row>
    <row r="4" spans="8:18" ht="15.75">
      <c r="H4" s="317"/>
      <c r="I4" s="372" t="s">
        <v>107</v>
      </c>
      <c r="J4" s="372"/>
      <c r="K4" s="372"/>
      <c r="L4" s="372"/>
      <c r="M4" s="372"/>
      <c r="N4" s="372"/>
      <c r="O4" s="372"/>
      <c r="P4" s="372"/>
      <c r="Q4" s="372"/>
      <c r="R4" s="372"/>
    </row>
    <row r="5" spans="9:18" ht="15.75">
      <c r="I5" s="372" t="s">
        <v>13</v>
      </c>
      <c r="J5" s="372"/>
      <c r="K5" s="372"/>
      <c r="L5" s="372"/>
      <c r="M5" s="372"/>
      <c r="N5" s="372"/>
      <c r="O5" s="372"/>
      <c r="P5" s="372"/>
      <c r="Q5" s="372"/>
      <c r="R5" s="372"/>
    </row>
    <row r="6" spans="9:18" ht="15.75">
      <c r="I6" s="372" t="s">
        <v>828</v>
      </c>
      <c r="J6" s="372"/>
      <c r="K6" s="372"/>
      <c r="L6" s="372"/>
      <c r="M6" s="372"/>
      <c r="N6" s="372"/>
      <c r="O6" s="372"/>
      <c r="P6" s="372"/>
      <c r="Q6" s="372"/>
      <c r="R6" s="372"/>
    </row>
    <row r="7" spans="1:18" ht="19.5" customHeight="1">
      <c r="A7" s="66"/>
      <c r="B7" s="66"/>
      <c r="C7" s="66"/>
      <c r="D7" s="66"/>
      <c r="E7" s="66"/>
      <c r="F7" s="66"/>
      <c r="G7" s="66"/>
      <c r="H7" s="67"/>
      <c r="I7" s="365" t="s">
        <v>0</v>
      </c>
      <c r="J7" s="365"/>
      <c r="K7" s="365"/>
      <c r="L7" s="365"/>
      <c r="M7" s="365"/>
      <c r="N7" s="365"/>
      <c r="O7" s="365"/>
      <c r="P7" s="365"/>
      <c r="Q7" s="365"/>
      <c r="R7" s="365"/>
    </row>
    <row r="8" spans="1:18" ht="15.75" customHeight="1">
      <c r="A8" s="66"/>
      <c r="B8" s="66"/>
      <c r="C8" s="66"/>
      <c r="D8" s="66"/>
      <c r="E8" s="66"/>
      <c r="F8" s="66"/>
      <c r="G8" s="66"/>
      <c r="H8" s="67"/>
      <c r="I8" s="365" t="s">
        <v>104</v>
      </c>
      <c r="J8" s="365"/>
      <c r="K8" s="365"/>
      <c r="L8" s="365"/>
      <c r="M8" s="365"/>
      <c r="N8" s="365"/>
      <c r="O8" s="365"/>
      <c r="P8" s="365"/>
      <c r="Q8" s="365"/>
      <c r="R8" s="365"/>
    </row>
    <row r="9" spans="1:16" ht="14.25" customHeight="1">
      <c r="A9" s="66"/>
      <c r="B9" s="66"/>
      <c r="C9" s="66"/>
      <c r="D9" s="66"/>
      <c r="E9" s="66"/>
      <c r="F9" s="66"/>
      <c r="G9" s="66"/>
      <c r="H9" s="67" t="s">
        <v>621</v>
      </c>
      <c r="I9" s="72" t="s">
        <v>621</v>
      </c>
      <c r="J9" s="73" t="s">
        <v>621</v>
      </c>
      <c r="K9" s="73"/>
      <c r="L9" s="70"/>
      <c r="M9" s="70"/>
      <c r="N9" s="70"/>
      <c r="O9" s="70" t="s">
        <v>621</v>
      </c>
      <c r="P9" s="73"/>
    </row>
    <row r="10" spans="1:18" ht="51" customHeight="1">
      <c r="A10" s="74"/>
      <c r="B10" s="74"/>
      <c r="C10" s="74"/>
      <c r="D10" s="74"/>
      <c r="E10" s="74"/>
      <c r="F10" s="74"/>
      <c r="G10" s="74"/>
      <c r="H10" s="385" t="s">
        <v>713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</row>
    <row r="11" spans="1:18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389" t="s">
        <v>12</v>
      </c>
      <c r="R11" s="389"/>
    </row>
    <row r="12" spans="1:18" ht="42.75" customHeight="1">
      <c r="A12" s="77"/>
      <c r="B12" s="77" t="s">
        <v>516</v>
      </c>
      <c r="C12" s="78" t="s">
        <v>515</v>
      </c>
      <c r="D12" s="78" t="s">
        <v>514</v>
      </c>
      <c r="E12" s="78" t="s">
        <v>513</v>
      </c>
      <c r="F12" s="78" t="s">
        <v>512</v>
      </c>
      <c r="G12" s="78" t="s">
        <v>511</v>
      </c>
      <c r="H12" s="79" t="s">
        <v>510</v>
      </c>
      <c r="I12" s="80" t="s">
        <v>509</v>
      </c>
      <c r="J12" s="80" t="s">
        <v>508</v>
      </c>
      <c r="K12" s="79" t="s">
        <v>507</v>
      </c>
      <c r="L12" s="373" t="s">
        <v>506</v>
      </c>
      <c r="M12" s="374"/>
      <c r="N12" s="374"/>
      <c r="O12" s="375"/>
      <c r="P12" s="79" t="s">
        <v>505</v>
      </c>
      <c r="Q12" s="383" t="s">
        <v>504</v>
      </c>
      <c r="R12" s="384"/>
    </row>
    <row r="13" spans="1:18" ht="30" customHeight="1">
      <c r="A13" s="199"/>
      <c r="B13" s="199"/>
      <c r="C13" s="199"/>
      <c r="D13" s="199"/>
      <c r="E13" s="199"/>
      <c r="F13" s="199"/>
      <c r="G13" s="199"/>
      <c r="H13" s="79"/>
      <c r="I13" s="193"/>
      <c r="J13" s="80"/>
      <c r="K13" s="79"/>
      <c r="L13" s="196"/>
      <c r="M13" s="197"/>
      <c r="N13" s="197"/>
      <c r="O13" s="198"/>
      <c r="P13" s="79"/>
      <c r="Q13" s="261" t="s">
        <v>284</v>
      </c>
      <c r="R13" s="261" t="s">
        <v>1</v>
      </c>
    </row>
    <row r="14" spans="1:18" ht="18.75" customHeight="1">
      <c r="A14" s="81"/>
      <c r="B14" s="82"/>
      <c r="C14" s="82"/>
      <c r="D14" s="82"/>
      <c r="E14" s="82"/>
      <c r="F14" s="82"/>
      <c r="G14" s="83"/>
      <c r="H14" s="84">
        <v>1</v>
      </c>
      <c r="I14" s="85">
        <v>2</v>
      </c>
      <c r="J14" s="86">
        <v>3</v>
      </c>
      <c r="K14" s="84">
        <v>4</v>
      </c>
      <c r="L14" s="386">
        <v>5</v>
      </c>
      <c r="M14" s="387"/>
      <c r="N14" s="387"/>
      <c r="O14" s="388"/>
      <c r="P14" s="84">
        <v>6</v>
      </c>
      <c r="Q14" s="318">
        <v>7</v>
      </c>
      <c r="R14" s="318">
        <v>8</v>
      </c>
    </row>
    <row r="15" spans="1:18" s="319" customFormat="1" ht="18.75" customHeight="1">
      <c r="A15" s="390">
        <v>1</v>
      </c>
      <c r="B15" s="390"/>
      <c r="C15" s="390"/>
      <c r="D15" s="390"/>
      <c r="E15" s="390"/>
      <c r="F15" s="390"/>
      <c r="G15" s="132">
        <v>120</v>
      </c>
      <c r="H15" s="33" t="s">
        <v>517</v>
      </c>
      <c r="I15" s="14">
        <v>27</v>
      </c>
      <c r="J15" s="15" t="s">
        <v>534</v>
      </c>
      <c r="K15" s="15" t="s">
        <v>534</v>
      </c>
      <c r="L15" s="133" t="s">
        <v>534</v>
      </c>
      <c r="M15" s="134" t="s">
        <v>534</v>
      </c>
      <c r="N15" s="134"/>
      <c r="O15" s="134" t="s">
        <v>534</v>
      </c>
      <c r="P15" s="14" t="s">
        <v>534</v>
      </c>
      <c r="Q15" s="212">
        <f>Q16+Q72+Q87+Q158+Q198+Q209+Q230+Q254+Q258+Q282</f>
        <v>167805.99999999997</v>
      </c>
      <c r="R15" s="212">
        <f>R16+R72+R87+R158+R198+R209+R230+R254+R258+R282</f>
        <v>129786.90000000001</v>
      </c>
    </row>
    <row r="16" spans="1:18" s="179" customFormat="1" ht="18.75" customHeight="1">
      <c r="A16" s="370">
        <v>100</v>
      </c>
      <c r="B16" s="370"/>
      <c r="C16" s="371"/>
      <c r="D16" s="371"/>
      <c r="E16" s="371"/>
      <c r="F16" s="371"/>
      <c r="G16" s="136">
        <v>120</v>
      </c>
      <c r="H16" s="137" t="s">
        <v>536</v>
      </c>
      <c r="I16" s="138">
        <v>27</v>
      </c>
      <c r="J16" s="139">
        <v>1</v>
      </c>
      <c r="K16" s="139" t="s">
        <v>621</v>
      </c>
      <c r="L16" s="140" t="s">
        <v>534</v>
      </c>
      <c r="M16" s="141" t="s">
        <v>534</v>
      </c>
      <c r="N16" s="141"/>
      <c r="O16" s="141" t="s">
        <v>534</v>
      </c>
      <c r="P16" s="138" t="s">
        <v>534</v>
      </c>
      <c r="Q16" s="213">
        <f>Q17+Q35+Q38+Q42</f>
        <v>38452</v>
      </c>
      <c r="R16" s="213">
        <f>R17+R35+R38+R42</f>
        <v>52760.3</v>
      </c>
    </row>
    <row r="17" spans="1:18" s="179" customFormat="1" ht="45" customHeight="1">
      <c r="A17" s="142"/>
      <c r="B17" s="143"/>
      <c r="C17" s="370">
        <v>104</v>
      </c>
      <c r="D17" s="371"/>
      <c r="E17" s="371"/>
      <c r="F17" s="371"/>
      <c r="G17" s="136">
        <v>120</v>
      </c>
      <c r="H17" s="137" t="s">
        <v>502</v>
      </c>
      <c r="I17" s="138">
        <v>27</v>
      </c>
      <c r="J17" s="139">
        <v>1</v>
      </c>
      <c r="K17" s="139">
        <v>4</v>
      </c>
      <c r="L17" s="140" t="s">
        <v>534</v>
      </c>
      <c r="M17" s="141" t="s">
        <v>534</v>
      </c>
      <c r="N17" s="141" t="s">
        <v>621</v>
      </c>
      <c r="O17" s="141" t="s">
        <v>534</v>
      </c>
      <c r="P17" s="138" t="s">
        <v>534</v>
      </c>
      <c r="Q17" s="213">
        <f>Q18</f>
        <v>20997.4</v>
      </c>
      <c r="R17" s="213">
        <f>R18</f>
        <v>22839.9</v>
      </c>
    </row>
    <row r="18" spans="1:18" ht="27" customHeight="1">
      <c r="A18" s="99"/>
      <c r="B18" s="98"/>
      <c r="C18" s="97"/>
      <c r="D18" s="94"/>
      <c r="E18" s="94"/>
      <c r="F18" s="94"/>
      <c r="G18" s="89"/>
      <c r="H18" s="11" t="s">
        <v>341</v>
      </c>
      <c r="I18" s="10">
        <v>27</v>
      </c>
      <c r="J18" s="16">
        <v>1</v>
      </c>
      <c r="K18" s="16">
        <v>4</v>
      </c>
      <c r="L18" s="16" t="s">
        <v>580</v>
      </c>
      <c r="M18" s="96" t="s">
        <v>563</v>
      </c>
      <c r="N18" s="96" t="s">
        <v>583</v>
      </c>
      <c r="O18" s="96" t="s">
        <v>620</v>
      </c>
      <c r="P18" s="10"/>
      <c r="Q18" s="214">
        <f>Q19+Q23+Q26+Q28+Q31+Q33</f>
        <v>20997.4</v>
      </c>
      <c r="R18" s="214">
        <f>R19+R23+R26+R28+R31+R33</f>
        <v>22839.9</v>
      </c>
    </row>
    <row r="19" spans="1:18" ht="29.25" customHeight="1">
      <c r="A19" s="99"/>
      <c r="B19" s="98"/>
      <c r="C19" s="97"/>
      <c r="D19" s="363">
        <v>20000</v>
      </c>
      <c r="E19" s="364"/>
      <c r="F19" s="364"/>
      <c r="G19" s="89">
        <v>120</v>
      </c>
      <c r="H19" s="11" t="s">
        <v>342</v>
      </c>
      <c r="I19" s="10">
        <v>27</v>
      </c>
      <c r="J19" s="16">
        <v>1</v>
      </c>
      <c r="K19" s="16">
        <v>4</v>
      </c>
      <c r="L19" s="16" t="s">
        <v>580</v>
      </c>
      <c r="M19" s="96" t="s">
        <v>563</v>
      </c>
      <c r="N19" s="96" t="s">
        <v>583</v>
      </c>
      <c r="O19" s="96" t="s">
        <v>648</v>
      </c>
      <c r="P19" s="10" t="s">
        <v>534</v>
      </c>
      <c r="Q19" s="214">
        <f>SUM(Q20:Q22)</f>
        <v>20997.4</v>
      </c>
      <c r="R19" s="214">
        <f>SUM(R20:R22)</f>
        <v>22839.9</v>
      </c>
    </row>
    <row r="20" spans="1:18" ht="29.25" customHeight="1">
      <c r="A20" s="99"/>
      <c r="B20" s="98"/>
      <c r="C20" s="97"/>
      <c r="D20" s="101"/>
      <c r="E20" s="102"/>
      <c r="F20" s="102"/>
      <c r="G20" s="89"/>
      <c r="H20" s="11" t="s">
        <v>533</v>
      </c>
      <c r="I20" s="6">
        <v>27</v>
      </c>
      <c r="J20" s="16">
        <v>1</v>
      </c>
      <c r="K20" s="16">
        <v>4</v>
      </c>
      <c r="L20" s="16">
        <v>91</v>
      </c>
      <c r="M20" s="96" t="s">
        <v>563</v>
      </c>
      <c r="N20" s="96" t="s">
        <v>583</v>
      </c>
      <c r="O20" s="96" t="s">
        <v>648</v>
      </c>
      <c r="P20" s="10">
        <v>120</v>
      </c>
      <c r="Q20" s="214">
        <f>14355.1+2182.3</f>
        <v>16537.4</v>
      </c>
      <c r="R20" s="214">
        <f>14355.1+2182.3</f>
        <v>16537.4</v>
      </c>
    </row>
    <row r="21" spans="1:18" ht="26.25" customHeight="1">
      <c r="A21" s="99"/>
      <c r="B21" s="98"/>
      <c r="C21" s="103"/>
      <c r="D21" s="101"/>
      <c r="E21" s="104"/>
      <c r="F21" s="104"/>
      <c r="G21" s="105"/>
      <c r="H21" s="5" t="s">
        <v>720</v>
      </c>
      <c r="I21" s="8">
        <v>27</v>
      </c>
      <c r="J21" s="16">
        <v>1</v>
      </c>
      <c r="K21" s="16">
        <v>4</v>
      </c>
      <c r="L21" s="16">
        <v>91</v>
      </c>
      <c r="M21" s="96" t="s">
        <v>563</v>
      </c>
      <c r="N21" s="96" t="s">
        <v>583</v>
      </c>
      <c r="O21" s="96" t="s">
        <v>648</v>
      </c>
      <c r="P21" s="6">
        <v>240</v>
      </c>
      <c r="Q21" s="214">
        <f>7892.3-2000-2182.3</f>
        <v>3710</v>
      </c>
      <c r="R21" s="214">
        <f>7734.8-2182.3</f>
        <v>5552.5</v>
      </c>
    </row>
    <row r="22" spans="1:18" ht="20.25" customHeight="1">
      <c r="A22" s="99"/>
      <c r="B22" s="98"/>
      <c r="C22" s="106"/>
      <c r="D22" s="107"/>
      <c r="E22" s="104"/>
      <c r="F22" s="104"/>
      <c r="G22" s="89"/>
      <c r="H22" s="108" t="s">
        <v>721</v>
      </c>
      <c r="I22" s="8">
        <v>27</v>
      </c>
      <c r="J22" s="16">
        <v>1</v>
      </c>
      <c r="K22" s="16">
        <v>4</v>
      </c>
      <c r="L22" s="16">
        <v>91</v>
      </c>
      <c r="M22" s="96" t="s">
        <v>563</v>
      </c>
      <c r="N22" s="96" t="s">
        <v>583</v>
      </c>
      <c r="O22" s="96" t="s">
        <v>648</v>
      </c>
      <c r="P22" s="6">
        <v>850</v>
      </c>
      <c r="Q22" s="214">
        <v>750</v>
      </c>
      <c r="R22" s="214">
        <v>750</v>
      </c>
    </row>
    <row r="23" spans="1:18" ht="36" customHeight="1" hidden="1">
      <c r="A23" s="99"/>
      <c r="B23" s="98"/>
      <c r="C23" s="106"/>
      <c r="D23" s="107"/>
      <c r="E23" s="104"/>
      <c r="F23" s="104"/>
      <c r="G23" s="89"/>
      <c r="H23" s="11" t="s">
        <v>58</v>
      </c>
      <c r="I23" s="10">
        <v>27</v>
      </c>
      <c r="J23" s="16">
        <v>1</v>
      </c>
      <c r="K23" s="16">
        <v>4</v>
      </c>
      <c r="L23" s="16">
        <v>91</v>
      </c>
      <c r="M23" s="96" t="s">
        <v>563</v>
      </c>
      <c r="N23" s="96" t="s">
        <v>583</v>
      </c>
      <c r="O23" s="96" t="s">
        <v>57</v>
      </c>
      <c r="P23" s="10"/>
      <c r="Q23" s="214">
        <f>SUM(Q24:Q25)</f>
        <v>0</v>
      </c>
      <c r="R23" s="214">
        <f>SUM(R24:R25)</f>
        <v>0</v>
      </c>
    </row>
    <row r="24" spans="1:18" ht="18" customHeight="1" hidden="1">
      <c r="A24" s="99"/>
      <c r="B24" s="98"/>
      <c r="C24" s="106"/>
      <c r="D24" s="107"/>
      <c r="E24" s="104"/>
      <c r="F24" s="104"/>
      <c r="G24" s="89"/>
      <c r="H24" s="11" t="s">
        <v>533</v>
      </c>
      <c r="I24" s="10">
        <v>27</v>
      </c>
      <c r="J24" s="16">
        <v>1</v>
      </c>
      <c r="K24" s="16">
        <v>4</v>
      </c>
      <c r="L24" s="16">
        <v>91</v>
      </c>
      <c r="M24" s="96" t="s">
        <v>563</v>
      </c>
      <c r="N24" s="96" t="s">
        <v>583</v>
      </c>
      <c r="O24" s="96" t="s">
        <v>57</v>
      </c>
      <c r="P24" s="10">
        <v>120</v>
      </c>
      <c r="Q24" s="214">
        <v>0</v>
      </c>
      <c r="R24" s="214">
        <v>0</v>
      </c>
    </row>
    <row r="25" spans="1:18" ht="17.25" customHeight="1" hidden="1">
      <c r="A25" s="99"/>
      <c r="B25" s="98"/>
      <c r="C25" s="106"/>
      <c r="D25" s="107"/>
      <c r="E25" s="104"/>
      <c r="F25" s="104"/>
      <c r="G25" s="89"/>
      <c r="H25" s="11" t="s">
        <v>720</v>
      </c>
      <c r="I25" s="10">
        <v>27</v>
      </c>
      <c r="J25" s="16">
        <v>1</v>
      </c>
      <c r="K25" s="16">
        <v>4</v>
      </c>
      <c r="L25" s="16">
        <v>91</v>
      </c>
      <c r="M25" s="96" t="s">
        <v>563</v>
      </c>
      <c r="N25" s="96" t="s">
        <v>583</v>
      </c>
      <c r="O25" s="96" t="s">
        <v>57</v>
      </c>
      <c r="P25" s="10">
        <v>240</v>
      </c>
      <c r="Q25" s="214">
        <v>0</v>
      </c>
      <c r="R25" s="214">
        <v>0</v>
      </c>
    </row>
    <row r="26" spans="1:18" ht="56.25" customHeight="1" hidden="1">
      <c r="A26" s="99"/>
      <c r="B26" s="98"/>
      <c r="C26" s="106"/>
      <c r="D26" s="107"/>
      <c r="E26" s="104"/>
      <c r="F26" s="104"/>
      <c r="G26" s="89"/>
      <c r="H26" s="11" t="s">
        <v>698</v>
      </c>
      <c r="I26" s="10">
        <v>27</v>
      </c>
      <c r="J26" s="16">
        <v>1</v>
      </c>
      <c r="K26" s="16">
        <v>4</v>
      </c>
      <c r="L26" s="16">
        <v>91</v>
      </c>
      <c r="M26" s="96" t="s">
        <v>563</v>
      </c>
      <c r="N26" s="96" t="s">
        <v>583</v>
      </c>
      <c r="O26" s="96" t="s">
        <v>59</v>
      </c>
      <c r="P26" s="10"/>
      <c r="Q26" s="214">
        <v>0</v>
      </c>
      <c r="R26" s="214">
        <v>0</v>
      </c>
    </row>
    <row r="27" spans="1:18" ht="27.75" customHeight="1" hidden="1">
      <c r="A27" s="99"/>
      <c r="B27" s="98"/>
      <c r="C27" s="106"/>
      <c r="D27" s="107"/>
      <c r="E27" s="104"/>
      <c r="F27" s="104"/>
      <c r="G27" s="89"/>
      <c r="H27" s="11" t="s">
        <v>533</v>
      </c>
      <c r="I27" s="10">
        <v>27</v>
      </c>
      <c r="J27" s="16">
        <v>1</v>
      </c>
      <c r="K27" s="16">
        <v>4</v>
      </c>
      <c r="L27" s="16">
        <v>91</v>
      </c>
      <c r="M27" s="96" t="s">
        <v>563</v>
      </c>
      <c r="N27" s="96" t="s">
        <v>583</v>
      </c>
      <c r="O27" s="96" t="s">
        <v>59</v>
      </c>
      <c r="P27" s="10">
        <v>120</v>
      </c>
      <c r="Q27" s="214">
        <v>0</v>
      </c>
      <c r="R27" s="214">
        <v>0</v>
      </c>
    </row>
    <row r="28" spans="1:18" ht="66" customHeight="1" hidden="1">
      <c r="A28" s="99"/>
      <c r="B28" s="98"/>
      <c r="C28" s="106"/>
      <c r="D28" s="107"/>
      <c r="E28" s="104"/>
      <c r="F28" s="104"/>
      <c r="G28" s="89"/>
      <c r="H28" s="11" t="s">
        <v>699</v>
      </c>
      <c r="I28" s="10">
        <v>27</v>
      </c>
      <c r="J28" s="16">
        <v>1</v>
      </c>
      <c r="K28" s="16">
        <v>4</v>
      </c>
      <c r="L28" s="16">
        <v>91</v>
      </c>
      <c r="M28" s="96" t="s">
        <v>563</v>
      </c>
      <c r="N28" s="96" t="s">
        <v>583</v>
      </c>
      <c r="O28" s="96" t="s">
        <v>753</v>
      </c>
      <c r="P28" s="10"/>
      <c r="Q28" s="214">
        <f>SUM(Q29:Q30)</f>
        <v>0</v>
      </c>
      <c r="R28" s="214">
        <f>SUM(R29:R30)</f>
        <v>0</v>
      </c>
    </row>
    <row r="29" spans="1:18" ht="26.25" customHeight="1" hidden="1">
      <c r="A29" s="99"/>
      <c r="B29" s="98"/>
      <c r="C29" s="106"/>
      <c r="D29" s="107"/>
      <c r="E29" s="104"/>
      <c r="F29" s="104"/>
      <c r="G29" s="89"/>
      <c r="H29" s="11" t="s">
        <v>533</v>
      </c>
      <c r="I29" s="10">
        <v>27</v>
      </c>
      <c r="J29" s="16">
        <v>1</v>
      </c>
      <c r="K29" s="16">
        <v>4</v>
      </c>
      <c r="L29" s="16">
        <v>91</v>
      </c>
      <c r="M29" s="96" t="s">
        <v>563</v>
      </c>
      <c r="N29" s="96" t="s">
        <v>583</v>
      </c>
      <c r="O29" s="96" t="s">
        <v>753</v>
      </c>
      <c r="P29" s="10">
        <v>120</v>
      </c>
      <c r="Q29" s="214">
        <v>0</v>
      </c>
      <c r="R29" s="214">
        <v>0</v>
      </c>
    </row>
    <row r="30" spans="1:18" ht="30" customHeight="1" hidden="1">
      <c r="A30" s="99"/>
      <c r="B30" s="98"/>
      <c r="C30" s="106"/>
      <c r="D30" s="107"/>
      <c r="E30" s="104"/>
      <c r="F30" s="104"/>
      <c r="G30" s="89"/>
      <c r="H30" s="11" t="s">
        <v>720</v>
      </c>
      <c r="I30" s="10">
        <v>27</v>
      </c>
      <c r="J30" s="16">
        <v>1</v>
      </c>
      <c r="K30" s="16">
        <v>4</v>
      </c>
      <c r="L30" s="16">
        <v>91</v>
      </c>
      <c r="M30" s="96" t="s">
        <v>563</v>
      </c>
      <c r="N30" s="96" t="s">
        <v>583</v>
      </c>
      <c r="O30" s="96" t="s">
        <v>753</v>
      </c>
      <c r="P30" s="10">
        <v>240</v>
      </c>
      <c r="Q30" s="215">
        <v>0</v>
      </c>
      <c r="R30" s="215">
        <v>0</v>
      </c>
    </row>
    <row r="31" spans="1:18" ht="27" customHeight="1" hidden="1">
      <c r="A31" s="99"/>
      <c r="B31" s="98"/>
      <c r="C31" s="106"/>
      <c r="D31" s="107"/>
      <c r="E31" s="104"/>
      <c r="F31" s="104"/>
      <c r="G31" s="89"/>
      <c r="H31" s="11" t="s">
        <v>756</v>
      </c>
      <c r="I31" s="10">
        <v>27</v>
      </c>
      <c r="J31" s="16">
        <v>1</v>
      </c>
      <c r="K31" s="16">
        <v>4</v>
      </c>
      <c r="L31" s="16">
        <v>91</v>
      </c>
      <c r="M31" s="96" t="s">
        <v>563</v>
      </c>
      <c r="N31" s="96" t="s">
        <v>583</v>
      </c>
      <c r="O31" s="96" t="s">
        <v>754</v>
      </c>
      <c r="P31" s="10"/>
      <c r="Q31" s="214">
        <f>Q32</f>
        <v>0</v>
      </c>
      <c r="R31" s="214">
        <f>R32</f>
        <v>0</v>
      </c>
    </row>
    <row r="32" spans="1:18" ht="24" customHeight="1" hidden="1">
      <c r="A32" s="99"/>
      <c r="B32" s="98"/>
      <c r="C32" s="106"/>
      <c r="D32" s="107"/>
      <c r="E32" s="104"/>
      <c r="F32" s="104"/>
      <c r="G32" s="89"/>
      <c r="H32" s="11" t="s">
        <v>533</v>
      </c>
      <c r="I32" s="10">
        <v>27</v>
      </c>
      <c r="J32" s="16">
        <v>1</v>
      </c>
      <c r="K32" s="16">
        <v>4</v>
      </c>
      <c r="L32" s="16">
        <v>91</v>
      </c>
      <c r="M32" s="96" t="s">
        <v>563</v>
      </c>
      <c r="N32" s="96" t="s">
        <v>583</v>
      </c>
      <c r="O32" s="96" t="s">
        <v>754</v>
      </c>
      <c r="P32" s="10">
        <v>120</v>
      </c>
      <c r="Q32" s="214"/>
      <c r="R32" s="214"/>
    </row>
    <row r="33" spans="1:18" ht="67.5" customHeight="1" hidden="1">
      <c r="A33" s="99"/>
      <c r="B33" s="98"/>
      <c r="C33" s="106"/>
      <c r="D33" s="107"/>
      <c r="E33" s="104"/>
      <c r="F33" s="104"/>
      <c r="G33" s="89"/>
      <c r="H33" s="11" t="s">
        <v>700</v>
      </c>
      <c r="I33" s="10">
        <v>27</v>
      </c>
      <c r="J33" s="16">
        <v>1</v>
      </c>
      <c r="K33" s="16">
        <v>4</v>
      </c>
      <c r="L33" s="16">
        <v>91</v>
      </c>
      <c r="M33" s="96" t="s">
        <v>563</v>
      </c>
      <c r="N33" s="96" t="s">
        <v>583</v>
      </c>
      <c r="O33" s="96" t="s">
        <v>5</v>
      </c>
      <c r="P33" s="10"/>
      <c r="Q33" s="214">
        <v>0</v>
      </c>
      <c r="R33" s="214">
        <v>0</v>
      </c>
    </row>
    <row r="34" spans="1:18" ht="24" customHeight="1" hidden="1">
      <c r="A34" s="99"/>
      <c r="B34" s="98"/>
      <c r="C34" s="106"/>
      <c r="D34" s="107"/>
      <c r="E34" s="104"/>
      <c r="F34" s="104"/>
      <c r="G34" s="89"/>
      <c r="H34" s="11" t="s">
        <v>720</v>
      </c>
      <c r="I34" s="10">
        <v>27</v>
      </c>
      <c r="J34" s="16">
        <v>1</v>
      </c>
      <c r="K34" s="16">
        <v>4</v>
      </c>
      <c r="L34" s="16">
        <v>91</v>
      </c>
      <c r="M34" s="96" t="s">
        <v>563</v>
      </c>
      <c r="N34" s="96" t="s">
        <v>583</v>
      </c>
      <c r="O34" s="96" t="s">
        <v>5</v>
      </c>
      <c r="P34" s="10">
        <v>240</v>
      </c>
      <c r="Q34" s="214">
        <v>0</v>
      </c>
      <c r="R34" s="214">
        <v>0</v>
      </c>
    </row>
    <row r="35" spans="1:18" s="179" customFormat="1" ht="27.75" customHeight="1">
      <c r="A35" s="142"/>
      <c r="B35" s="143"/>
      <c r="C35" s="157"/>
      <c r="D35" s="170"/>
      <c r="E35" s="145"/>
      <c r="F35" s="145"/>
      <c r="G35" s="136"/>
      <c r="H35" s="137" t="s">
        <v>616</v>
      </c>
      <c r="I35" s="138">
        <v>27</v>
      </c>
      <c r="J35" s="139">
        <v>1</v>
      </c>
      <c r="K35" s="139">
        <v>5</v>
      </c>
      <c r="L35" s="139"/>
      <c r="M35" s="141"/>
      <c r="N35" s="141"/>
      <c r="O35" s="141"/>
      <c r="P35" s="138"/>
      <c r="Q35" s="213">
        <f>Q36</f>
        <v>10.1</v>
      </c>
      <c r="R35" s="213">
        <f>R36</f>
        <v>28.7</v>
      </c>
    </row>
    <row r="36" spans="1:18" ht="36.75" customHeight="1">
      <c r="A36" s="99"/>
      <c r="B36" s="98"/>
      <c r="C36" s="106"/>
      <c r="D36" s="107"/>
      <c r="E36" s="104"/>
      <c r="F36" s="104"/>
      <c r="G36" s="89"/>
      <c r="H36" s="11" t="s">
        <v>764</v>
      </c>
      <c r="I36" s="10">
        <v>27</v>
      </c>
      <c r="J36" s="16">
        <v>1</v>
      </c>
      <c r="K36" s="16">
        <v>5</v>
      </c>
      <c r="L36" s="16">
        <v>91</v>
      </c>
      <c r="M36" s="96" t="s">
        <v>563</v>
      </c>
      <c r="N36" s="96" t="s">
        <v>583</v>
      </c>
      <c r="O36" s="96" t="s">
        <v>763</v>
      </c>
      <c r="P36" s="10"/>
      <c r="Q36" s="214">
        <f>Q37</f>
        <v>10.1</v>
      </c>
      <c r="R36" s="214">
        <f>R37</f>
        <v>28.7</v>
      </c>
    </row>
    <row r="37" spans="1:18" ht="27.75" customHeight="1">
      <c r="A37" s="99"/>
      <c r="B37" s="98"/>
      <c r="C37" s="106"/>
      <c r="D37" s="107"/>
      <c r="E37" s="104"/>
      <c r="F37" s="104"/>
      <c r="G37" s="89"/>
      <c r="H37" s="11" t="s">
        <v>720</v>
      </c>
      <c r="I37" s="10">
        <v>27</v>
      </c>
      <c r="J37" s="16">
        <v>1</v>
      </c>
      <c r="K37" s="16">
        <v>5</v>
      </c>
      <c r="L37" s="16">
        <v>91</v>
      </c>
      <c r="M37" s="96" t="s">
        <v>563</v>
      </c>
      <c r="N37" s="96" t="s">
        <v>583</v>
      </c>
      <c r="O37" s="96" t="s">
        <v>763</v>
      </c>
      <c r="P37" s="10">
        <v>240</v>
      </c>
      <c r="Q37" s="214">
        <v>10.1</v>
      </c>
      <c r="R37" s="214">
        <v>28.7</v>
      </c>
    </row>
    <row r="38" spans="1:18" s="179" customFormat="1" ht="18.75" customHeight="1">
      <c r="A38" s="370">
        <v>1200</v>
      </c>
      <c r="B38" s="370"/>
      <c r="C38" s="371"/>
      <c r="D38" s="371"/>
      <c r="E38" s="371"/>
      <c r="F38" s="371"/>
      <c r="G38" s="136">
        <v>622</v>
      </c>
      <c r="H38" s="137" t="s">
        <v>370</v>
      </c>
      <c r="I38" s="138">
        <v>27</v>
      </c>
      <c r="J38" s="139">
        <v>1</v>
      </c>
      <c r="K38" s="139">
        <v>11</v>
      </c>
      <c r="L38" s="140" t="s">
        <v>534</v>
      </c>
      <c r="M38" s="141" t="s">
        <v>534</v>
      </c>
      <c r="N38" s="141"/>
      <c r="O38" s="141" t="s">
        <v>534</v>
      </c>
      <c r="P38" s="138" t="s">
        <v>534</v>
      </c>
      <c r="Q38" s="213">
        <f aca="true" t="shared" si="0" ref="Q38:R40">Q39</f>
        <v>500</v>
      </c>
      <c r="R38" s="213">
        <f t="shared" si="0"/>
        <v>500</v>
      </c>
    </row>
    <row r="39" spans="1:18" ht="23.25" customHeight="1">
      <c r="A39" s="99"/>
      <c r="B39" s="98"/>
      <c r="C39" s="376">
        <v>1204</v>
      </c>
      <c r="D39" s="377"/>
      <c r="E39" s="377"/>
      <c r="F39" s="377"/>
      <c r="G39" s="89">
        <v>622</v>
      </c>
      <c r="H39" s="11" t="s">
        <v>370</v>
      </c>
      <c r="I39" s="10">
        <v>27</v>
      </c>
      <c r="J39" s="16">
        <v>1</v>
      </c>
      <c r="K39" s="16">
        <v>11</v>
      </c>
      <c r="L39" s="95">
        <v>70</v>
      </c>
      <c r="M39" s="96">
        <v>0</v>
      </c>
      <c r="N39" s="96" t="s">
        <v>583</v>
      </c>
      <c r="O39" s="96" t="s">
        <v>620</v>
      </c>
      <c r="P39" s="10" t="s">
        <v>534</v>
      </c>
      <c r="Q39" s="214">
        <f t="shared" si="0"/>
        <v>500</v>
      </c>
      <c r="R39" s="214">
        <f t="shared" si="0"/>
        <v>500</v>
      </c>
    </row>
    <row r="40" spans="1:18" ht="21" customHeight="1">
      <c r="A40" s="99"/>
      <c r="B40" s="98"/>
      <c r="C40" s="97"/>
      <c r="D40" s="363">
        <v>4440000</v>
      </c>
      <c r="E40" s="363"/>
      <c r="F40" s="363"/>
      <c r="G40" s="89">
        <v>621</v>
      </c>
      <c r="H40" s="11" t="s">
        <v>353</v>
      </c>
      <c r="I40" s="10">
        <v>27</v>
      </c>
      <c r="J40" s="16">
        <v>1</v>
      </c>
      <c r="K40" s="16">
        <v>11</v>
      </c>
      <c r="L40" s="95" t="s">
        <v>343</v>
      </c>
      <c r="M40" s="96" t="s">
        <v>586</v>
      </c>
      <c r="N40" s="96" t="s">
        <v>583</v>
      </c>
      <c r="O40" s="96" t="s">
        <v>620</v>
      </c>
      <c r="P40" s="10" t="s">
        <v>534</v>
      </c>
      <c r="Q40" s="214">
        <f t="shared" si="0"/>
        <v>500</v>
      </c>
      <c r="R40" s="214">
        <f t="shared" si="0"/>
        <v>500</v>
      </c>
    </row>
    <row r="41" spans="1:18" ht="23.25" customHeight="1">
      <c r="A41" s="99"/>
      <c r="B41" s="98"/>
      <c r="C41" s="103"/>
      <c r="D41" s="109"/>
      <c r="E41" s="104"/>
      <c r="F41" s="104"/>
      <c r="G41" s="105">
        <v>621</v>
      </c>
      <c r="H41" s="5" t="s">
        <v>551</v>
      </c>
      <c r="I41" s="8">
        <v>27</v>
      </c>
      <c r="J41" s="21">
        <v>1</v>
      </c>
      <c r="K41" s="16">
        <v>11</v>
      </c>
      <c r="L41" s="95" t="s">
        <v>343</v>
      </c>
      <c r="M41" s="96" t="s">
        <v>586</v>
      </c>
      <c r="N41" s="96" t="s">
        <v>583</v>
      </c>
      <c r="O41" s="96" t="s">
        <v>620</v>
      </c>
      <c r="P41" s="6">
        <v>870</v>
      </c>
      <c r="Q41" s="216">
        <v>500</v>
      </c>
      <c r="R41" s="216">
        <v>500</v>
      </c>
    </row>
    <row r="42" spans="1:18" s="179" customFormat="1" ht="23.25" customHeight="1">
      <c r="A42" s="142"/>
      <c r="B42" s="143"/>
      <c r="C42" s="142"/>
      <c r="D42" s="144"/>
      <c r="E42" s="145"/>
      <c r="F42" s="145"/>
      <c r="G42" s="136"/>
      <c r="H42" s="137" t="s">
        <v>535</v>
      </c>
      <c r="I42" s="146">
        <v>27</v>
      </c>
      <c r="J42" s="147">
        <v>1</v>
      </c>
      <c r="K42" s="139">
        <v>13</v>
      </c>
      <c r="L42" s="140"/>
      <c r="M42" s="141"/>
      <c r="N42" s="141"/>
      <c r="O42" s="141"/>
      <c r="P42" s="146"/>
      <c r="Q42" s="217">
        <f>Q43+Q51</f>
        <v>16944.5</v>
      </c>
      <c r="R42" s="217">
        <f>R43+R51</f>
        <v>29391.7</v>
      </c>
    </row>
    <row r="43" spans="1:18" s="179" customFormat="1" ht="41.25" customHeight="1" hidden="1">
      <c r="A43" s="142"/>
      <c r="B43" s="143"/>
      <c r="C43" s="142"/>
      <c r="D43" s="144"/>
      <c r="E43" s="145"/>
      <c r="F43" s="145"/>
      <c r="G43" s="136"/>
      <c r="H43" s="11" t="s">
        <v>619</v>
      </c>
      <c r="I43" s="6">
        <v>27</v>
      </c>
      <c r="J43" s="19">
        <v>1</v>
      </c>
      <c r="K43" s="16">
        <v>13</v>
      </c>
      <c r="L43" s="95" t="s">
        <v>562</v>
      </c>
      <c r="M43" s="96" t="s">
        <v>563</v>
      </c>
      <c r="N43" s="96" t="s">
        <v>583</v>
      </c>
      <c r="O43" s="96" t="s">
        <v>620</v>
      </c>
      <c r="P43" s="6"/>
      <c r="Q43" s="216"/>
      <c r="R43" s="216"/>
    </row>
    <row r="44" spans="1:18" s="179" customFormat="1" ht="23.25" customHeight="1" hidden="1">
      <c r="A44" s="142"/>
      <c r="B44" s="143"/>
      <c r="C44" s="142"/>
      <c r="D44" s="144"/>
      <c r="E44" s="145"/>
      <c r="F44" s="145"/>
      <c r="G44" s="136"/>
      <c r="H44" s="11" t="s">
        <v>790</v>
      </c>
      <c r="I44" s="6">
        <v>27</v>
      </c>
      <c r="J44" s="19">
        <v>1</v>
      </c>
      <c r="K44" s="16">
        <v>13</v>
      </c>
      <c r="L44" s="95" t="s">
        <v>562</v>
      </c>
      <c r="M44" s="96" t="s">
        <v>563</v>
      </c>
      <c r="N44" s="96" t="s">
        <v>592</v>
      </c>
      <c r="O44" s="96" t="s">
        <v>620</v>
      </c>
      <c r="P44" s="6"/>
      <c r="Q44" s="216"/>
      <c r="R44" s="216"/>
    </row>
    <row r="45" spans="1:18" s="179" customFormat="1" ht="41.25" customHeight="1" hidden="1">
      <c r="A45" s="142"/>
      <c r="B45" s="143"/>
      <c r="C45" s="142"/>
      <c r="D45" s="144"/>
      <c r="E45" s="145"/>
      <c r="F45" s="145"/>
      <c r="G45" s="136"/>
      <c r="H45" s="11" t="s">
        <v>788</v>
      </c>
      <c r="I45" s="6">
        <v>27</v>
      </c>
      <c r="J45" s="19">
        <v>1</v>
      </c>
      <c r="K45" s="16">
        <v>13</v>
      </c>
      <c r="L45" s="95" t="s">
        <v>562</v>
      </c>
      <c r="M45" s="96" t="s">
        <v>563</v>
      </c>
      <c r="N45" s="96" t="s">
        <v>592</v>
      </c>
      <c r="O45" s="96" t="s">
        <v>787</v>
      </c>
      <c r="P45" s="6"/>
      <c r="Q45" s="216"/>
      <c r="R45" s="216"/>
    </row>
    <row r="46" spans="1:18" s="179" customFormat="1" ht="23.25" customHeight="1" hidden="1">
      <c r="A46" s="142"/>
      <c r="B46" s="143"/>
      <c r="C46" s="142"/>
      <c r="D46" s="144"/>
      <c r="E46" s="145"/>
      <c r="F46" s="145"/>
      <c r="G46" s="136"/>
      <c r="H46" s="11" t="s">
        <v>647</v>
      </c>
      <c r="I46" s="6">
        <v>27</v>
      </c>
      <c r="J46" s="19">
        <v>1</v>
      </c>
      <c r="K46" s="16">
        <v>13</v>
      </c>
      <c r="L46" s="95" t="s">
        <v>562</v>
      </c>
      <c r="M46" s="96" t="s">
        <v>563</v>
      </c>
      <c r="N46" s="96" t="s">
        <v>592</v>
      </c>
      <c r="O46" s="96" t="s">
        <v>787</v>
      </c>
      <c r="P46" s="6">
        <v>540</v>
      </c>
      <c r="Q46" s="216"/>
      <c r="R46" s="216"/>
    </row>
    <row r="47" spans="1:18" s="179" customFormat="1" ht="23.25" customHeight="1" hidden="1">
      <c r="A47" s="142"/>
      <c r="B47" s="143"/>
      <c r="C47" s="142"/>
      <c r="D47" s="144"/>
      <c r="E47" s="145"/>
      <c r="F47" s="145"/>
      <c r="G47" s="136"/>
      <c r="H47" s="11" t="s">
        <v>795</v>
      </c>
      <c r="I47" s="6">
        <v>27</v>
      </c>
      <c r="J47" s="19">
        <v>1</v>
      </c>
      <c r="K47" s="16">
        <v>13</v>
      </c>
      <c r="L47" s="95" t="s">
        <v>562</v>
      </c>
      <c r="M47" s="96" t="s">
        <v>563</v>
      </c>
      <c r="N47" s="96" t="s">
        <v>592</v>
      </c>
      <c r="O47" s="96" t="s">
        <v>794</v>
      </c>
      <c r="P47" s="6"/>
      <c r="Q47" s="216"/>
      <c r="R47" s="216"/>
    </row>
    <row r="48" spans="1:18" s="179" customFormat="1" ht="23.25" customHeight="1" hidden="1">
      <c r="A48" s="142"/>
      <c r="B48" s="143"/>
      <c r="C48" s="142"/>
      <c r="D48" s="144"/>
      <c r="E48" s="145"/>
      <c r="F48" s="145"/>
      <c r="G48" s="136"/>
      <c r="H48" s="11" t="s">
        <v>647</v>
      </c>
      <c r="I48" s="6">
        <v>27</v>
      </c>
      <c r="J48" s="19">
        <v>1</v>
      </c>
      <c r="K48" s="16">
        <v>13</v>
      </c>
      <c r="L48" s="95" t="s">
        <v>562</v>
      </c>
      <c r="M48" s="96" t="s">
        <v>563</v>
      </c>
      <c r="N48" s="96" t="s">
        <v>592</v>
      </c>
      <c r="O48" s="96" t="s">
        <v>794</v>
      </c>
      <c r="P48" s="6">
        <v>540</v>
      </c>
      <c r="Q48" s="216"/>
      <c r="R48" s="216"/>
    </row>
    <row r="49" spans="1:18" s="179" customFormat="1" ht="23.25" customHeight="1" hidden="1">
      <c r="A49" s="142"/>
      <c r="B49" s="143"/>
      <c r="C49" s="142"/>
      <c r="D49" s="144"/>
      <c r="E49" s="145"/>
      <c r="F49" s="145"/>
      <c r="G49" s="136"/>
      <c r="H49" s="11" t="s">
        <v>770</v>
      </c>
      <c r="I49" s="6">
        <v>27</v>
      </c>
      <c r="J49" s="19">
        <v>1</v>
      </c>
      <c r="K49" s="16">
        <v>13</v>
      </c>
      <c r="L49" s="95" t="s">
        <v>562</v>
      </c>
      <c r="M49" s="96" t="s">
        <v>563</v>
      </c>
      <c r="N49" s="96" t="s">
        <v>592</v>
      </c>
      <c r="O49" s="96" t="s">
        <v>771</v>
      </c>
      <c r="P49" s="6"/>
      <c r="Q49" s="216"/>
      <c r="R49" s="216"/>
    </row>
    <row r="50" spans="1:18" s="179" customFormat="1" ht="23.25" customHeight="1" hidden="1">
      <c r="A50" s="142"/>
      <c r="B50" s="143"/>
      <c r="C50" s="142"/>
      <c r="D50" s="144"/>
      <c r="E50" s="145"/>
      <c r="F50" s="145"/>
      <c r="G50" s="136"/>
      <c r="H50" s="11" t="s">
        <v>647</v>
      </c>
      <c r="I50" s="6">
        <v>27</v>
      </c>
      <c r="J50" s="19">
        <v>1</v>
      </c>
      <c r="K50" s="16">
        <v>13</v>
      </c>
      <c r="L50" s="95" t="s">
        <v>562</v>
      </c>
      <c r="M50" s="96" t="s">
        <v>563</v>
      </c>
      <c r="N50" s="96" t="s">
        <v>592</v>
      </c>
      <c r="O50" s="96" t="s">
        <v>771</v>
      </c>
      <c r="P50" s="6">
        <v>540</v>
      </c>
      <c r="Q50" s="216"/>
      <c r="R50" s="216"/>
    </row>
    <row r="51" spans="1:18" s="179" customFormat="1" ht="23.25" customHeight="1">
      <c r="A51" s="142"/>
      <c r="B51" s="143"/>
      <c r="C51" s="142"/>
      <c r="D51" s="144"/>
      <c r="E51" s="145"/>
      <c r="F51" s="145"/>
      <c r="G51" s="136"/>
      <c r="H51" s="11" t="s">
        <v>299</v>
      </c>
      <c r="I51" s="6">
        <v>27</v>
      </c>
      <c r="J51" s="19">
        <v>1</v>
      </c>
      <c r="K51" s="16">
        <v>13</v>
      </c>
      <c r="L51" s="95" t="s">
        <v>580</v>
      </c>
      <c r="M51" s="96" t="s">
        <v>563</v>
      </c>
      <c r="N51" s="96" t="s">
        <v>583</v>
      </c>
      <c r="O51" s="96" t="s">
        <v>620</v>
      </c>
      <c r="P51" s="6"/>
      <c r="Q51" s="217">
        <f>Q52+Q55+Q60+Q63+Q65+Q68+Q70+Q58</f>
        <v>16944.5</v>
      </c>
      <c r="R51" s="217">
        <f>R52+R55+R60+R63+R65+R68+R70+R58</f>
        <v>29391.7</v>
      </c>
    </row>
    <row r="52" spans="1:18" ht="25.5" customHeight="1">
      <c r="A52" s="99"/>
      <c r="B52" s="98"/>
      <c r="C52" s="103"/>
      <c r="D52" s="101"/>
      <c r="E52" s="367">
        <v>5203500</v>
      </c>
      <c r="F52" s="367"/>
      <c r="G52" s="89">
        <v>521</v>
      </c>
      <c r="H52" s="11" t="s">
        <v>342</v>
      </c>
      <c r="I52" s="10">
        <v>27</v>
      </c>
      <c r="J52" s="16">
        <v>1</v>
      </c>
      <c r="K52" s="16">
        <v>13</v>
      </c>
      <c r="L52" s="95" t="s">
        <v>580</v>
      </c>
      <c r="M52" s="96" t="s">
        <v>563</v>
      </c>
      <c r="N52" s="96" t="s">
        <v>583</v>
      </c>
      <c r="O52" s="96" t="s">
        <v>648</v>
      </c>
      <c r="P52" s="10" t="s">
        <v>534</v>
      </c>
      <c r="Q52" s="214">
        <f>SUM(Q53:Q54)</f>
        <v>1594.6999999999998</v>
      </c>
      <c r="R52" s="214">
        <f>SUM(R53:R54)</f>
        <v>1927.5</v>
      </c>
    </row>
    <row r="53" spans="1:18" ht="26.25" customHeight="1">
      <c r="A53" s="110"/>
      <c r="B53" s="111"/>
      <c r="C53" s="106"/>
      <c r="D53" s="107"/>
      <c r="E53" s="104"/>
      <c r="F53" s="104"/>
      <c r="G53" s="89"/>
      <c r="H53" s="11" t="s">
        <v>720</v>
      </c>
      <c r="I53" s="6">
        <v>27</v>
      </c>
      <c r="J53" s="19">
        <v>1</v>
      </c>
      <c r="K53" s="16">
        <v>13</v>
      </c>
      <c r="L53" s="95" t="s">
        <v>580</v>
      </c>
      <c r="M53" s="96" t="s">
        <v>563</v>
      </c>
      <c r="N53" s="96" t="s">
        <v>583</v>
      </c>
      <c r="O53" s="96" t="s">
        <v>648</v>
      </c>
      <c r="P53" s="6">
        <v>240</v>
      </c>
      <c r="Q53" s="216">
        <f>2512.2-1000</f>
        <v>1512.1999999999998</v>
      </c>
      <c r="R53" s="216">
        <v>1845</v>
      </c>
    </row>
    <row r="54" spans="1:18" ht="20.25" customHeight="1">
      <c r="A54" s="110"/>
      <c r="B54" s="112"/>
      <c r="C54" s="106"/>
      <c r="D54" s="109"/>
      <c r="E54" s="104"/>
      <c r="F54" s="104"/>
      <c r="G54" s="89"/>
      <c r="H54" s="11" t="s">
        <v>721</v>
      </c>
      <c r="I54" s="6">
        <v>27</v>
      </c>
      <c r="J54" s="21">
        <v>1</v>
      </c>
      <c r="K54" s="16">
        <v>13</v>
      </c>
      <c r="L54" s="95" t="s">
        <v>580</v>
      </c>
      <c r="M54" s="96" t="s">
        <v>563</v>
      </c>
      <c r="N54" s="96" t="s">
        <v>583</v>
      </c>
      <c r="O54" s="96" t="s">
        <v>648</v>
      </c>
      <c r="P54" s="6">
        <v>850</v>
      </c>
      <c r="Q54" s="216">
        <v>82.5</v>
      </c>
      <c r="R54" s="216">
        <v>82.5</v>
      </c>
    </row>
    <row r="55" spans="1:18" ht="26.25" customHeight="1">
      <c r="A55" s="99"/>
      <c r="B55" s="98"/>
      <c r="C55" s="97"/>
      <c r="D55" s="363">
        <v>5220000</v>
      </c>
      <c r="E55" s="364"/>
      <c r="F55" s="364"/>
      <c r="G55" s="89">
        <v>622</v>
      </c>
      <c r="H55" s="11" t="s">
        <v>344</v>
      </c>
      <c r="I55" s="10">
        <v>27</v>
      </c>
      <c r="J55" s="16">
        <v>1</v>
      </c>
      <c r="K55" s="16">
        <v>13</v>
      </c>
      <c r="L55" s="95" t="s">
        <v>580</v>
      </c>
      <c r="M55" s="96" t="s">
        <v>563</v>
      </c>
      <c r="N55" s="96" t="s">
        <v>583</v>
      </c>
      <c r="O55" s="96" t="s">
        <v>345</v>
      </c>
      <c r="P55" s="10"/>
      <c r="Q55" s="214">
        <f>SUM(Q56:Q57)</f>
        <v>7437</v>
      </c>
      <c r="R55" s="214">
        <f>SUM(R56:R57)</f>
        <v>19771.1</v>
      </c>
    </row>
    <row r="56" spans="1:18" ht="26.25" customHeight="1">
      <c r="A56" s="99"/>
      <c r="B56" s="98"/>
      <c r="C56" s="97"/>
      <c r="D56" s="101"/>
      <c r="E56" s="100"/>
      <c r="F56" s="100"/>
      <c r="G56" s="89"/>
      <c r="H56" s="11" t="s">
        <v>722</v>
      </c>
      <c r="I56" s="6">
        <v>27</v>
      </c>
      <c r="J56" s="19">
        <v>1</v>
      </c>
      <c r="K56" s="16">
        <v>13</v>
      </c>
      <c r="L56" s="95" t="s">
        <v>580</v>
      </c>
      <c r="M56" s="96" t="s">
        <v>563</v>
      </c>
      <c r="N56" s="96" t="s">
        <v>583</v>
      </c>
      <c r="O56" s="96" t="s">
        <v>345</v>
      </c>
      <c r="P56" s="10">
        <v>610</v>
      </c>
      <c r="Q56" s="214">
        <v>260</v>
      </c>
      <c r="R56" s="214">
        <v>260</v>
      </c>
    </row>
    <row r="57" spans="1:18" ht="24" customHeight="1">
      <c r="A57" s="99"/>
      <c r="B57" s="98"/>
      <c r="C57" s="103"/>
      <c r="D57" s="107"/>
      <c r="E57" s="178"/>
      <c r="F57" s="178"/>
      <c r="G57" s="89"/>
      <c r="H57" s="11" t="s">
        <v>757</v>
      </c>
      <c r="I57" s="10">
        <v>27</v>
      </c>
      <c r="J57" s="16">
        <v>1</v>
      </c>
      <c r="K57" s="16">
        <v>13</v>
      </c>
      <c r="L57" s="95" t="s">
        <v>580</v>
      </c>
      <c r="M57" s="96" t="s">
        <v>563</v>
      </c>
      <c r="N57" s="96" t="s">
        <v>583</v>
      </c>
      <c r="O57" s="96" t="s">
        <v>345</v>
      </c>
      <c r="P57" s="10">
        <v>620</v>
      </c>
      <c r="Q57" s="214">
        <f>4511.1+165.9+2500</f>
        <v>7177</v>
      </c>
      <c r="R57" s="214">
        <f>20511.1-1000</f>
        <v>19511.1</v>
      </c>
    </row>
    <row r="58" spans="1:18" ht="35.25" customHeight="1">
      <c r="A58" s="110"/>
      <c r="B58" s="111"/>
      <c r="C58" s="106"/>
      <c r="D58" s="107"/>
      <c r="E58" s="104"/>
      <c r="F58" s="104"/>
      <c r="G58" s="89"/>
      <c r="H58" s="11" t="s">
        <v>61</v>
      </c>
      <c r="I58" s="10">
        <v>27</v>
      </c>
      <c r="J58" s="16">
        <v>1</v>
      </c>
      <c r="K58" s="16">
        <v>13</v>
      </c>
      <c r="L58" s="95" t="s">
        <v>580</v>
      </c>
      <c r="M58" s="96" t="s">
        <v>563</v>
      </c>
      <c r="N58" s="96" t="s">
        <v>583</v>
      </c>
      <c r="O58" s="96" t="s">
        <v>60</v>
      </c>
      <c r="P58" s="10"/>
      <c r="Q58" s="214">
        <f>Q59</f>
        <v>2988.9</v>
      </c>
      <c r="R58" s="216">
        <f>R59</f>
        <v>2988.9</v>
      </c>
    </row>
    <row r="59" spans="1:18" ht="24" customHeight="1">
      <c r="A59" s="110"/>
      <c r="B59" s="111"/>
      <c r="C59" s="106"/>
      <c r="D59" s="107"/>
      <c r="E59" s="104"/>
      <c r="F59" s="104"/>
      <c r="G59" s="89"/>
      <c r="H59" s="11" t="s">
        <v>757</v>
      </c>
      <c r="I59" s="10">
        <v>27</v>
      </c>
      <c r="J59" s="16">
        <v>1</v>
      </c>
      <c r="K59" s="16">
        <v>13</v>
      </c>
      <c r="L59" s="95" t="s">
        <v>580</v>
      </c>
      <c r="M59" s="96" t="s">
        <v>563</v>
      </c>
      <c r="N59" s="96" t="s">
        <v>583</v>
      </c>
      <c r="O59" s="96" t="s">
        <v>60</v>
      </c>
      <c r="P59" s="10">
        <v>620</v>
      </c>
      <c r="Q59" s="214">
        <v>2988.9</v>
      </c>
      <c r="R59" s="216">
        <v>2988.9</v>
      </c>
    </row>
    <row r="60" spans="1:18" ht="47.25" customHeight="1">
      <c r="A60" s="110"/>
      <c r="B60" s="112"/>
      <c r="C60" s="106"/>
      <c r="D60" s="109"/>
      <c r="E60" s="104"/>
      <c r="F60" s="104"/>
      <c r="G60" s="89"/>
      <c r="H60" s="34" t="s">
        <v>660</v>
      </c>
      <c r="I60" s="10">
        <v>27</v>
      </c>
      <c r="J60" s="16">
        <v>1</v>
      </c>
      <c r="K60" s="16">
        <v>13</v>
      </c>
      <c r="L60" s="95" t="s">
        <v>580</v>
      </c>
      <c r="M60" s="96" t="s">
        <v>563</v>
      </c>
      <c r="N60" s="96" t="s">
        <v>583</v>
      </c>
      <c r="O60" s="96" t="s">
        <v>655</v>
      </c>
      <c r="P60" s="6"/>
      <c r="Q60" s="216">
        <f>SUM(Q61:Q62)</f>
        <v>480.79999999999995</v>
      </c>
      <c r="R60" s="216">
        <f>SUM(R61:R62)</f>
        <v>482.7</v>
      </c>
    </row>
    <row r="61" spans="1:18" ht="30" customHeight="1">
      <c r="A61" s="110"/>
      <c r="B61" s="112"/>
      <c r="C61" s="106"/>
      <c r="D61" s="109"/>
      <c r="E61" s="104"/>
      <c r="F61" s="104"/>
      <c r="G61" s="89"/>
      <c r="H61" s="34" t="s">
        <v>533</v>
      </c>
      <c r="I61" s="10">
        <v>27</v>
      </c>
      <c r="J61" s="16">
        <v>1</v>
      </c>
      <c r="K61" s="16">
        <v>13</v>
      </c>
      <c r="L61" s="95" t="s">
        <v>580</v>
      </c>
      <c r="M61" s="96" t="s">
        <v>563</v>
      </c>
      <c r="N61" s="96" t="s">
        <v>583</v>
      </c>
      <c r="O61" s="96" t="s">
        <v>655</v>
      </c>
      <c r="P61" s="10">
        <v>120</v>
      </c>
      <c r="Q61" s="214">
        <v>268.9</v>
      </c>
      <c r="R61" s="214">
        <v>268.9</v>
      </c>
    </row>
    <row r="62" spans="1:18" ht="30" customHeight="1">
      <c r="A62" s="110"/>
      <c r="B62" s="112"/>
      <c r="C62" s="106"/>
      <c r="D62" s="109"/>
      <c r="E62" s="104"/>
      <c r="F62" s="104"/>
      <c r="G62" s="89"/>
      <c r="H62" s="11" t="s">
        <v>720</v>
      </c>
      <c r="I62" s="10">
        <v>27</v>
      </c>
      <c r="J62" s="16">
        <v>1</v>
      </c>
      <c r="K62" s="16">
        <v>13</v>
      </c>
      <c r="L62" s="95" t="s">
        <v>580</v>
      </c>
      <c r="M62" s="96" t="s">
        <v>563</v>
      </c>
      <c r="N62" s="96" t="s">
        <v>583</v>
      </c>
      <c r="O62" s="96" t="s">
        <v>655</v>
      </c>
      <c r="P62" s="6">
        <v>240</v>
      </c>
      <c r="Q62" s="216">
        <v>211.9</v>
      </c>
      <c r="R62" s="216">
        <v>213.8</v>
      </c>
    </row>
    <row r="63" spans="1:18" ht="66" customHeight="1">
      <c r="A63" s="110"/>
      <c r="B63" s="112"/>
      <c r="C63" s="106"/>
      <c r="D63" s="109"/>
      <c r="E63" s="104"/>
      <c r="F63" s="104"/>
      <c r="G63" s="89"/>
      <c r="H63" s="11" t="s">
        <v>386</v>
      </c>
      <c r="I63" s="10">
        <v>27</v>
      </c>
      <c r="J63" s="16">
        <v>1</v>
      </c>
      <c r="K63" s="16">
        <v>13</v>
      </c>
      <c r="L63" s="95" t="s">
        <v>580</v>
      </c>
      <c r="M63" s="96" t="s">
        <v>563</v>
      </c>
      <c r="N63" s="96" t="s">
        <v>583</v>
      </c>
      <c r="O63" s="96" t="s">
        <v>649</v>
      </c>
      <c r="P63" s="6"/>
      <c r="Q63" s="216">
        <f>Q64</f>
        <v>3437.1</v>
      </c>
      <c r="R63" s="216">
        <f>R64</f>
        <v>3437.1</v>
      </c>
    </row>
    <row r="64" spans="1:18" ht="27" customHeight="1">
      <c r="A64" s="99"/>
      <c r="B64" s="98"/>
      <c r="C64" s="103"/>
      <c r="D64" s="101"/>
      <c r="E64" s="113"/>
      <c r="F64" s="113"/>
      <c r="G64" s="105">
        <v>120</v>
      </c>
      <c r="H64" s="11" t="s">
        <v>722</v>
      </c>
      <c r="I64" s="10">
        <v>27</v>
      </c>
      <c r="J64" s="16">
        <v>1</v>
      </c>
      <c r="K64" s="16">
        <v>13</v>
      </c>
      <c r="L64" s="95" t="s">
        <v>580</v>
      </c>
      <c r="M64" s="96" t="s">
        <v>563</v>
      </c>
      <c r="N64" s="96" t="s">
        <v>583</v>
      </c>
      <c r="O64" s="96" t="s">
        <v>649</v>
      </c>
      <c r="P64" s="6">
        <v>610</v>
      </c>
      <c r="Q64" s="216">
        <v>3437.1</v>
      </c>
      <c r="R64" s="216">
        <v>3437.1</v>
      </c>
    </row>
    <row r="65" spans="1:18" ht="21" customHeight="1">
      <c r="A65" s="97"/>
      <c r="B65" s="98"/>
      <c r="C65" s="106"/>
      <c r="D65" s="111"/>
      <c r="E65" s="114"/>
      <c r="F65" s="114"/>
      <c r="G65" s="89"/>
      <c r="H65" s="3" t="s">
        <v>815</v>
      </c>
      <c r="I65" s="10">
        <v>27</v>
      </c>
      <c r="J65" s="16">
        <v>1</v>
      </c>
      <c r="K65" s="16">
        <v>13</v>
      </c>
      <c r="L65" s="95" t="s">
        <v>580</v>
      </c>
      <c r="M65" s="96" t="s">
        <v>563</v>
      </c>
      <c r="N65" s="96" t="s">
        <v>583</v>
      </c>
      <c r="O65" s="96" t="s">
        <v>814</v>
      </c>
      <c r="P65" s="10"/>
      <c r="Q65" s="214">
        <f>SUM(Q66:Q67)</f>
        <v>784.4000000000001</v>
      </c>
      <c r="R65" s="214">
        <f>SUM(R66:R67)</f>
        <v>784.4000000000001</v>
      </c>
    </row>
    <row r="66" spans="1:18" ht="26.25" customHeight="1">
      <c r="A66" s="97"/>
      <c r="B66" s="98"/>
      <c r="C66" s="106"/>
      <c r="D66" s="111"/>
      <c r="E66" s="114"/>
      <c r="F66" s="114"/>
      <c r="G66" s="89"/>
      <c r="H66" s="34" t="s">
        <v>533</v>
      </c>
      <c r="I66" s="10">
        <v>27</v>
      </c>
      <c r="J66" s="16">
        <v>1</v>
      </c>
      <c r="K66" s="16">
        <v>13</v>
      </c>
      <c r="L66" s="95" t="s">
        <v>580</v>
      </c>
      <c r="M66" s="96" t="s">
        <v>563</v>
      </c>
      <c r="N66" s="96" t="s">
        <v>583</v>
      </c>
      <c r="O66" s="96" t="s">
        <v>814</v>
      </c>
      <c r="P66" s="10">
        <v>120</v>
      </c>
      <c r="Q66" s="215">
        <v>479.1</v>
      </c>
      <c r="R66" s="215">
        <v>479.1</v>
      </c>
    </row>
    <row r="67" spans="1:18" ht="30" customHeight="1">
      <c r="A67" s="97"/>
      <c r="B67" s="98"/>
      <c r="C67" s="106"/>
      <c r="D67" s="111"/>
      <c r="E67" s="114"/>
      <c r="F67" s="114"/>
      <c r="G67" s="89"/>
      <c r="H67" s="5" t="s">
        <v>720</v>
      </c>
      <c r="I67" s="10">
        <v>27</v>
      </c>
      <c r="J67" s="16">
        <v>1</v>
      </c>
      <c r="K67" s="16">
        <v>13</v>
      </c>
      <c r="L67" s="95" t="s">
        <v>580</v>
      </c>
      <c r="M67" s="96" t="s">
        <v>563</v>
      </c>
      <c r="N67" s="96" t="s">
        <v>583</v>
      </c>
      <c r="O67" s="96" t="s">
        <v>814</v>
      </c>
      <c r="P67" s="10">
        <v>240</v>
      </c>
      <c r="Q67" s="215">
        <v>305.3</v>
      </c>
      <c r="R67" s="215">
        <v>305.3</v>
      </c>
    </row>
    <row r="68" spans="1:18" ht="38.25" customHeight="1" hidden="1">
      <c r="A68" s="97"/>
      <c r="B68" s="98"/>
      <c r="C68" s="106"/>
      <c r="D68" s="111"/>
      <c r="E68" s="114"/>
      <c r="F68" s="114"/>
      <c r="G68" s="89"/>
      <c r="H68" s="3" t="s">
        <v>526</v>
      </c>
      <c r="I68" s="10">
        <v>27</v>
      </c>
      <c r="J68" s="16">
        <v>1</v>
      </c>
      <c r="K68" s="16">
        <v>13</v>
      </c>
      <c r="L68" s="95" t="s">
        <v>580</v>
      </c>
      <c r="M68" s="96" t="s">
        <v>563</v>
      </c>
      <c r="N68" s="96" t="s">
        <v>583</v>
      </c>
      <c r="O68" s="96" t="s">
        <v>527</v>
      </c>
      <c r="P68" s="10" t="s">
        <v>621</v>
      </c>
      <c r="Q68" s="214"/>
      <c r="R68" s="214"/>
    </row>
    <row r="69" spans="1:18" ht="28.5" customHeight="1" hidden="1">
      <c r="A69" s="97"/>
      <c r="B69" s="98"/>
      <c r="C69" s="106"/>
      <c r="D69" s="111"/>
      <c r="E69" s="114"/>
      <c r="F69" s="114"/>
      <c r="G69" s="89"/>
      <c r="H69" s="3" t="s">
        <v>720</v>
      </c>
      <c r="I69" s="10">
        <v>27</v>
      </c>
      <c r="J69" s="16">
        <v>1</v>
      </c>
      <c r="K69" s="16">
        <v>13</v>
      </c>
      <c r="L69" s="95" t="s">
        <v>580</v>
      </c>
      <c r="M69" s="96" t="s">
        <v>563</v>
      </c>
      <c r="N69" s="96" t="s">
        <v>583</v>
      </c>
      <c r="O69" s="96" t="s">
        <v>527</v>
      </c>
      <c r="P69" s="10">
        <v>240</v>
      </c>
      <c r="Q69" s="214"/>
      <c r="R69" s="214"/>
    </row>
    <row r="70" spans="1:18" ht="27.75" customHeight="1">
      <c r="A70" s="97"/>
      <c r="B70" s="98"/>
      <c r="C70" s="106"/>
      <c r="D70" s="111"/>
      <c r="E70" s="114"/>
      <c r="F70" s="114"/>
      <c r="G70" s="89"/>
      <c r="H70" s="3" t="s">
        <v>285</v>
      </c>
      <c r="I70" s="10">
        <v>27</v>
      </c>
      <c r="J70" s="16">
        <v>1</v>
      </c>
      <c r="K70" s="16">
        <v>13</v>
      </c>
      <c r="L70" s="95" t="s">
        <v>580</v>
      </c>
      <c r="M70" s="96" t="s">
        <v>563</v>
      </c>
      <c r="N70" s="96" t="s">
        <v>583</v>
      </c>
      <c r="O70" s="96" t="s">
        <v>6</v>
      </c>
      <c r="P70" s="10"/>
      <c r="Q70" s="214">
        <f>Q71</f>
        <v>221.6</v>
      </c>
      <c r="R70" s="214">
        <f>R71</f>
        <v>0</v>
      </c>
    </row>
    <row r="71" spans="1:18" ht="33.75" customHeight="1">
      <c r="A71" s="97"/>
      <c r="B71" s="98"/>
      <c r="C71" s="106"/>
      <c r="D71" s="111"/>
      <c r="E71" s="114"/>
      <c r="F71" s="114"/>
      <c r="G71" s="89"/>
      <c r="H71" s="3" t="s">
        <v>720</v>
      </c>
      <c r="I71" s="10">
        <v>27</v>
      </c>
      <c r="J71" s="16">
        <v>1</v>
      </c>
      <c r="K71" s="16">
        <v>13</v>
      </c>
      <c r="L71" s="95" t="s">
        <v>580</v>
      </c>
      <c r="M71" s="96" t="s">
        <v>563</v>
      </c>
      <c r="N71" s="96" t="s">
        <v>583</v>
      </c>
      <c r="O71" s="96" t="s">
        <v>6</v>
      </c>
      <c r="P71" s="10">
        <v>240</v>
      </c>
      <c r="Q71" s="215">
        <v>221.6</v>
      </c>
      <c r="R71" s="239">
        <v>0</v>
      </c>
    </row>
    <row r="72" spans="1:18" s="179" customFormat="1" ht="27" customHeight="1">
      <c r="A72" s="135"/>
      <c r="B72" s="135"/>
      <c r="C72" s="135"/>
      <c r="D72" s="135"/>
      <c r="E72" s="135"/>
      <c r="F72" s="135"/>
      <c r="G72" s="136"/>
      <c r="H72" s="137" t="s">
        <v>555</v>
      </c>
      <c r="I72" s="138">
        <v>27</v>
      </c>
      <c r="J72" s="139">
        <v>3</v>
      </c>
      <c r="K72" s="139" t="s">
        <v>621</v>
      </c>
      <c r="L72" s="140"/>
      <c r="M72" s="141"/>
      <c r="N72" s="141"/>
      <c r="O72" s="141"/>
      <c r="P72" s="146"/>
      <c r="Q72" s="217">
        <f>Q73+Q78</f>
        <v>1927</v>
      </c>
      <c r="R72" s="217">
        <f>R73+R78</f>
        <v>1927</v>
      </c>
    </row>
    <row r="73" spans="1:18" s="179" customFormat="1" ht="33" customHeight="1">
      <c r="A73" s="135"/>
      <c r="B73" s="135"/>
      <c r="C73" s="135"/>
      <c r="D73" s="135"/>
      <c r="E73" s="135"/>
      <c r="F73" s="135"/>
      <c r="G73" s="136"/>
      <c r="H73" s="137" t="s">
        <v>557</v>
      </c>
      <c r="I73" s="138">
        <v>27</v>
      </c>
      <c r="J73" s="139">
        <v>3</v>
      </c>
      <c r="K73" s="139">
        <v>9</v>
      </c>
      <c r="L73" s="140" t="s">
        <v>534</v>
      </c>
      <c r="M73" s="141" t="s">
        <v>534</v>
      </c>
      <c r="N73" s="141"/>
      <c r="O73" s="141" t="s">
        <v>534</v>
      </c>
      <c r="P73" s="146" t="s">
        <v>534</v>
      </c>
      <c r="Q73" s="217">
        <f>Q74</f>
        <v>1756</v>
      </c>
      <c r="R73" s="217">
        <f>R74</f>
        <v>1756</v>
      </c>
    </row>
    <row r="74" spans="1:18" s="179" customFormat="1" ht="33" customHeight="1">
      <c r="A74" s="135"/>
      <c r="B74" s="135"/>
      <c r="C74" s="135"/>
      <c r="D74" s="135"/>
      <c r="E74" s="135"/>
      <c r="F74" s="135"/>
      <c r="G74" s="136"/>
      <c r="H74" s="11" t="s">
        <v>299</v>
      </c>
      <c r="I74" s="10">
        <v>27</v>
      </c>
      <c r="J74" s="16">
        <v>3</v>
      </c>
      <c r="K74" s="16">
        <v>9</v>
      </c>
      <c r="L74" s="95" t="s">
        <v>580</v>
      </c>
      <c r="M74" s="96" t="s">
        <v>563</v>
      </c>
      <c r="N74" s="96" t="s">
        <v>583</v>
      </c>
      <c r="O74" s="96" t="s">
        <v>620</v>
      </c>
      <c r="P74" s="146"/>
      <c r="Q74" s="217">
        <f>Q75</f>
        <v>1756</v>
      </c>
      <c r="R74" s="217">
        <f>R75</f>
        <v>1756</v>
      </c>
    </row>
    <row r="75" spans="1:18" ht="26.25" customHeight="1">
      <c r="A75" s="88"/>
      <c r="B75" s="88"/>
      <c r="C75" s="88"/>
      <c r="D75" s="88"/>
      <c r="E75" s="88"/>
      <c r="F75" s="88"/>
      <c r="G75" s="89"/>
      <c r="H75" s="11" t="s">
        <v>344</v>
      </c>
      <c r="I75" s="10">
        <v>27</v>
      </c>
      <c r="J75" s="16">
        <v>3</v>
      </c>
      <c r="K75" s="16">
        <v>9</v>
      </c>
      <c r="L75" s="95" t="s">
        <v>580</v>
      </c>
      <c r="M75" s="96" t="s">
        <v>563</v>
      </c>
      <c r="N75" s="96" t="s">
        <v>583</v>
      </c>
      <c r="O75" s="96" t="s">
        <v>345</v>
      </c>
      <c r="P75" s="6" t="s">
        <v>534</v>
      </c>
      <c r="Q75" s="216">
        <f>SUM(Q76:Q77)</f>
        <v>1756</v>
      </c>
      <c r="R75" s="216">
        <f>SUM(R76:R77)</f>
        <v>1756</v>
      </c>
    </row>
    <row r="76" spans="1:18" ht="26.25" customHeight="1">
      <c r="A76" s="88"/>
      <c r="B76" s="88"/>
      <c r="C76" s="88"/>
      <c r="D76" s="88"/>
      <c r="E76" s="88"/>
      <c r="F76" s="88"/>
      <c r="G76" s="89"/>
      <c r="H76" s="11" t="s">
        <v>723</v>
      </c>
      <c r="I76" s="6">
        <v>27</v>
      </c>
      <c r="J76" s="19">
        <v>3</v>
      </c>
      <c r="K76" s="16">
        <v>9</v>
      </c>
      <c r="L76" s="95" t="s">
        <v>580</v>
      </c>
      <c r="M76" s="96" t="s">
        <v>563</v>
      </c>
      <c r="N76" s="96" t="s">
        <v>583</v>
      </c>
      <c r="O76" s="96" t="s">
        <v>345</v>
      </c>
      <c r="P76" s="6">
        <v>110</v>
      </c>
      <c r="Q76" s="216">
        <v>1690.1</v>
      </c>
      <c r="R76" s="216">
        <v>1690.1</v>
      </c>
    </row>
    <row r="77" spans="1:18" ht="23.25" customHeight="1">
      <c r="A77" s="88"/>
      <c r="B77" s="88"/>
      <c r="C77" s="88"/>
      <c r="D77" s="88"/>
      <c r="E77" s="88"/>
      <c r="F77" s="88"/>
      <c r="G77" s="89"/>
      <c r="H77" s="5" t="s">
        <v>720</v>
      </c>
      <c r="I77" s="8">
        <v>27</v>
      </c>
      <c r="J77" s="21">
        <v>3</v>
      </c>
      <c r="K77" s="16">
        <v>9</v>
      </c>
      <c r="L77" s="95" t="s">
        <v>580</v>
      </c>
      <c r="M77" s="96" t="s">
        <v>563</v>
      </c>
      <c r="N77" s="96" t="s">
        <v>583</v>
      </c>
      <c r="O77" s="96" t="s">
        <v>345</v>
      </c>
      <c r="P77" s="6">
        <v>240</v>
      </c>
      <c r="Q77" s="214">
        <v>65.9</v>
      </c>
      <c r="R77" s="214">
        <v>65.9</v>
      </c>
    </row>
    <row r="78" spans="1:18" s="179" customFormat="1" ht="25.5" customHeight="1">
      <c r="A78" s="135"/>
      <c r="B78" s="135"/>
      <c r="C78" s="135"/>
      <c r="D78" s="135"/>
      <c r="E78" s="135"/>
      <c r="F78" s="135"/>
      <c r="G78" s="136"/>
      <c r="H78" s="137" t="s">
        <v>556</v>
      </c>
      <c r="I78" s="138">
        <v>27</v>
      </c>
      <c r="J78" s="139">
        <v>3</v>
      </c>
      <c r="K78" s="139">
        <v>14</v>
      </c>
      <c r="L78" s="140"/>
      <c r="M78" s="141"/>
      <c r="N78" s="141"/>
      <c r="O78" s="141"/>
      <c r="P78" s="146"/>
      <c r="Q78" s="217">
        <f>Q79+Q84</f>
        <v>171</v>
      </c>
      <c r="R78" s="217">
        <f>R79+R84</f>
        <v>171</v>
      </c>
    </row>
    <row r="79" spans="1:18" ht="38.25" customHeight="1" hidden="1">
      <c r="A79" s="88"/>
      <c r="B79" s="88"/>
      <c r="C79" s="88"/>
      <c r="D79" s="88"/>
      <c r="E79" s="88"/>
      <c r="F79" s="88"/>
      <c r="G79" s="89"/>
      <c r="H79" s="11" t="s">
        <v>252</v>
      </c>
      <c r="I79" s="10">
        <v>27</v>
      </c>
      <c r="J79" s="16">
        <v>3</v>
      </c>
      <c r="K79" s="16">
        <v>14</v>
      </c>
      <c r="L79" s="95" t="s">
        <v>597</v>
      </c>
      <c r="M79" s="96" t="s">
        <v>563</v>
      </c>
      <c r="N79" s="96" t="s">
        <v>583</v>
      </c>
      <c r="O79" s="96" t="s">
        <v>620</v>
      </c>
      <c r="P79" s="6"/>
      <c r="Q79" s="216">
        <f aca="true" t="shared" si="1" ref="Q79:R82">Q80</f>
        <v>0</v>
      </c>
      <c r="R79" s="216">
        <f t="shared" si="1"/>
        <v>0</v>
      </c>
    </row>
    <row r="80" spans="1:18" ht="22.5" customHeight="1" hidden="1">
      <c r="A80" s="88"/>
      <c r="B80" s="88"/>
      <c r="C80" s="88"/>
      <c r="D80" s="88"/>
      <c r="E80" s="88"/>
      <c r="F80" s="88"/>
      <c r="G80" s="89"/>
      <c r="H80" s="11" t="s">
        <v>654</v>
      </c>
      <c r="I80" s="10">
        <v>27</v>
      </c>
      <c r="J80" s="16">
        <v>3</v>
      </c>
      <c r="K80" s="16">
        <v>14</v>
      </c>
      <c r="L80" s="95" t="s">
        <v>597</v>
      </c>
      <c r="M80" s="96" t="s">
        <v>559</v>
      </c>
      <c r="N80" s="96" t="s">
        <v>583</v>
      </c>
      <c r="O80" s="96" t="s">
        <v>620</v>
      </c>
      <c r="P80" s="6"/>
      <c r="Q80" s="216">
        <f t="shared" si="1"/>
        <v>0</v>
      </c>
      <c r="R80" s="216">
        <f t="shared" si="1"/>
        <v>0</v>
      </c>
    </row>
    <row r="81" spans="1:18" ht="36.75" customHeight="1" hidden="1">
      <c r="A81" s="88"/>
      <c r="B81" s="88"/>
      <c r="C81" s="88"/>
      <c r="D81" s="88"/>
      <c r="E81" s="88"/>
      <c r="F81" s="88"/>
      <c r="G81" s="89"/>
      <c r="H81" s="11" t="s">
        <v>277</v>
      </c>
      <c r="I81" s="10">
        <v>27</v>
      </c>
      <c r="J81" s="16">
        <v>3</v>
      </c>
      <c r="K81" s="16">
        <v>14</v>
      </c>
      <c r="L81" s="95" t="s">
        <v>597</v>
      </c>
      <c r="M81" s="96" t="s">
        <v>559</v>
      </c>
      <c r="N81" s="96" t="s">
        <v>588</v>
      </c>
      <c r="O81" s="96" t="s">
        <v>620</v>
      </c>
      <c r="P81" s="6"/>
      <c r="Q81" s="216">
        <f t="shared" si="1"/>
        <v>0</v>
      </c>
      <c r="R81" s="216">
        <f t="shared" si="1"/>
        <v>0</v>
      </c>
    </row>
    <row r="82" spans="1:18" ht="22.5" customHeight="1" hidden="1">
      <c r="A82" s="88"/>
      <c r="B82" s="88"/>
      <c r="C82" s="88"/>
      <c r="D82" s="88"/>
      <c r="E82" s="88"/>
      <c r="F82" s="88"/>
      <c r="G82" s="89"/>
      <c r="H82" s="34" t="s">
        <v>718</v>
      </c>
      <c r="I82" s="10">
        <v>27</v>
      </c>
      <c r="J82" s="16">
        <v>3</v>
      </c>
      <c r="K82" s="16">
        <v>14</v>
      </c>
      <c r="L82" s="16">
        <v>13</v>
      </c>
      <c r="M82" s="96" t="s">
        <v>559</v>
      </c>
      <c r="N82" s="96" t="s">
        <v>588</v>
      </c>
      <c r="O82" s="96" t="s">
        <v>351</v>
      </c>
      <c r="P82" s="6"/>
      <c r="Q82" s="216">
        <f t="shared" si="1"/>
        <v>0</v>
      </c>
      <c r="R82" s="216">
        <f t="shared" si="1"/>
        <v>0</v>
      </c>
    </row>
    <row r="83" spans="1:18" ht="22.5" customHeight="1" hidden="1">
      <c r="A83" s="88"/>
      <c r="B83" s="88"/>
      <c r="C83" s="88"/>
      <c r="D83" s="88"/>
      <c r="E83" s="88"/>
      <c r="F83" s="88"/>
      <c r="G83" s="89"/>
      <c r="H83" s="34" t="s">
        <v>720</v>
      </c>
      <c r="I83" s="6">
        <v>27</v>
      </c>
      <c r="J83" s="19">
        <v>3</v>
      </c>
      <c r="K83" s="16">
        <v>14</v>
      </c>
      <c r="L83" s="16">
        <v>13</v>
      </c>
      <c r="M83" s="96" t="s">
        <v>559</v>
      </c>
      <c r="N83" s="96" t="s">
        <v>588</v>
      </c>
      <c r="O83" s="96" t="s">
        <v>351</v>
      </c>
      <c r="P83" s="6">
        <v>240</v>
      </c>
      <c r="Q83" s="216"/>
      <c r="R83" s="216"/>
    </row>
    <row r="84" spans="1:18" ht="22.5" customHeight="1">
      <c r="A84" s="88"/>
      <c r="B84" s="88"/>
      <c r="C84" s="88"/>
      <c r="D84" s="88"/>
      <c r="E84" s="88"/>
      <c r="F84" s="88"/>
      <c r="G84" s="89"/>
      <c r="H84" s="11" t="s">
        <v>299</v>
      </c>
      <c r="I84" s="6">
        <v>27</v>
      </c>
      <c r="J84" s="19">
        <v>3</v>
      </c>
      <c r="K84" s="16">
        <v>14</v>
      </c>
      <c r="L84" s="16">
        <v>91</v>
      </c>
      <c r="M84" s="96" t="s">
        <v>563</v>
      </c>
      <c r="N84" s="96" t="s">
        <v>583</v>
      </c>
      <c r="O84" s="96" t="s">
        <v>620</v>
      </c>
      <c r="P84" s="6"/>
      <c r="Q84" s="216">
        <f>Q85</f>
        <v>171</v>
      </c>
      <c r="R84" s="216">
        <f>R85</f>
        <v>171</v>
      </c>
    </row>
    <row r="85" spans="1:18" ht="35.25" customHeight="1">
      <c r="A85" s="88"/>
      <c r="B85" s="88"/>
      <c r="C85" s="88"/>
      <c r="D85" s="88"/>
      <c r="E85" s="88"/>
      <c r="F85" s="88"/>
      <c r="G85" s="89"/>
      <c r="H85" s="11" t="s">
        <v>718</v>
      </c>
      <c r="I85" s="6">
        <v>27</v>
      </c>
      <c r="J85" s="21">
        <v>3</v>
      </c>
      <c r="K85" s="16">
        <v>14</v>
      </c>
      <c r="L85" s="16">
        <v>91</v>
      </c>
      <c r="M85" s="96" t="s">
        <v>563</v>
      </c>
      <c r="N85" s="96" t="s">
        <v>583</v>
      </c>
      <c r="O85" s="96" t="s">
        <v>351</v>
      </c>
      <c r="P85" s="6"/>
      <c r="Q85" s="216">
        <f>Q86</f>
        <v>171</v>
      </c>
      <c r="R85" s="216">
        <f>R86</f>
        <v>171</v>
      </c>
    </row>
    <row r="86" spans="1:18" ht="29.25" customHeight="1">
      <c r="A86" s="88"/>
      <c r="B86" s="88"/>
      <c r="C86" s="88"/>
      <c r="D86" s="88"/>
      <c r="E86" s="88"/>
      <c r="F86" s="88"/>
      <c r="G86" s="89"/>
      <c r="H86" s="11" t="s">
        <v>720</v>
      </c>
      <c r="I86" s="6">
        <v>27</v>
      </c>
      <c r="J86" s="21">
        <v>3</v>
      </c>
      <c r="K86" s="16">
        <v>14</v>
      </c>
      <c r="L86" s="16">
        <v>91</v>
      </c>
      <c r="M86" s="96" t="s">
        <v>563</v>
      </c>
      <c r="N86" s="96" t="s">
        <v>583</v>
      </c>
      <c r="O86" s="96" t="s">
        <v>351</v>
      </c>
      <c r="P86" s="6">
        <v>240</v>
      </c>
      <c r="Q86" s="240">
        <v>171</v>
      </c>
      <c r="R86" s="240">
        <v>171</v>
      </c>
    </row>
    <row r="87" spans="1:18" s="179" customFormat="1" ht="23.25" customHeight="1">
      <c r="A87" s="135"/>
      <c r="B87" s="135"/>
      <c r="C87" s="135"/>
      <c r="D87" s="135"/>
      <c r="E87" s="135"/>
      <c r="F87" s="135"/>
      <c r="G87" s="136"/>
      <c r="H87" s="137" t="s">
        <v>547</v>
      </c>
      <c r="I87" s="146">
        <v>27</v>
      </c>
      <c r="J87" s="148">
        <v>4</v>
      </c>
      <c r="K87" s="139"/>
      <c r="L87" s="140"/>
      <c r="M87" s="141"/>
      <c r="N87" s="141"/>
      <c r="O87" s="141"/>
      <c r="P87" s="146"/>
      <c r="Q87" s="217">
        <f>Q88+Q92+Q126</f>
        <v>21080.7</v>
      </c>
      <c r="R87" s="217">
        <f>R88+R92+R126</f>
        <v>21425.7</v>
      </c>
    </row>
    <row r="88" spans="1:18" s="179" customFormat="1" ht="26.25" customHeight="1">
      <c r="A88" s="142"/>
      <c r="B88" s="143"/>
      <c r="C88" s="153"/>
      <c r="D88" s="235"/>
      <c r="E88" s="166"/>
      <c r="F88" s="166"/>
      <c r="G88" s="136"/>
      <c r="H88" s="311" t="s">
        <v>352</v>
      </c>
      <c r="I88" s="152">
        <v>27</v>
      </c>
      <c r="J88" s="156">
        <v>4</v>
      </c>
      <c r="K88" s="139">
        <v>8</v>
      </c>
      <c r="L88" s="140"/>
      <c r="M88" s="141"/>
      <c r="N88" s="141"/>
      <c r="O88" s="141"/>
      <c r="P88" s="138"/>
      <c r="Q88" s="213">
        <f aca="true" t="shared" si="2" ref="Q88:R90">Q89</f>
        <v>600</v>
      </c>
      <c r="R88" s="213">
        <f t="shared" si="2"/>
        <v>600</v>
      </c>
    </row>
    <row r="89" spans="1:18" s="179" customFormat="1" ht="26.25" customHeight="1">
      <c r="A89" s="142"/>
      <c r="B89" s="143"/>
      <c r="C89" s="153"/>
      <c r="D89" s="235"/>
      <c r="E89" s="166"/>
      <c r="F89" s="166"/>
      <c r="G89" s="136"/>
      <c r="H89" s="11" t="s">
        <v>299</v>
      </c>
      <c r="I89" s="6">
        <v>27</v>
      </c>
      <c r="J89" s="21">
        <v>4</v>
      </c>
      <c r="K89" s="16">
        <v>8</v>
      </c>
      <c r="L89" s="95" t="s">
        <v>580</v>
      </c>
      <c r="M89" s="96" t="s">
        <v>563</v>
      </c>
      <c r="N89" s="96" t="s">
        <v>583</v>
      </c>
      <c r="O89" s="96" t="s">
        <v>620</v>
      </c>
      <c r="P89" s="138"/>
      <c r="Q89" s="213">
        <f t="shared" si="2"/>
        <v>600</v>
      </c>
      <c r="R89" s="213">
        <f t="shared" si="2"/>
        <v>600</v>
      </c>
    </row>
    <row r="90" spans="1:18" ht="26.25" customHeight="1">
      <c r="A90" s="99"/>
      <c r="B90" s="98"/>
      <c r="C90" s="103"/>
      <c r="D90" s="111"/>
      <c r="E90" s="114"/>
      <c r="F90" s="114"/>
      <c r="G90" s="89"/>
      <c r="H90" s="30" t="s">
        <v>746</v>
      </c>
      <c r="I90" s="8">
        <v>27</v>
      </c>
      <c r="J90" s="21">
        <v>4</v>
      </c>
      <c r="K90" s="16">
        <v>8</v>
      </c>
      <c r="L90" s="95" t="s">
        <v>580</v>
      </c>
      <c r="M90" s="96" t="s">
        <v>563</v>
      </c>
      <c r="N90" s="96" t="s">
        <v>583</v>
      </c>
      <c r="O90" s="96" t="s">
        <v>727</v>
      </c>
      <c r="P90" s="10"/>
      <c r="Q90" s="214">
        <f t="shared" si="2"/>
        <v>600</v>
      </c>
      <c r="R90" s="214">
        <f t="shared" si="2"/>
        <v>600</v>
      </c>
    </row>
    <row r="91" spans="1:18" ht="28.5" customHeight="1">
      <c r="A91" s="99"/>
      <c r="B91" s="98"/>
      <c r="C91" s="103"/>
      <c r="D91" s="111"/>
      <c r="E91" s="114"/>
      <c r="F91" s="114"/>
      <c r="G91" s="89"/>
      <c r="H91" s="30" t="s">
        <v>720</v>
      </c>
      <c r="I91" s="8">
        <v>27</v>
      </c>
      <c r="J91" s="21">
        <v>4</v>
      </c>
      <c r="K91" s="16">
        <v>8</v>
      </c>
      <c r="L91" s="95" t="s">
        <v>580</v>
      </c>
      <c r="M91" s="96" t="s">
        <v>563</v>
      </c>
      <c r="N91" s="96" t="s">
        <v>583</v>
      </c>
      <c r="O91" s="96" t="s">
        <v>727</v>
      </c>
      <c r="P91" s="10">
        <v>240</v>
      </c>
      <c r="Q91" s="214">
        <v>600</v>
      </c>
      <c r="R91" s="216">
        <v>600</v>
      </c>
    </row>
    <row r="92" spans="1:18" s="179" customFormat="1" ht="24.75" customHeight="1">
      <c r="A92" s="142"/>
      <c r="B92" s="143"/>
      <c r="C92" s="153"/>
      <c r="D92" s="150"/>
      <c r="E92" s="154"/>
      <c r="F92" s="154"/>
      <c r="G92" s="155">
        <v>321</v>
      </c>
      <c r="H92" s="149" t="s">
        <v>337</v>
      </c>
      <c r="I92" s="152">
        <v>27</v>
      </c>
      <c r="J92" s="156">
        <v>4</v>
      </c>
      <c r="K92" s="139">
        <v>9</v>
      </c>
      <c r="L92" s="140"/>
      <c r="M92" s="141"/>
      <c r="N92" s="141"/>
      <c r="O92" s="141"/>
      <c r="P92" s="146"/>
      <c r="Q92" s="217">
        <f>Q93</f>
        <v>12820.7</v>
      </c>
      <c r="R92" s="217">
        <f>R111</f>
        <v>13245.7</v>
      </c>
    </row>
    <row r="93" spans="1:18" ht="35.25" customHeight="1">
      <c r="A93" s="99"/>
      <c r="B93" s="98"/>
      <c r="C93" s="103"/>
      <c r="D93" s="101"/>
      <c r="E93" s="113"/>
      <c r="F93" s="113"/>
      <c r="G93" s="105">
        <v>530</v>
      </c>
      <c r="H93" s="5" t="s">
        <v>774</v>
      </c>
      <c r="I93" s="10">
        <v>27</v>
      </c>
      <c r="J93" s="16">
        <v>4</v>
      </c>
      <c r="K93" s="16">
        <v>9</v>
      </c>
      <c r="L93" s="95" t="s">
        <v>588</v>
      </c>
      <c r="M93" s="96" t="s">
        <v>563</v>
      </c>
      <c r="N93" s="96" t="s">
        <v>583</v>
      </c>
      <c r="O93" s="96" t="s">
        <v>620</v>
      </c>
      <c r="P93" s="6"/>
      <c r="Q93" s="216">
        <f>Q94+Q98+Q101+Q104+Q108</f>
        <v>12820.7</v>
      </c>
      <c r="R93" s="216">
        <f>R94+R98+R101+R104+R108</f>
        <v>0</v>
      </c>
    </row>
    <row r="94" spans="1:18" ht="29.25" customHeight="1">
      <c r="A94" s="99"/>
      <c r="B94" s="98"/>
      <c r="C94" s="103"/>
      <c r="D94" s="101"/>
      <c r="E94" s="113"/>
      <c r="F94" s="113"/>
      <c r="G94" s="105"/>
      <c r="H94" s="11" t="s">
        <v>661</v>
      </c>
      <c r="I94" s="10">
        <v>27</v>
      </c>
      <c r="J94" s="16">
        <v>4</v>
      </c>
      <c r="K94" s="16">
        <v>9</v>
      </c>
      <c r="L94" s="95" t="s">
        <v>588</v>
      </c>
      <c r="M94" s="96" t="s">
        <v>563</v>
      </c>
      <c r="N94" s="96" t="s">
        <v>564</v>
      </c>
      <c r="O94" s="96" t="s">
        <v>620</v>
      </c>
      <c r="P94" s="6"/>
      <c r="Q94" s="216">
        <f>Q95</f>
        <v>1428</v>
      </c>
      <c r="R94" s="216">
        <f>R95</f>
        <v>0</v>
      </c>
    </row>
    <row r="95" spans="1:18" ht="35.25" customHeight="1">
      <c r="A95" s="99"/>
      <c r="B95" s="98"/>
      <c r="C95" s="103"/>
      <c r="D95" s="101"/>
      <c r="E95" s="113"/>
      <c r="F95" s="113"/>
      <c r="G95" s="105"/>
      <c r="H95" s="11" t="s">
        <v>740</v>
      </c>
      <c r="I95" s="10">
        <v>27</v>
      </c>
      <c r="J95" s="16">
        <v>4</v>
      </c>
      <c r="K95" s="16">
        <v>9</v>
      </c>
      <c r="L95" s="95" t="s">
        <v>588</v>
      </c>
      <c r="M95" s="96" t="s">
        <v>563</v>
      </c>
      <c r="N95" s="96" t="s">
        <v>564</v>
      </c>
      <c r="O95" s="96" t="s">
        <v>349</v>
      </c>
      <c r="P95" s="6"/>
      <c r="Q95" s="216">
        <f>Q96+Q97</f>
        <v>1428</v>
      </c>
      <c r="R95" s="216">
        <f>R96+R97</f>
        <v>0</v>
      </c>
    </row>
    <row r="96" spans="1:18" ht="26.25" customHeight="1">
      <c r="A96" s="99"/>
      <c r="B96" s="98"/>
      <c r="C96" s="103"/>
      <c r="D96" s="101"/>
      <c r="E96" s="113"/>
      <c r="F96" s="113"/>
      <c r="G96" s="105"/>
      <c r="H96" s="30" t="s">
        <v>720</v>
      </c>
      <c r="I96" s="10">
        <v>27</v>
      </c>
      <c r="J96" s="16">
        <v>4</v>
      </c>
      <c r="K96" s="16">
        <v>9</v>
      </c>
      <c r="L96" s="95" t="s">
        <v>588</v>
      </c>
      <c r="M96" s="96" t="s">
        <v>563</v>
      </c>
      <c r="N96" s="96" t="s">
        <v>564</v>
      </c>
      <c r="O96" s="96" t="s">
        <v>349</v>
      </c>
      <c r="P96" s="6">
        <v>240</v>
      </c>
      <c r="Q96" s="216">
        <v>1428</v>
      </c>
      <c r="R96" s="216">
        <v>0</v>
      </c>
    </row>
    <row r="97" spans="1:18" ht="26.25" customHeight="1" hidden="1">
      <c r="A97" s="99"/>
      <c r="B97" s="98"/>
      <c r="C97" s="103"/>
      <c r="D97" s="101"/>
      <c r="E97" s="113"/>
      <c r="F97" s="113"/>
      <c r="G97" s="105"/>
      <c r="H97" s="11" t="s">
        <v>647</v>
      </c>
      <c r="I97" s="10">
        <v>27</v>
      </c>
      <c r="J97" s="16">
        <v>4</v>
      </c>
      <c r="K97" s="16">
        <v>9</v>
      </c>
      <c r="L97" s="95" t="s">
        <v>588</v>
      </c>
      <c r="M97" s="96" t="s">
        <v>563</v>
      </c>
      <c r="N97" s="96" t="s">
        <v>564</v>
      </c>
      <c r="O97" s="96" t="s">
        <v>349</v>
      </c>
      <c r="P97" s="6">
        <v>540</v>
      </c>
      <c r="Q97" s="216"/>
      <c r="R97" s="216"/>
    </row>
    <row r="98" spans="1:18" ht="25.5" customHeight="1" hidden="1">
      <c r="A98" s="99"/>
      <c r="B98" s="98"/>
      <c r="C98" s="103"/>
      <c r="D98" s="101"/>
      <c r="E98" s="113"/>
      <c r="F98" s="113"/>
      <c r="G98" s="105"/>
      <c r="H98" s="11" t="s">
        <v>823</v>
      </c>
      <c r="I98" s="10">
        <v>27</v>
      </c>
      <c r="J98" s="16">
        <v>4</v>
      </c>
      <c r="K98" s="16">
        <v>9</v>
      </c>
      <c r="L98" s="95" t="s">
        <v>588</v>
      </c>
      <c r="M98" s="96" t="s">
        <v>563</v>
      </c>
      <c r="N98" s="96" t="s">
        <v>592</v>
      </c>
      <c r="O98" s="96" t="s">
        <v>620</v>
      </c>
      <c r="P98" s="6"/>
      <c r="Q98" s="216">
        <f>Q99</f>
        <v>0</v>
      </c>
      <c r="R98" s="216">
        <f>R99</f>
        <v>0</v>
      </c>
    </row>
    <row r="99" spans="1:18" ht="24.75" customHeight="1" hidden="1">
      <c r="A99" s="99"/>
      <c r="B99" s="98"/>
      <c r="C99" s="103"/>
      <c r="D99" s="101"/>
      <c r="E99" s="113"/>
      <c r="F99" s="113"/>
      <c r="G99" s="105">
        <v>611</v>
      </c>
      <c r="H99" s="11" t="s">
        <v>762</v>
      </c>
      <c r="I99" s="10">
        <v>27</v>
      </c>
      <c r="J99" s="16">
        <v>4</v>
      </c>
      <c r="K99" s="16">
        <v>9</v>
      </c>
      <c r="L99" s="95" t="s">
        <v>588</v>
      </c>
      <c r="M99" s="96" t="s">
        <v>563</v>
      </c>
      <c r="N99" s="96" t="s">
        <v>592</v>
      </c>
      <c r="O99" s="96" t="s">
        <v>761</v>
      </c>
      <c r="P99" s="6"/>
      <c r="Q99" s="216">
        <f>Q100</f>
        <v>0</v>
      </c>
      <c r="R99" s="216">
        <f>R100</f>
        <v>0</v>
      </c>
    </row>
    <row r="100" spans="1:18" ht="27.75" customHeight="1" hidden="1">
      <c r="A100" s="99"/>
      <c r="B100" s="98"/>
      <c r="C100" s="103"/>
      <c r="D100" s="101"/>
      <c r="E100" s="104"/>
      <c r="F100" s="104"/>
      <c r="G100" s="105"/>
      <c r="H100" s="5" t="s">
        <v>720</v>
      </c>
      <c r="I100" s="13">
        <v>27</v>
      </c>
      <c r="J100" s="7">
        <v>4</v>
      </c>
      <c r="K100" s="16">
        <v>9</v>
      </c>
      <c r="L100" s="95" t="s">
        <v>588</v>
      </c>
      <c r="M100" s="96" t="s">
        <v>563</v>
      </c>
      <c r="N100" s="96" t="s">
        <v>592</v>
      </c>
      <c r="O100" s="96" t="s">
        <v>761</v>
      </c>
      <c r="P100" s="6">
        <v>240</v>
      </c>
      <c r="Q100" s="214"/>
      <c r="R100" s="214">
        <v>0</v>
      </c>
    </row>
    <row r="101" spans="1:18" ht="24.75" customHeight="1">
      <c r="A101" s="99"/>
      <c r="B101" s="98"/>
      <c r="C101" s="103"/>
      <c r="D101" s="101"/>
      <c r="E101" s="104"/>
      <c r="F101" s="104"/>
      <c r="G101" s="105"/>
      <c r="H101" s="5" t="s">
        <v>256</v>
      </c>
      <c r="I101" s="13">
        <v>27</v>
      </c>
      <c r="J101" s="7">
        <v>4</v>
      </c>
      <c r="K101" s="16">
        <v>9</v>
      </c>
      <c r="L101" s="95" t="s">
        <v>588</v>
      </c>
      <c r="M101" s="96" t="s">
        <v>563</v>
      </c>
      <c r="N101" s="96" t="s">
        <v>593</v>
      </c>
      <c r="O101" s="96" t="s">
        <v>620</v>
      </c>
      <c r="P101" s="6"/>
      <c r="Q101" s="216">
        <f>Q102</f>
        <v>10491</v>
      </c>
      <c r="R101" s="216">
        <f>R102</f>
        <v>0</v>
      </c>
    </row>
    <row r="102" spans="1:18" ht="24.75" customHeight="1">
      <c r="A102" s="99"/>
      <c r="B102" s="98"/>
      <c r="C102" s="103"/>
      <c r="D102" s="101"/>
      <c r="E102" s="104"/>
      <c r="F102" s="104"/>
      <c r="G102" s="105"/>
      <c r="H102" s="5" t="s">
        <v>762</v>
      </c>
      <c r="I102" s="13">
        <v>27</v>
      </c>
      <c r="J102" s="7">
        <v>4</v>
      </c>
      <c r="K102" s="16">
        <v>9</v>
      </c>
      <c r="L102" s="95" t="s">
        <v>588</v>
      </c>
      <c r="M102" s="96" t="s">
        <v>563</v>
      </c>
      <c r="N102" s="96" t="s">
        <v>593</v>
      </c>
      <c r="O102" s="96" t="s">
        <v>761</v>
      </c>
      <c r="P102" s="6"/>
      <c r="Q102" s="216">
        <f>Q103</f>
        <v>10491</v>
      </c>
      <c r="R102" s="216">
        <f>R103</f>
        <v>0</v>
      </c>
    </row>
    <row r="103" spans="1:18" ht="24.75" customHeight="1">
      <c r="A103" s="99"/>
      <c r="B103" s="98"/>
      <c r="C103" s="103"/>
      <c r="D103" s="101"/>
      <c r="E103" s="104"/>
      <c r="F103" s="104"/>
      <c r="G103" s="105"/>
      <c r="H103" s="5" t="s">
        <v>720</v>
      </c>
      <c r="I103" s="13">
        <v>27</v>
      </c>
      <c r="J103" s="7">
        <v>4</v>
      </c>
      <c r="K103" s="16">
        <v>9</v>
      </c>
      <c r="L103" s="95" t="s">
        <v>588</v>
      </c>
      <c r="M103" s="96" t="s">
        <v>563</v>
      </c>
      <c r="N103" s="96" t="s">
        <v>593</v>
      </c>
      <c r="O103" s="96" t="s">
        <v>761</v>
      </c>
      <c r="P103" s="6">
        <v>240</v>
      </c>
      <c r="Q103" s="216">
        <v>10491</v>
      </c>
      <c r="R103" s="216">
        <v>0</v>
      </c>
    </row>
    <row r="104" spans="1:18" ht="22.5" customHeight="1">
      <c r="A104" s="99"/>
      <c r="B104" s="98"/>
      <c r="C104" s="103"/>
      <c r="D104" s="101"/>
      <c r="E104" s="104"/>
      <c r="F104" s="104"/>
      <c r="G104" s="105"/>
      <c r="H104" s="5" t="s">
        <v>778</v>
      </c>
      <c r="I104" s="13">
        <v>27</v>
      </c>
      <c r="J104" s="7">
        <v>4</v>
      </c>
      <c r="K104" s="16">
        <v>9</v>
      </c>
      <c r="L104" s="95" t="s">
        <v>588</v>
      </c>
      <c r="M104" s="96" t="s">
        <v>563</v>
      </c>
      <c r="N104" s="96" t="s">
        <v>566</v>
      </c>
      <c r="O104" s="96" t="s">
        <v>620</v>
      </c>
      <c r="P104" s="6"/>
      <c r="Q104" s="216">
        <f>Q105</f>
        <v>901.7</v>
      </c>
      <c r="R104" s="216">
        <f>R105</f>
        <v>0</v>
      </c>
    </row>
    <row r="105" spans="1:18" ht="31.5" customHeight="1">
      <c r="A105" s="99"/>
      <c r="B105" s="98"/>
      <c r="C105" s="103"/>
      <c r="D105" s="101"/>
      <c r="E105" s="104"/>
      <c r="F105" s="104"/>
      <c r="G105" s="105"/>
      <c r="H105" s="5" t="s">
        <v>274</v>
      </c>
      <c r="I105" s="13">
        <v>27</v>
      </c>
      <c r="J105" s="7">
        <v>4</v>
      </c>
      <c r="K105" s="16">
        <v>9</v>
      </c>
      <c r="L105" s="95" t="s">
        <v>588</v>
      </c>
      <c r="M105" s="96" t="s">
        <v>563</v>
      </c>
      <c r="N105" s="96" t="s">
        <v>566</v>
      </c>
      <c r="O105" s="96" t="s">
        <v>273</v>
      </c>
      <c r="P105" s="6"/>
      <c r="Q105" s="216">
        <f>Q106</f>
        <v>901.7</v>
      </c>
      <c r="R105" s="216">
        <f>R106</f>
        <v>0</v>
      </c>
    </row>
    <row r="106" spans="1:18" ht="31.5" customHeight="1">
      <c r="A106" s="99"/>
      <c r="B106" s="98"/>
      <c r="C106" s="103"/>
      <c r="D106" s="101"/>
      <c r="E106" s="104"/>
      <c r="F106" s="104"/>
      <c r="G106" s="105"/>
      <c r="H106" s="5" t="s">
        <v>720</v>
      </c>
      <c r="I106" s="13">
        <v>27</v>
      </c>
      <c r="J106" s="7">
        <v>4</v>
      </c>
      <c r="K106" s="16">
        <v>9</v>
      </c>
      <c r="L106" s="95" t="s">
        <v>588</v>
      </c>
      <c r="M106" s="96" t="s">
        <v>563</v>
      </c>
      <c r="N106" s="96" t="s">
        <v>566</v>
      </c>
      <c r="O106" s="96" t="s">
        <v>273</v>
      </c>
      <c r="P106" s="6">
        <v>240</v>
      </c>
      <c r="Q106" s="216">
        <v>901.7</v>
      </c>
      <c r="R106" s="216">
        <v>0</v>
      </c>
    </row>
    <row r="107" spans="1:18" ht="22.5" customHeight="1" hidden="1">
      <c r="A107" s="99"/>
      <c r="B107" s="98"/>
      <c r="C107" s="103"/>
      <c r="D107" s="101"/>
      <c r="E107" s="104"/>
      <c r="F107" s="104"/>
      <c r="G107" s="105"/>
      <c r="H107" s="5" t="s">
        <v>647</v>
      </c>
      <c r="I107" s="13">
        <v>27</v>
      </c>
      <c r="J107" s="7">
        <v>4</v>
      </c>
      <c r="K107" s="16">
        <v>9</v>
      </c>
      <c r="L107" s="95" t="s">
        <v>588</v>
      </c>
      <c r="M107" s="96" t="s">
        <v>563</v>
      </c>
      <c r="N107" s="96" t="s">
        <v>566</v>
      </c>
      <c r="O107" s="96" t="s">
        <v>273</v>
      </c>
      <c r="P107" s="6">
        <v>540</v>
      </c>
      <c r="Q107" s="216"/>
      <c r="R107" s="216"/>
    </row>
    <row r="108" spans="1:18" ht="33.75" customHeight="1" hidden="1">
      <c r="A108" s="99"/>
      <c r="B108" s="98"/>
      <c r="C108" s="103"/>
      <c r="D108" s="101"/>
      <c r="E108" s="104"/>
      <c r="F108" s="104"/>
      <c r="G108" s="105"/>
      <c r="H108" s="5" t="s">
        <v>783</v>
      </c>
      <c r="I108" s="13">
        <v>27</v>
      </c>
      <c r="J108" s="7">
        <v>4</v>
      </c>
      <c r="K108" s="16">
        <v>9</v>
      </c>
      <c r="L108" s="95" t="s">
        <v>588</v>
      </c>
      <c r="M108" s="96" t="s">
        <v>563</v>
      </c>
      <c r="N108" s="96" t="s">
        <v>595</v>
      </c>
      <c r="O108" s="96" t="s">
        <v>620</v>
      </c>
      <c r="P108" s="6"/>
      <c r="Q108" s="216">
        <f>Q109</f>
        <v>0</v>
      </c>
      <c r="R108" s="216">
        <f>R109</f>
        <v>0</v>
      </c>
    </row>
    <row r="109" spans="1:18" ht="32.25" customHeight="1" hidden="1">
      <c r="A109" s="99"/>
      <c r="B109" s="98"/>
      <c r="C109" s="103"/>
      <c r="D109" s="101"/>
      <c r="E109" s="104"/>
      <c r="F109" s="104"/>
      <c r="G109" s="105"/>
      <c r="H109" s="5" t="s">
        <v>782</v>
      </c>
      <c r="I109" s="13">
        <v>27</v>
      </c>
      <c r="J109" s="7">
        <v>4</v>
      </c>
      <c r="K109" s="16">
        <v>9</v>
      </c>
      <c r="L109" s="95" t="s">
        <v>588</v>
      </c>
      <c r="M109" s="96" t="s">
        <v>563</v>
      </c>
      <c r="N109" s="96" t="s">
        <v>595</v>
      </c>
      <c r="O109" s="96" t="s">
        <v>255</v>
      </c>
      <c r="P109" s="6"/>
      <c r="Q109" s="216">
        <f>Q110</f>
        <v>0</v>
      </c>
      <c r="R109" s="216">
        <f>R110</f>
        <v>0</v>
      </c>
    </row>
    <row r="110" spans="1:18" ht="24.75" customHeight="1" hidden="1">
      <c r="A110" s="99"/>
      <c r="B110" s="98"/>
      <c r="C110" s="103"/>
      <c r="D110" s="101"/>
      <c r="E110" s="104"/>
      <c r="F110" s="104"/>
      <c r="G110" s="105"/>
      <c r="H110" s="5" t="s">
        <v>781</v>
      </c>
      <c r="I110" s="13">
        <v>27</v>
      </c>
      <c r="J110" s="7">
        <v>4</v>
      </c>
      <c r="K110" s="16">
        <v>9</v>
      </c>
      <c r="L110" s="95" t="s">
        <v>588</v>
      </c>
      <c r="M110" s="96" t="s">
        <v>563</v>
      </c>
      <c r="N110" s="96" t="s">
        <v>595</v>
      </c>
      <c r="O110" s="96" t="s">
        <v>255</v>
      </c>
      <c r="P110" s="6">
        <v>540</v>
      </c>
      <c r="Q110" s="216"/>
      <c r="R110" s="216"/>
    </row>
    <row r="111" spans="1:18" ht="35.25" customHeight="1">
      <c r="A111" s="99"/>
      <c r="B111" s="98"/>
      <c r="C111" s="103"/>
      <c r="D111" s="101"/>
      <c r="E111" s="113"/>
      <c r="F111" s="113"/>
      <c r="G111" s="105">
        <v>530</v>
      </c>
      <c r="H111" s="5" t="s">
        <v>382</v>
      </c>
      <c r="I111" s="10">
        <v>27</v>
      </c>
      <c r="J111" s="16">
        <v>4</v>
      </c>
      <c r="K111" s="16">
        <v>9</v>
      </c>
      <c r="L111" s="95" t="s">
        <v>710</v>
      </c>
      <c r="M111" s="96" t="s">
        <v>563</v>
      </c>
      <c r="N111" s="96" t="s">
        <v>583</v>
      </c>
      <c r="O111" s="96" t="s">
        <v>620</v>
      </c>
      <c r="P111" s="6"/>
      <c r="Q111" s="216">
        <v>0</v>
      </c>
      <c r="R111" s="216">
        <f>R112+R116+R119+R122</f>
        <v>13245.7</v>
      </c>
    </row>
    <row r="112" spans="1:18" ht="29.25" customHeight="1">
      <c r="A112" s="99"/>
      <c r="B112" s="98"/>
      <c r="C112" s="103"/>
      <c r="D112" s="101"/>
      <c r="E112" s="113"/>
      <c r="F112" s="113"/>
      <c r="G112" s="105"/>
      <c r="H112" s="11" t="s">
        <v>661</v>
      </c>
      <c r="I112" s="10">
        <v>27</v>
      </c>
      <c r="J112" s="16">
        <v>4</v>
      </c>
      <c r="K112" s="16">
        <v>9</v>
      </c>
      <c r="L112" s="95" t="s">
        <v>710</v>
      </c>
      <c r="M112" s="96" t="s">
        <v>563</v>
      </c>
      <c r="N112" s="96" t="s">
        <v>564</v>
      </c>
      <c r="O112" s="96" t="s">
        <v>620</v>
      </c>
      <c r="P112" s="6"/>
      <c r="Q112" s="216">
        <f>Q113</f>
        <v>0</v>
      </c>
      <c r="R112" s="216">
        <f>R113</f>
        <v>1428</v>
      </c>
    </row>
    <row r="113" spans="1:18" ht="35.25" customHeight="1">
      <c r="A113" s="99"/>
      <c r="B113" s="98"/>
      <c r="C113" s="103"/>
      <c r="D113" s="101"/>
      <c r="E113" s="113"/>
      <c r="F113" s="113"/>
      <c r="G113" s="105"/>
      <c r="H113" s="11" t="s">
        <v>740</v>
      </c>
      <c r="I113" s="10">
        <v>27</v>
      </c>
      <c r="J113" s="16">
        <v>4</v>
      </c>
      <c r="K113" s="16">
        <v>9</v>
      </c>
      <c r="L113" s="95" t="s">
        <v>710</v>
      </c>
      <c r="M113" s="96" t="s">
        <v>563</v>
      </c>
      <c r="N113" s="96" t="s">
        <v>564</v>
      </c>
      <c r="O113" s="96" t="s">
        <v>349</v>
      </c>
      <c r="P113" s="6"/>
      <c r="Q113" s="216">
        <f>Q114+Q115</f>
        <v>0</v>
      </c>
      <c r="R113" s="216">
        <f>R114+R115</f>
        <v>1428</v>
      </c>
    </row>
    <row r="114" spans="1:18" ht="26.25" customHeight="1">
      <c r="A114" s="99"/>
      <c r="B114" s="98"/>
      <c r="C114" s="103"/>
      <c r="D114" s="101"/>
      <c r="E114" s="113"/>
      <c r="F114" s="113"/>
      <c r="G114" s="105"/>
      <c r="H114" s="30" t="s">
        <v>720</v>
      </c>
      <c r="I114" s="10">
        <v>27</v>
      </c>
      <c r="J114" s="16">
        <v>4</v>
      </c>
      <c r="K114" s="16">
        <v>9</v>
      </c>
      <c r="L114" s="95" t="s">
        <v>710</v>
      </c>
      <c r="M114" s="96" t="s">
        <v>563</v>
      </c>
      <c r="N114" s="96" t="s">
        <v>564</v>
      </c>
      <c r="O114" s="96" t="s">
        <v>349</v>
      </c>
      <c r="P114" s="6">
        <v>240</v>
      </c>
      <c r="Q114" s="216">
        <v>0</v>
      </c>
      <c r="R114" s="216">
        <v>1428</v>
      </c>
    </row>
    <row r="115" spans="1:18" ht="26.25" customHeight="1" hidden="1">
      <c r="A115" s="99"/>
      <c r="B115" s="98"/>
      <c r="C115" s="103"/>
      <c r="D115" s="101"/>
      <c r="E115" s="113"/>
      <c r="F115" s="113"/>
      <c r="G115" s="105"/>
      <c r="H115" s="11" t="s">
        <v>647</v>
      </c>
      <c r="I115" s="10">
        <v>27</v>
      </c>
      <c r="J115" s="16">
        <v>4</v>
      </c>
      <c r="K115" s="16">
        <v>9</v>
      </c>
      <c r="L115" s="95" t="s">
        <v>710</v>
      </c>
      <c r="M115" s="96" t="s">
        <v>563</v>
      </c>
      <c r="N115" s="96" t="s">
        <v>564</v>
      </c>
      <c r="O115" s="96" t="s">
        <v>349</v>
      </c>
      <c r="P115" s="6">
        <v>540</v>
      </c>
      <c r="Q115" s="216"/>
      <c r="R115" s="216"/>
    </row>
    <row r="116" spans="1:18" ht="25.5" customHeight="1" hidden="1">
      <c r="A116" s="99"/>
      <c r="B116" s="98"/>
      <c r="C116" s="103"/>
      <c r="D116" s="101"/>
      <c r="E116" s="113"/>
      <c r="F116" s="113"/>
      <c r="G116" s="105"/>
      <c r="H116" s="11" t="s">
        <v>823</v>
      </c>
      <c r="I116" s="10">
        <v>27</v>
      </c>
      <c r="J116" s="16">
        <v>4</v>
      </c>
      <c r="K116" s="16">
        <v>9</v>
      </c>
      <c r="L116" s="95" t="s">
        <v>710</v>
      </c>
      <c r="M116" s="96" t="s">
        <v>563</v>
      </c>
      <c r="N116" s="96" t="s">
        <v>592</v>
      </c>
      <c r="O116" s="96" t="s">
        <v>620</v>
      </c>
      <c r="P116" s="6"/>
      <c r="Q116" s="216">
        <f>Q117</f>
        <v>0</v>
      </c>
      <c r="R116" s="216">
        <f>R117</f>
        <v>0</v>
      </c>
    </row>
    <row r="117" spans="1:18" ht="24.75" customHeight="1" hidden="1">
      <c r="A117" s="99"/>
      <c r="B117" s="98"/>
      <c r="C117" s="103"/>
      <c r="D117" s="101"/>
      <c r="E117" s="113"/>
      <c r="F117" s="113"/>
      <c r="G117" s="105">
        <v>611</v>
      </c>
      <c r="H117" s="11" t="s">
        <v>762</v>
      </c>
      <c r="I117" s="10">
        <v>27</v>
      </c>
      <c r="J117" s="16">
        <v>4</v>
      </c>
      <c r="K117" s="16">
        <v>9</v>
      </c>
      <c r="L117" s="95" t="s">
        <v>710</v>
      </c>
      <c r="M117" s="96" t="s">
        <v>563</v>
      </c>
      <c r="N117" s="96" t="s">
        <v>592</v>
      </c>
      <c r="O117" s="96" t="s">
        <v>761</v>
      </c>
      <c r="P117" s="6"/>
      <c r="Q117" s="216">
        <f>Q118</f>
        <v>0</v>
      </c>
      <c r="R117" s="216">
        <f>R118</f>
        <v>0</v>
      </c>
    </row>
    <row r="118" spans="1:18" ht="27.75" customHeight="1" hidden="1">
      <c r="A118" s="99"/>
      <c r="B118" s="98"/>
      <c r="C118" s="103"/>
      <c r="D118" s="101"/>
      <c r="E118" s="104"/>
      <c r="F118" s="104"/>
      <c r="G118" s="105"/>
      <c r="H118" s="5" t="s">
        <v>720</v>
      </c>
      <c r="I118" s="13">
        <v>27</v>
      </c>
      <c r="J118" s="7">
        <v>4</v>
      </c>
      <c r="K118" s="16">
        <v>9</v>
      </c>
      <c r="L118" s="95" t="s">
        <v>710</v>
      </c>
      <c r="M118" s="96" t="s">
        <v>563</v>
      </c>
      <c r="N118" s="96" t="s">
        <v>592</v>
      </c>
      <c r="O118" s="96" t="s">
        <v>761</v>
      </c>
      <c r="P118" s="6">
        <v>240</v>
      </c>
      <c r="Q118" s="214"/>
      <c r="R118" s="214"/>
    </row>
    <row r="119" spans="1:18" ht="24.75" customHeight="1">
      <c r="A119" s="99"/>
      <c r="B119" s="98"/>
      <c r="C119" s="103"/>
      <c r="D119" s="101"/>
      <c r="E119" s="104"/>
      <c r="F119" s="104"/>
      <c r="G119" s="105"/>
      <c r="H119" s="5" t="s">
        <v>256</v>
      </c>
      <c r="I119" s="13">
        <v>27</v>
      </c>
      <c r="J119" s="7">
        <v>4</v>
      </c>
      <c r="K119" s="16">
        <v>9</v>
      </c>
      <c r="L119" s="95" t="s">
        <v>710</v>
      </c>
      <c r="M119" s="96" t="s">
        <v>563</v>
      </c>
      <c r="N119" s="96" t="s">
        <v>593</v>
      </c>
      <c r="O119" s="96" t="s">
        <v>620</v>
      </c>
      <c r="P119" s="6"/>
      <c r="Q119" s="216">
        <f>Q120</f>
        <v>0</v>
      </c>
      <c r="R119" s="216">
        <f>R120</f>
        <v>10916</v>
      </c>
    </row>
    <row r="120" spans="1:18" ht="24.75" customHeight="1">
      <c r="A120" s="99"/>
      <c r="B120" s="98"/>
      <c r="C120" s="103"/>
      <c r="D120" s="101"/>
      <c r="E120" s="104"/>
      <c r="F120" s="104"/>
      <c r="G120" s="105"/>
      <c r="H120" s="5" t="s">
        <v>762</v>
      </c>
      <c r="I120" s="13">
        <v>27</v>
      </c>
      <c r="J120" s="7">
        <v>4</v>
      </c>
      <c r="K120" s="16">
        <v>9</v>
      </c>
      <c r="L120" s="95" t="s">
        <v>710</v>
      </c>
      <c r="M120" s="96" t="s">
        <v>563</v>
      </c>
      <c r="N120" s="96" t="s">
        <v>593</v>
      </c>
      <c r="O120" s="96" t="s">
        <v>761</v>
      </c>
      <c r="P120" s="6"/>
      <c r="Q120" s="216">
        <f>Q121</f>
        <v>0</v>
      </c>
      <c r="R120" s="216">
        <f>R121</f>
        <v>10916</v>
      </c>
    </row>
    <row r="121" spans="1:18" ht="24.75" customHeight="1">
      <c r="A121" s="99"/>
      <c r="B121" s="98"/>
      <c r="C121" s="103"/>
      <c r="D121" s="101"/>
      <c r="E121" s="104"/>
      <c r="F121" s="104"/>
      <c r="G121" s="105"/>
      <c r="H121" s="5" t="s">
        <v>720</v>
      </c>
      <c r="I121" s="13">
        <v>27</v>
      </c>
      <c r="J121" s="7">
        <v>4</v>
      </c>
      <c r="K121" s="16">
        <v>9</v>
      </c>
      <c r="L121" s="95" t="s">
        <v>710</v>
      </c>
      <c r="M121" s="96" t="s">
        <v>563</v>
      </c>
      <c r="N121" s="96" t="s">
        <v>593</v>
      </c>
      <c r="O121" s="96" t="s">
        <v>761</v>
      </c>
      <c r="P121" s="6">
        <v>240</v>
      </c>
      <c r="Q121" s="216">
        <v>0</v>
      </c>
      <c r="R121" s="216">
        <v>10916</v>
      </c>
    </row>
    <row r="122" spans="1:18" ht="22.5" customHeight="1">
      <c r="A122" s="99"/>
      <c r="B122" s="98"/>
      <c r="C122" s="103"/>
      <c r="D122" s="101"/>
      <c r="E122" s="104"/>
      <c r="F122" s="104"/>
      <c r="G122" s="105"/>
      <c r="H122" s="5" t="s">
        <v>778</v>
      </c>
      <c r="I122" s="13">
        <v>27</v>
      </c>
      <c r="J122" s="7">
        <v>4</v>
      </c>
      <c r="K122" s="16">
        <v>9</v>
      </c>
      <c r="L122" s="95" t="s">
        <v>710</v>
      </c>
      <c r="M122" s="96" t="s">
        <v>563</v>
      </c>
      <c r="N122" s="96" t="s">
        <v>566</v>
      </c>
      <c r="O122" s="96" t="s">
        <v>620</v>
      </c>
      <c r="P122" s="6"/>
      <c r="Q122" s="216">
        <f>Q123</f>
        <v>0</v>
      </c>
      <c r="R122" s="216">
        <f>R123</f>
        <v>901.7</v>
      </c>
    </row>
    <row r="123" spans="1:18" ht="31.5" customHeight="1">
      <c r="A123" s="99"/>
      <c r="B123" s="98"/>
      <c r="C123" s="103"/>
      <c r="D123" s="101"/>
      <c r="E123" s="104"/>
      <c r="F123" s="104"/>
      <c r="G123" s="105"/>
      <c r="H123" s="5" t="s">
        <v>274</v>
      </c>
      <c r="I123" s="13">
        <v>27</v>
      </c>
      <c r="J123" s="7">
        <v>4</v>
      </c>
      <c r="K123" s="16">
        <v>9</v>
      </c>
      <c r="L123" s="95" t="s">
        <v>710</v>
      </c>
      <c r="M123" s="96" t="s">
        <v>563</v>
      </c>
      <c r="N123" s="96" t="s">
        <v>566</v>
      </c>
      <c r="O123" s="96" t="s">
        <v>273</v>
      </c>
      <c r="P123" s="6"/>
      <c r="Q123" s="216">
        <f>Q124</f>
        <v>0</v>
      </c>
      <c r="R123" s="216">
        <f>R124</f>
        <v>901.7</v>
      </c>
    </row>
    <row r="124" spans="1:18" ht="31.5" customHeight="1">
      <c r="A124" s="99"/>
      <c r="B124" s="98"/>
      <c r="C124" s="103"/>
      <c r="D124" s="101"/>
      <c r="E124" s="104"/>
      <c r="F124" s="104"/>
      <c r="G124" s="105"/>
      <c r="H124" s="5" t="s">
        <v>720</v>
      </c>
      <c r="I124" s="13">
        <v>27</v>
      </c>
      <c r="J124" s="7">
        <v>4</v>
      </c>
      <c r="K124" s="16">
        <v>9</v>
      </c>
      <c r="L124" s="95" t="s">
        <v>710</v>
      </c>
      <c r="M124" s="96" t="s">
        <v>563</v>
      </c>
      <c r="N124" s="96" t="s">
        <v>566</v>
      </c>
      <c r="O124" s="96" t="s">
        <v>273</v>
      </c>
      <c r="P124" s="6">
        <v>240</v>
      </c>
      <c r="Q124" s="216">
        <v>0</v>
      </c>
      <c r="R124" s="216">
        <v>901.7</v>
      </c>
    </row>
    <row r="125" spans="1:18" ht="22.5" customHeight="1" hidden="1">
      <c r="A125" s="99"/>
      <c r="B125" s="98"/>
      <c r="C125" s="103"/>
      <c r="D125" s="101"/>
      <c r="E125" s="104"/>
      <c r="F125" s="104"/>
      <c r="G125" s="105"/>
      <c r="H125" s="5" t="s">
        <v>647</v>
      </c>
      <c r="I125" s="13">
        <v>27</v>
      </c>
      <c r="J125" s="7">
        <v>4</v>
      </c>
      <c r="K125" s="16">
        <v>9</v>
      </c>
      <c r="L125" s="95" t="s">
        <v>710</v>
      </c>
      <c r="M125" s="96" t="s">
        <v>563</v>
      </c>
      <c r="N125" s="96" t="s">
        <v>566</v>
      </c>
      <c r="O125" s="96" t="s">
        <v>273</v>
      </c>
      <c r="P125" s="6">
        <v>540</v>
      </c>
      <c r="Q125" s="216"/>
      <c r="R125" s="216"/>
    </row>
    <row r="126" spans="1:18" s="179" customFormat="1" ht="24.75" customHeight="1">
      <c r="A126" s="142"/>
      <c r="B126" s="143"/>
      <c r="C126" s="153"/>
      <c r="D126" s="150"/>
      <c r="E126" s="145"/>
      <c r="F126" s="145"/>
      <c r="G126" s="155">
        <v>850</v>
      </c>
      <c r="H126" s="149" t="s">
        <v>546</v>
      </c>
      <c r="I126" s="152">
        <v>27</v>
      </c>
      <c r="J126" s="156">
        <v>4</v>
      </c>
      <c r="K126" s="139">
        <v>12</v>
      </c>
      <c r="L126" s="140"/>
      <c r="M126" s="141"/>
      <c r="N126" s="141"/>
      <c r="O126" s="141"/>
      <c r="P126" s="146"/>
      <c r="Q126" s="217">
        <f>Q127+Q139+Q143+Q155</f>
        <v>7660</v>
      </c>
      <c r="R126" s="217">
        <f>R127+R139+R143+R155</f>
        <v>7580</v>
      </c>
    </row>
    <row r="127" spans="1:18" ht="40.5" customHeight="1">
      <c r="A127" s="99"/>
      <c r="B127" s="98"/>
      <c r="C127" s="97"/>
      <c r="D127" s="101"/>
      <c r="E127" s="115"/>
      <c r="F127" s="115"/>
      <c r="G127" s="89"/>
      <c r="H127" s="200" t="s">
        <v>383</v>
      </c>
      <c r="I127" s="6">
        <v>27</v>
      </c>
      <c r="J127" s="19">
        <v>4</v>
      </c>
      <c r="K127" s="16">
        <v>12</v>
      </c>
      <c r="L127" s="95" t="s">
        <v>711</v>
      </c>
      <c r="M127" s="96" t="s">
        <v>563</v>
      </c>
      <c r="N127" s="96" t="s">
        <v>583</v>
      </c>
      <c r="O127" s="96" t="s">
        <v>620</v>
      </c>
      <c r="P127" s="6"/>
      <c r="Q127" s="216">
        <f>Q128+Q131+Q136</f>
        <v>7300</v>
      </c>
      <c r="R127" s="216">
        <f>R128+R131+R136</f>
        <v>7250</v>
      </c>
    </row>
    <row r="128" spans="1:18" ht="36" customHeight="1">
      <c r="A128" s="99"/>
      <c r="B128" s="98"/>
      <c r="C128" s="97"/>
      <c r="D128" s="101"/>
      <c r="E128" s="115"/>
      <c r="F128" s="115"/>
      <c r="G128" s="89"/>
      <c r="H128" s="108" t="s">
        <v>348</v>
      </c>
      <c r="I128" s="6">
        <v>27</v>
      </c>
      <c r="J128" s="19">
        <v>4</v>
      </c>
      <c r="K128" s="16">
        <v>12</v>
      </c>
      <c r="L128" s="95" t="s">
        <v>711</v>
      </c>
      <c r="M128" s="96" t="s">
        <v>563</v>
      </c>
      <c r="N128" s="96" t="s">
        <v>564</v>
      </c>
      <c r="O128" s="96" t="s">
        <v>620</v>
      </c>
      <c r="P128" s="6"/>
      <c r="Q128" s="216">
        <f>Q129</f>
        <v>200</v>
      </c>
      <c r="R128" s="216">
        <f>R129</f>
        <v>150</v>
      </c>
    </row>
    <row r="129" spans="1:18" ht="21.75" customHeight="1">
      <c r="A129" s="99"/>
      <c r="B129" s="98"/>
      <c r="C129" s="97"/>
      <c r="D129" s="101"/>
      <c r="E129" s="115"/>
      <c r="F129" s="115"/>
      <c r="G129" s="89"/>
      <c r="H129" s="108" t="s">
        <v>262</v>
      </c>
      <c r="I129" s="6">
        <v>27</v>
      </c>
      <c r="J129" s="19">
        <v>4</v>
      </c>
      <c r="K129" s="16">
        <v>12</v>
      </c>
      <c r="L129" s="95" t="s">
        <v>711</v>
      </c>
      <c r="M129" s="96" t="s">
        <v>563</v>
      </c>
      <c r="N129" s="96" t="s">
        <v>564</v>
      </c>
      <c r="O129" s="96" t="s">
        <v>263</v>
      </c>
      <c r="P129" s="6"/>
      <c r="Q129" s="216">
        <f>Q130</f>
        <v>200</v>
      </c>
      <c r="R129" s="216">
        <f>R130</f>
        <v>150</v>
      </c>
    </row>
    <row r="130" spans="1:18" ht="24" customHeight="1">
      <c r="A130" s="99"/>
      <c r="B130" s="98"/>
      <c r="C130" s="97"/>
      <c r="D130" s="101"/>
      <c r="E130" s="115"/>
      <c r="F130" s="115"/>
      <c r="G130" s="89"/>
      <c r="H130" s="108" t="s">
        <v>722</v>
      </c>
      <c r="I130" s="6">
        <v>27</v>
      </c>
      <c r="J130" s="19">
        <v>4</v>
      </c>
      <c r="K130" s="16">
        <v>12</v>
      </c>
      <c r="L130" s="95" t="s">
        <v>711</v>
      </c>
      <c r="M130" s="96" t="s">
        <v>563</v>
      </c>
      <c r="N130" s="96" t="s">
        <v>564</v>
      </c>
      <c r="O130" s="96" t="s">
        <v>263</v>
      </c>
      <c r="P130" s="6">
        <v>610</v>
      </c>
      <c r="Q130" s="216">
        <v>200</v>
      </c>
      <c r="R130" s="216">
        <v>150</v>
      </c>
    </row>
    <row r="131" spans="1:18" ht="27.75" customHeight="1">
      <c r="A131" s="99"/>
      <c r="B131" s="98"/>
      <c r="C131" s="97"/>
      <c r="D131" s="101"/>
      <c r="E131" s="115"/>
      <c r="F131" s="115"/>
      <c r="G131" s="89"/>
      <c r="H131" s="5" t="s">
        <v>659</v>
      </c>
      <c r="I131" s="8">
        <v>27</v>
      </c>
      <c r="J131" s="19">
        <v>4</v>
      </c>
      <c r="K131" s="16">
        <v>12</v>
      </c>
      <c r="L131" s="95" t="s">
        <v>711</v>
      </c>
      <c r="M131" s="96" t="s">
        <v>563</v>
      </c>
      <c r="N131" s="96" t="s">
        <v>566</v>
      </c>
      <c r="O131" s="96" t="s">
        <v>620</v>
      </c>
      <c r="P131" s="6"/>
      <c r="Q131" s="216">
        <f>Q132+Q134</f>
        <v>6750</v>
      </c>
      <c r="R131" s="216">
        <f>R132+R134</f>
        <v>6800</v>
      </c>
    </row>
    <row r="132" spans="1:18" ht="27.75" customHeight="1">
      <c r="A132" s="99"/>
      <c r="B132" s="98"/>
      <c r="C132" s="97"/>
      <c r="D132" s="101"/>
      <c r="E132" s="115"/>
      <c r="F132" s="115"/>
      <c r="G132" s="89"/>
      <c r="H132" s="5" t="s">
        <v>262</v>
      </c>
      <c r="I132" s="8">
        <v>27</v>
      </c>
      <c r="J132" s="19">
        <v>4</v>
      </c>
      <c r="K132" s="16">
        <v>12</v>
      </c>
      <c r="L132" s="95" t="s">
        <v>711</v>
      </c>
      <c r="M132" s="96" t="s">
        <v>563</v>
      </c>
      <c r="N132" s="96" t="s">
        <v>566</v>
      </c>
      <c r="O132" s="96" t="s">
        <v>263</v>
      </c>
      <c r="P132" s="6"/>
      <c r="Q132" s="216">
        <f>Q133</f>
        <v>5881.6</v>
      </c>
      <c r="R132" s="216">
        <f>R133</f>
        <v>5689.3</v>
      </c>
    </row>
    <row r="133" spans="1:18" ht="27.75" customHeight="1">
      <c r="A133" s="99"/>
      <c r="B133" s="98"/>
      <c r="C133" s="97"/>
      <c r="D133" s="101"/>
      <c r="E133" s="115"/>
      <c r="F133" s="115"/>
      <c r="G133" s="89"/>
      <c r="H133" s="5" t="s">
        <v>722</v>
      </c>
      <c r="I133" s="8">
        <v>27</v>
      </c>
      <c r="J133" s="19">
        <v>4</v>
      </c>
      <c r="K133" s="16">
        <v>12</v>
      </c>
      <c r="L133" s="95" t="s">
        <v>711</v>
      </c>
      <c r="M133" s="96" t="s">
        <v>563</v>
      </c>
      <c r="N133" s="96" t="s">
        <v>566</v>
      </c>
      <c r="O133" s="96" t="s">
        <v>263</v>
      </c>
      <c r="P133" s="6">
        <v>610</v>
      </c>
      <c r="Q133" s="216">
        <v>5881.6</v>
      </c>
      <c r="R133" s="216">
        <v>5689.3</v>
      </c>
    </row>
    <row r="134" spans="1:18" ht="31.5" customHeight="1">
      <c r="A134" s="99"/>
      <c r="B134" s="98"/>
      <c r="C134" s="97"/>
      <c r="D134" s="101"/>
      <c r="E134" s="115"/>
      <c r="F134" s="115"/>
      <c r="G134" s="89"/>
      <c r="H134" s="5" t="s">
        <v>61</v>
      </c>
      <c r="I134" s="8">
        <v>27</v>
      </c>
      <c r="J134" s="19">
        <v>4</v>
      </c>
      <c r="K134" s="16">
        <v>12</v>
      </c>
      <c r="L134" s="95" t="s">
        <v>711</v>
      </c>
      <c r="M134" s="96" t="s">
        <v>563</v>
      </c>
      <c r="N134" s="96" t="s">
        <v>566</v>
      </c>
      <c r="O134" s="96" t="s">
        <v>60</v>
      </c>
      <c r="P134" s="6"/>
      <c r="Q134" s="216">
        <f>Q135</f>
        <v>868.4</v>
      </c>
      <c r="R134" s="216">
        <f>R135</f>
        <v>1110.7</v>
      </c>
    </row>
    <row r="135" spans="1:18" ht="27.75" customHeight="1">
      <c r="A135" s="99"/>
      <c r="B135" s="98"/>
      <c r="C135" s="97"/>
      <c r="D135" s="101"/>
      <c r="E135" s="115"/>
      <c r="F135" s="115"/>
      <c r="G135" s="89"/>
      <c r="H135" s="5" t="s">
        <v>722</v>
      </c>
      <c r="I135" s="8">
        <v>27</v>
      </c>
      <c r="J135" s="19">
        <v>4</v>
      </c>
      <c r="K135" s="16">
        <v>12</v>
      </c>
      <c r="L135" s="95" t="s">
        <v>711</v>
      </c>
      <c r="M135" s="96" t="s">
        <v>563</v>
      </c>
      <c r="N135" s="96" t="s">
        <v>566</v>
      </c>
      <c r="O135" s="96" t="s">
        <v>60</v>
      </c>
      <c r="P135" s="6">
        <v>610</v>
      </c>
      <c r="Q135" s="216">
        <v>868.4</v>
      </c>
      <c r="R135" s="216">
        <v>1110.7</v>
      </c>
    </row>
    <row r="136" spans="1:18" ht="39" customHeight="1">
      <c r="A136" s="99"/>
      <c r="B136" s="98"/>
      <c r="C136" s="97"/>
      <c r="D136" s="101"/>
      <c r="E136" s="115"/>
      <c r="F136" s="115"/>
      <c r="G136" s="89"/>
      <c r="H136" s="5" t="s">
        <v>286</v>
      </c>
      <c r="I136" s="8">
        <v>27</v>
      </c>
      <c r="J136" s="19">
        <v>4</v>
      </c>
      <c r="K136" s="16">
        <v>12</v>
      </c>
      <c r="L136" s="95" t="s">
        <v>711</v>
      </c>
      <c r="M136" s="96" t="s">
        <v>563</v>
      </c>
      <c r="N136" s="96" t="s">
        <v>568</v>
      </c>
      <c r="O136" s="96" t="s">
        <v>620</v>
      </c>
      <c r="P136" s="6"/>
      <c r="Q136" s="216">
        <f>Q137</f>
        <v>350</v>
      </c>
      <c r="R136" s="216">
        <f>R137</f>
        <v>300</v>
      </c>
    </row>
    <row r="137" spans="1:18" ht="29.25" customHeight="1">
      <c r="A137" s="99"/>
      <c r="B137" s="98"/>
      <c r="C137" s="97"/>
      <c r="D137" s="101"/>
      <c r="E137" s="115"/>
      <c r="F137" s="115"/>
      <c r="G137" s="89"/>
      <c r="H137" s="5" t="s">
        <v>262</v>
      </c>
      <c r="I137" s="8">
        <v>27</v>
      </c>
      <c r="J137" s="19">
        <v>4</v>
      </c>
      <c r="K137" s="16">
        <v>12</v>
      </c>
      <c r="L137" s="95" t="s">
        <v>711</v>
      </c>
      <c r="M137" s="96" t="s">
        <v>563</v>
      </c>
      <c r="N137" s="96" t="s">
        <v>568</v>
      </c>
      <c r="O137" s="96" t="s">
        <v>263</v>
      </c>
      <c r="P137" s="6"/>
      <c r="Q137" s="216">
        <f>Q138</f>
        <v>350</v>
      </c>
      <c r="R137" s="216">
        <f>R138</f>
        <v>300</v>
      </c>
    </row>
    <row r="138" spans="1:18" ht="20.25" customHeight="1">
      <c r="A138" s="99"/>
      <c r="B138" s="98"/>
      <c r="C138" s="97"/>
      <c r="D138" s="101"/>
      <c r="E138" s="115"/>
      <c r="F138" s="115"/>
      <c r="G138" s="89"/>
      <c r="H138" s="5" t="s">
        <v>722</v>
      </c>
      <c r="I138" s="8">
        <v>27</v>
      </c>
      <c r="J138" s="19">
        <v>4</v>
      </c>
      <c r="K138" s="16">
        <v>12</v>
      </c>
      <c r="L138" s="95" t="s">
        <v>711</v>
      </c>
      <c r="M138" s="96" t="s">
        <v>563</v>
      </c>
      <c r="N138" s="96" t="s">
        <v>568</v>
      </c>
      <c r="O138" s="96" t="s">
        <v>263</v>
      </c>
      <c r="P138" s="6">
        <v>610</v>
      </c>
      <c r="Q138" s="216">
        <v>350</v>
      </c>
      <c r="R138" s="216">
        <v>300</v>
      </c>
    </row>
    <row r="139" spans="1:18" ht="39" customHeight="1">
      <c r="A139" s="99"/>
      <c r="B139" s="98"/>
      <c r="C139" s="97"/>
      <c r="D139" s="101"/>
      <c r="E139" s="115"/>
      <c r="F139" s="115"/>
      <c r="G139" s="89"/>
      <c r="H139" s="117" t="s">
        <v>289</v>
      </c>
      <c r="I139" s="6">
        <v>27</v>
      </c>
      <c r="J139" s="19">
        <v>4</v>
      </c>
      <c r="K139" s="16">
        <v>12</v>
      </c>
      <c r="L139" s="95" t="s">
        <v>558</v>
      </c>
      <c r="M139" s="96" t="s">
        <v>563</v>
      </c>
      <c r="N139" s="96" t="s">
        <v>583</v>
      </c>
      <c r="O139" s="96" t="s">
        <v>620</v>
      </c>
      <c r="P139" s="6"/>
      <c r="Q139" s="216">
        <f aca="true" t="shared" si="3" ref="Q139:R141">Q140</f>
        <v>30</v>
      </c>
      <c r="R139" s="216">
        <f t="shared" si="3"/>
        <v>0</v>
      </c>
    </row>
    <row r="140" spans="1:18" ht="41.25" customHeight="1">
      <c r="A140" s="99"/>
      <c r="B140" s="98"/>
      <c r="C140" s="97"/>
      <c r="D140" s="101"/>
      <c r="E140" s="115"/>
      <c r="F140" s="115"/>
      <c r="G140" s="89"/>
      <c r="H140" s="5" t="s">
        <v>290</v>
      </c>
      <c r="I140" s="6">
        <v>27</v>
      </c>
      <c r="J140" s="19">
        <v>4</v>
      </c>
      <c r="K140" s="16">
        <v>12</v>
      </c>
      <c r="L140" s="95" t="s">
        <v>558</v>
      </c>
      <c r="M140" s="96" t="s">
        <v>563</v>
      </c>
      <c r="N140" s="96" t="s">
        <v>564</v>
      </c>
      <c r="O140" s="96" t="s">
        <v>620</v>
      </c>
      <c r="P140" s="6"/>
      <c r="Q140" s="216">
        <f t="shared" si="3"/>
        <v>30</v>
      </c>
      <c r="R140" s="216">
        <f t="shared" si="3"/>
        <v>0</v>
      </c>
    </row>
    <row r="141" spans="1:18" ht="30.75" customHeight="1">
      <c r="A141" s="99"/>
      <c r="B141" s="98"/>
      <c r="C141" s="97"/>
      <c r="D141" s="101"/>
      <c r="E141" s="115"/>
      <c r="F141" s="115"/>
      <c r="G141" s="89"/>
      <c r="H141" s="5" t="s">
        <v>292</v>
      </c>
      <c r="I141" s="6">
        <v>27</v>
      </c>
      <c r="J141" s="19">
        <v>4</v>
      </c>
      <c r="K141" s="16">
        <v>12</v>
      </c>
      <c r="L141" s="95" t="s">
        <v>558</v>
      </c>
      <c r="M141" s="96" t="s">
        <v>563</v>
      </c>
      <c r="N141" s="96" t="s">
        <v>564</v>
      </c>
      <c r="O141" s="96" t="s">
        <v>291</v>
      </c>
      <c r="P141" s="6"/>
      <c r="Q141" s="216">
        <f t="shared" si="3"/>
        <v>30</v>
      </c>
      <c r="R141" s="216">
        <f t="shared" si="3"/>
        <v>0</v>
      </c>
    </row>
    <row r="142" spans="1:18" ht="29.25" customHeight="1">
      <c r="A142" s="99"/>
      <c r="B142" s="98"/>
      <c r="C142" s="97"/>
      <c r="D142" s="101"/>
      <c r="E142" s="115"/>
      <c r="F142" s="115"/>
      <c r="G142" s="89"/>
      <c r="H142" s="5" t="s">
        <v>720</v>
      </c>
      <c r="I142" s="6">
        <v>27</v>
      </c>
      <c r="J142" s="19">
        <v>4</v>
      </c>
      <c r="K142" s="16">
        <v>12</v>
      </c>
      <c r="L142" s="95" t="s">
        <v>558</v>
      </c>
      <c r="M142" s="96" t="s">
        <v>563</v>
      </c>
      <c r="N142" s="96" t="s">
        <v>564</v>
      </c>
      <c r="O142" s="96" t="s">
        <v>291</v>
      </c>
      <c r="P142" s="6">
        <v>240</v>
      </c>
      <c r="Q142" s="216">
        <v>30</v>
      </c>
      <c r="R142" s="216">
        <v>0</v>
      </c>
    </row>
    <row r="143" spans="1:18" ht="34.5" customHeight="1" hidden="1">
      <c r="A143" s="99"/>
      <c r="B143" s="98"/>
      <c r="C143" s="103"/>
      <c r="D143" s="101"/>
      <c r="E143" s="367">
        <v>4210200</v>
      </c>
      <c r="F143" s="367"/>
      <c r="G143" s="89">
        <v>521</v>
      </c>
      <c r="H143" s="5" t="s">
        <v>32</v>
      </c>
      <c r="I143" s="8">
        <v>27</v>
      </c>
      <c r="J143" s="7">
        <v>4</v>
      </c>
      <c r="K143" s="16">
        <v>12</v>
      </c>
      <c r="L143" s="95" t="s">
        <v>45</v>
      </c>
      <c r="M143" s="96" t="s">
        <v>563</v>
      </c>
      <c r="N143" s="96" t="s">
        <v>583</v>
      </c>
      <c r="O143" s="96" t="s">
        <v>620</v>
      </c>
      <c r="P143" s="10"/>
      <c r="Q143" s="214"/>
      <c r="R143" s="214"/>
    </row>
    <row r="144" spans="1:18" ht="34.5" customHeight="1" hidden="1">
      <c r="A144" s="99"/>
      <c r="B144" s="98"/>
      <c r="C144" s="103"/>
      <c r="D144" s="109"/>
      <c r="E144" s="104"/>
      <c r="F144" s="104"/>
      <c r="G144" s="105">
        <v>521</v>
      </c>
      <c r="H144" s="18" t="s">
        <v>30</v>
      </c>
      <c r="I144" s="8">
        <v>27</v>
      </c>
      <c r="J144" s="7">
        <v>4</v>
      </c>
      <c r="K144" s="16">
        <v>12</v>
      </c>
      <c r="L144" s="95" t="s">
        <v>45</v>
      </c>
      <c r="M144" s="96" t="s">
        <v>563</v>
      </c>
      <c r="N144" s="96" t="s">
        <v>564</v>
      </c>
      <c r="O144" s="96" t="s">
        <v>620</v>
      </c>
      <c r="P144" s="6"/>
      <c r="Q144" s="216"/>
      <c r="R144" s="216"/>
    </row>
    <row r="145" spans="1:18" ht="23.25" customHeight="1" hidden="1">
      <c r="A145" s="99"/>
      <c r="B145" s="98"/>
      <c r="C145" s="97"/>
      <c r="D145" s="109"/>
      <c r="E145" s="104"/>
      <c r="F145" s="104"/>
      <c r="G145" s="89"/>
      <c r="H145" s="18" t="s">
        <v>259</v>
      </c>
      <c r="I145" s="8">
        <v>27</v>
      </c>
      <c r="J145" s="21">
        <v>4</v>
      </c>
      <c r="K145" s="16">
        <v>12</v>
      </c>
      <c r="L145" s="95" t="s">
        <v>45</v>
      </c>
      <c r="M145" s="96" t="s">
        <v>563</v>
      </c>
      <c r="N145" s="96" t="s">
        <v>564</v>
      </c>
      <c r="O145" s="96" t="s">
        <v>258</v>
      </c>
      <c r="P145" s="6"/>
      <c r="Q145" s="216"/>
      <c r="R145" s="216"/>
    </row>
    <row r="146" spans="1:18" ht="30" customHeight="1" hidden="1">
      <c r="A146" s="99"/>
      <c r="B146" s="98"/>
      <c r="C146" s="97"/>
      <c r="D146" s="109"/>
      <c r="E146" s="104"/>
      <c r="F146" s="104"/>
      <c r="G146" s="89"/>
      <c r="H146" s="18" t="s">
        <v>720</v>
      </c>
      <c r="I146" s="8">
        <v>27</v>
      </c>
      <c r="J146" s="21">
        <v>4</v>
      </c>
      <c r="K146" s="16">
        <v>12</v>
      </c>
      <c r="L146" s="95" t="s">
        <v>45</v>
      </c>
      <c r="M146" s="96" t="s">
        <v>563</v>
      </c>
      <c r="N146" s="96" t="s">
        <v>564</v>
      </c>
      <c r="O146" s="96" t="s">
        <v>258</v>
      </c>
      <c r="P146" s="6">
        <v>240</v>
      </c>
      <c r="Q146" s="216"/>
      <c r="R146" s="216"/>
    </row>
    <row r="147" spans="1:18" ht="38.25" customHeight="1" hidden="1">
      <c r="A147" s="99"/>
      <c r="B147" s="98"/>
      <c r="C147" s="97"/>
      <c r="D147" s="101"/>
      <c r="E147" s="115"/>
      <c r="F147" s="115"/>
      <c r="G147" s="89"/>
      <c r="H147" s="5" t="s">
        <v>9</v>
      </c>
      <c r="I147" s="8">
        <v>27</v>
      </c>
      <c r="J147" s="19">
        <v>4</v>
      </c>
      <c r="K147" s="16">
        <v>12</v>
      </c>
      <c r="L147" s="95" t="s">
        <v>45</v>
      </c>
      <c r="M147" s="96" t="s">
        <v>563</v>
      </c>
      <c r="N147" s="96" t="s">
        <v>564</v>
      </c>
      <c r="O147" s="96" t="s">
        <v>258</v>
      </c>
      <c r="P147" s="6">
        <v>810</v>
      </c>
      <c r="Q147" s="216"/>
      <c r="R147" s="216"/>
    </row>
    <row r="148" spans="1:18" ht="32.25" customHeight="1" hidden="1">
      <c r="A148" s="99"/>
      <c r="B148" s="98"/>
      <c r="C148" s="97"/>
      <c r="D148" s="101"/>
      <c r="E148" s="115"/>
      <c r="F148" s="115"/>
      <c r="G148" s="89"/>
      <c r="H148" s="5" t="s">
        <v>808</v>
      </c>
      <c r="I148" s="8">
        <v>27</v>
      </c>
      <c r="J148" s="19">
        <v>4</v>
      </c>
      <c r="K148" s="16">
        <v>12</v>
      </c>
      <c r="L148" s="95" t="s">
        <v>45</v>
      </c>
      <c r="M148" s="96" t="s">
        <v>563</v>
      </c>
      <c r="N148" s="96" t="s">
        <v>564</v>
      </c>
      <c r="O148" s="96" t="s">
        <v>807</v>
      </c>
      <c r="P148" s="6"/>
      <c r="Q148" s="216"/>
      <c r="R148" s="216"/>
    </row>
    <row r="149" spans="1:18" ht="32.25" customHeight="1" hidden="1">
      <c r="A149" s="99"/>
      <c r="B149" s="98"/>
      <c r="C149" s="97"/>
      <c r="D149" s="101"/>
      <c r="E149" s="115"/>
      <c r="F149" s="115"/>
      <c r="G149" s="89"/>
      <c r="H149" s="5" t="s">
        <v>9</v>
      </c>
      <c r="I149" s="8">
        <v>27</v>
      </c>
      <c r="J149" s="19">
        <v>4</v>
      </c>
      <c r="K149" s="16">
        <v>12</v>
      </c>
      <c r="L149" s="95" t="s">
        <v>45</v>
      </c>
      <c r="M149" s="96" t="s">
        <v>563</v>
      </c>
      <c r="N149" s="96" t="s">
        <v>564</v>
      </c>
      <c r="O149" s="96" t="s">
        <v>807</v>
      </c>
      <c r="P149" s="6">
        <v>810</v>
      </c>
      <c r="Q149" s="216"/>
      <c r="R149" s="216"/>
    </row>
    <row r="150" spans="1:18" ht="32.25" customHeight="1" hidden="1">
      <c r="A150" s="99"/>
      <c r="B150" s="98"/>
      <c r="C150" s="97"/>
      <c r="D150" s="101"/>
      <c r="E150" s="115"/>
      <c r="F150" s="115"/>
      <c r="G150" s="89"/>
      <c r="H150" s="5" t="s">
        <v>8</v>
      </c>
      <c r="I150" s="8">
        <v>27</v>
      </c>
      <c r="J150" s="19">
        <v>4</v>
      </c>
      <c r="K150" s="16">
        <v>12</v>
      </c>
      <c r="L150" s="95" t="s">
        <v>45</v>
      </c>
      <c r="M150" s="96" t="s">
        <v>563</v>
      </c>
      <c r="N150" s="96" t="s">
        <v>564</v>
      </c>
      <c r="O150" s="96" t="s">
        <v>7</v>
      </c>
      <c r="P150" s="6"/>
      <c r="Q150" s="216"/>
      <c r="R150" s="216"/>
    </row>
    <row r="151" spans="1:18" ht="32.25" customHeight="1" hidden="1">
      <c r="A151" s="99"/>
      <c r="B151" s="98"/>
      <c r="C151" s="97"/>
      <c r="D151" s="101"/>
      <c r="E151" s="115"/>
      <c r="F151" s="115"/>
      <c r="G151" s="89"/>
      <c r="H151" s="5" t="s">
        <v>9</v>
      </c>
      <c r="I151" s="8">
        <v>27</v>
      </c>
      <c r="J151" s="19">
        <v>4</v>
      </c>
      <c r="K151" s="16">
        <v>12</v>
      </c>
      <c r="L151" s="95" t="s">
        <v>45</v>
      </c>
      <c r="M151" s="96" t="s">
        <v>563</v>
      </c>
      <c r="N151" s="96" t="s">
        <v>564</v>
      </c>
      <c r="O151" s="96" t="s">
        <v>7</v>
      </c>
      <c r="P151" s="6">
        <v>810</v>
      </c>
      <c r="Q151" s="216"/>
      <c r="R151" s="216"/>
    </row>
    <row r="152" spans="1:18" ht="24.75" customHeight="1" hidden="1">
      <c r="A152" s="99"/>
      <c r="B152" s="98"/>
      <c r="C152" s="97"/>
      <c r="D152" s="101"/>
      <c r="E152" s="115"/>
      <c r="F152" s="115"/>
      <c r="G152" s="89"/>
      <c r="H152" s="5" t="s">
        <v>31</v>
      </c>
      <c r="I152" s="8">
        <v>27</v>
      </c>
      <c r="J152" s="19">
        <v>4</v>
      </c>
      <c r="K152" s="16">
        <v>12</v>
      </c>
      <c r="L152" s="95" t="s">
        <v>45</v>
      </c>
      <c r="M152" s="96" t="s">
        <v>563</v>
      </c>
      <c r="N152" s="96" t="s">
        <v>592</v>
      </c>
      <c r="O152" s="96" t="s">
        <v>620</v>
      </c>
      <c r="P152" s="6"/>
      <c r="Q152" s="216"/>
      <c r="R152" s="216"/>
    </row>
    <row r="153" spans="1:18" ht="30" customHeight="1" hidden="1">
      <c r="A153" s="99"/>
      <c r="B153" s="98"/>
      <c r="C153" s="97"/>
      <c r="D153" s="101"/>
      <c r="E153" s="115"/>
      <c r="F153" s="115"/>
      <c r="G153" s="89"/>
      <c r="H153" s="5" t="s">
        <v>261</v>
      </c>
      <c r="I153" s="8">
        <v>27</v>
      </c>
      <c r="J153" s="19">
        <v>4</v>
      </c>
      <c r="K153" s="16">
        <v>12</v>
      </c>
      <c r="L153" s="95" t="s">
        <v>45</v>
      </c>
      <c r="M153" s="96" t="s">
        <v>563</v>
      </c>
      <c r="N153" s="96" t="s">
        <v>592</v>
      </c>
      <c r="O153" s="96" t="s">
        <v>260</v>
      </c>
      <c r="P153" s="6"/>
      <c r="Q153" s="216"/>
      <c r="R153" s="216"/>
    </row>
    <row r="154" spans="1:18" ht="33" customHeight="1" hidden="1">
      <c r="A154" s="99"/>
      <c r="B154" s="98"/>
      <c r="C154" s="97"/>
      <c r="D154" s="101"/>
      <c r="E154" s="115"/>
      <c r="F154" s="115"/>
      <c r="G154" s="89"/>
      <c r="H154" s="5" t="s">
        <v>720</v>
      </c>
      <c r="I154" s="8">
        <v>27</v>
      </c>
      <c r="J154" s="19">
        <v>4</v>
      </c>
      <c r="K154" s="16">
        <v>12</v>
      </c>
      <c r="L154" s="95" t="s">
        <v>45</v>
      </c>
      <c r="M154" s="96" t="s">
        <v>563</v>
      </c>
      <c r="N154" s="96" t="s">
        <v>592</v>
      </c>
      <c r="O154" s="96" t="s">
        <v>260</v>
      </c>
      <c r="P154" s="6">
        <v>240</v>
      </c>
      <c r="Q154" s="216"/>
      <c r="R154" s="216"/>
    </row>
    <row r="155" spans="1:18" ht="33" customHeight="1">
      <c r="A155" s="99"/>
      <c r="B155" s="98"/>
      <c r="C155" s="97"/>
      <c r="D155" s="101"/>
      <c r="E155" s="115"/>
      <c r="F155" s="115"/>
      <c r="G155" s="89"/>
      <c r="H155" s="11" t="s">
        <v>299</v>
      </c>
      <c r="I155" s="6">
        <v>27</v>
      </c>
      <c r="J155" s="19">
        <v>4</v>
      </c>
      <c r="K155" s="16">
        <v>12</v>
      </c>
      <c r="L155" s="95" t="s">
        <v>580</v>
      </c>
      <c r="M155" s="96" t="s">
        <v>563</v>
      </c>
      <c r="N155" s="96" t="s">
        <v>583</v>
      </c>
      <c r="O155" s="96" t="s">
        <v>620</v>
      </c>
      <c r="P155" s="6"/>
      <c r="Q155" s="216">
        <f>Q156</f>
        <v>330</v>
      </c>
      <c r="R155" s="216">
        <f>R156</f>
        <v>330</v>
      </c>
    </row>
    <row r="156" spans="1:18" ht="20.25" customHeight="1">
      <c r="A156" s="99"/>
      <c r="B156" s="98"/>
      <c r="C156" s="97"/>
      <c r="D156" s="101"/>
      <c r="E156" s="115"/>
      <c r="F156" s="115"/>
      <c r="G156" s="89"/>
      <c r="H156" s="5" t="s">
        <v>8</v>
      </c>
      <c r="I156" s="8">
        <v>27</v>
      </c>
      <c r="J156" s="19">
        <v>4</v>
      </c>
      <c r="K156" s="16">
        <v>12</v>
      </c>
      <c r="L156" s="95" t="s">
        <v>580</v>
      </c>
      <c r="M156" s="96" t="s">
        <v>563</v>
      </c>
      <c r="N156" s="96" t="s">
        <v>583</v>
      </c>
      <c r="O156" s="96" t="s">
        <v>7</v>
      </c>
      <c r="P156" s="6"/>
      <c r="Q156" s="216">
        <f>Q157</f>
        <v>330</v>
      </c>
      <c r="R156" s="216">
        <f>R157</f>
        <v>330</v>
      </c>
    </row>
    <row r="157" spans="1:18" ht="37.5" customHeight="1">
      <c r="A157" s="99"/>
      <c r="B157" s="98"/>
      <c r="C157" s="97"/>
      <c r="D157" s="101"/>
      <c r="E157" s="115"/>
      <c r="F157" s="115"/>
      <c r="G157" s="89"/>
      <c r="H157" s="5" t="s">
        <v>9</v>
      </c>
      <c r="I157" s="8">
        <v>27</v>
      </c>
      <c r="J157" s="19">
        <v>4</v>
      </c>
      <c r="K157" s="16">
        <v>12</v>
      </c>
      <c r="L157" s="95" t="s">
        <v>580</v>
      </c>
      <c r="M157" s="96" t="s">
        <v>563</v>
      </c>
      <c r="N157" s="96" t="s">
        <v>583</v>
      </c>
      <c r="O157" s="96" t="s">
        <v>7</v>
      </c>
      <c r="P157" s="6">
        <v>810</v>
      </c>
      <c r="Q157" s="216">
        <v>330</v>
      </c>
      <c r="R157" s="216">
        <v>330</v>
      </c>
    </row>
    <row r="158" spans="1:18" s="179" customFormat="1" ht="26.25" customHeight="1">
      <c r="A158" s="142"/>
      <c r="B158" s="143"/>
      <c r="C158" s="142"/>
      <c r="D158" s="150"/>
      <c r="E158" s="151"/>
      <c r="F158" s="151"/>
      <c r="G158" s="136"/>
      <c r="H158" s="312" t="s">
        <v>617</v>
      </c>
      <c r="I158" s="152">
        <v>27</v>
      </c>
      <c r="J158" s="147">
        <v>5</v>
      </c>
      <c r="K158" s="139"/>
      <c r="L158" s="140"/>
      <c r="M158" s="141"/>
      <c r="N158" s="141"/>
      <c r="O158" s="141"/>
      <c r="P158" s="146"/>
      <c r="Q158" s="217">
        <f>Q159+Q168+Q185+Q190+Q178</f>
        <v>47901.2</v>
      </c>
      <c r="R158" s="217">
        <f>R159+R168+R185+R190+R178</f>
        <v>4425.2</v>
      </c>
    </row>
    <row r="159" spans="1:18" s="179" customFormat="1" ht="29.25" customHeight="1">
      <c r="A159" s="142"/>
      <c r="B159" s="143"/>
      <c r="C159" s="142"/>
      <c r="D159" s="150"/>
      <c r="E159" s="151"/>
      <c r="F159" s="151"/>
      <c r="G159" s="136"/>
      <c r="H159" s="312" t="s">
        <v>618</v>
      </c>
      <c r="I159" s="152">
        <v>27</v>
      </c>
      <c r="J159" s="147">
        <v>5</v>
      </c>
      <c r="K159" s="139">
        <v>1</v>
      </c>
      <c r="L159" s="140"/>
      <c r="M159" s="141"/>
      <c r="N159" s="141"/>
      <c r="O159" s="141"/>
      <c r="P159" s="146"/>
      <c r="Q159" s="217">
        <f>Q160</f>
        <v>3941.9</v>
      </c>
      <c r="R159" s="217">
        <f>R160</f>
        <v>3299.5</v>
      </c>
    </row>
    <row r="160" spans="1:18" ht="39.75" customHeight="1">
      <c r="A160" s="97"/>
      <c r="B160" s="98"/>
      <c r="C160" s="97"/>
      <c r="D160" s="101"/>
      <c r="E160" s="115"/>
      <c r="F160" s="115"/>
      <c r="G160" s="89"/>
      <c r="H160" s="18" t="s">
        <v>816</v>
      </c>
      <c r="I160" s="8">
        <v>27</v>
      </c>
      <c r="J160" s="19">
        <v>5</v>
      </c>
      <c r="K160" s="16">
        <v>1</v>
      </c>
      <c r="L160" s="95" t="s">
        <v>282</v>
      </c>
      <c r="M160" s="96" t="s">
        <v>563</v>
      </c>
      <c r="N160" s="96" t="s">
        <v>583</v>
      </c>
      <c r="O160" s="96" t="s">
        <v>620</v>
      </c>
      <c r="P160" s="6"/>
      <c r="Q160" s="216">
        <f>Q161</f>
        <v>3941.9</v>
      </c>
      <c r="R160" s="216">
        <f>R161</f>
        <v>3299.5</v>
      </c>
    </row>
    <row r="161" spans="1:18" ht="34.5" customHeight="1">
      <c r="A161" s="97"/>
      <c r="B161" s="98"/>
      <c r="C161" s="97"/>
      <c r="D161" s="101"/>
      <c r="E161" s="115"/>
      <c r="F161" s="115"/>
      <c r="G161" s="89"/>
      <c r="H161" s="18" t="s">
        <v>119</v>
      </c>
      <c r="I161" s="8">
        <v>27</v>
      </c>
      <c r="J161" s="19">
        <v>5</v>
      </c>
      <c r="K161" s="16">
        <v>1</v>
      </c>
      <c r="L161" s="95" t="s">
        <v>282</v>
      </c>
      <c r="M161" s="96" t="s">
        <v>563</v>
      </c>
      <c r="N161" s="96" t="s">
        <v>817</v>
      </c>
      <c r="O161" s="96" t="s">
        <v>620</v>
      </c>
      <c r="P161" s="6"/>
      <c r="Q161" s="216">
        <f>Q162+Q164+Q166</f>
        <v>3941.9</v>
      </c>
      <c r="R161" s="216">
        <f>R162+R164+R166</f>
        <v>3299.5</v>
      </c>
    </row>
    <row r="162" spans="1:18" ht="38.25" customHeight="1" hidden="1">
      <c r="A162" s="99"/>
      <c r="B162" s="98"/>
      <c r="C162" s="97"/>
      <c r="D162" s="101"/>
      <c r="E162" s="115"/>
      <c r="F162" s="115"/>
      <c r="G162" s="89"/>
      <c r="H162" s="18" t="s">
        <v>810</v>
      </c>
      <c r="I162" s="8">
        <v>27</v>
      </c>
      <c r="J162" s="19">
        <v>5</v>
      </c>
      <c r="K162" s="16">
        <v>1</v>
      </c>
      <c r="L162" s="95" t="s">
        <v>282</v>
      </c>
      <c r="M162" s="96" t="s">
        <v>563</v>
      </c>
      <c r="N162" s="96" t="s">
        <v>817</v>
      </c>
      <c r="O162" s="96" t="s">
        <v>820</v>
      </c>
      <c r="P162" s="6"/>
      <c r="Q162" s="216"/>
      <c r="R162" s="216"/>
    </row>
    <row r="163" spans="1:18" ht="23.25" customHeight="1" hidden="1">
      <c r="A163" s="99"/>
      <c r="B163" s="98"/>
      <c r="C163" s="97"/>
      <c r="D163" s="101"/>
      <c r="E163" s="115"/>
      <c r="F163" s="115"/>
      <c r="G163" s="89"/>
      <c r="H163" s="18" t="s">
        <v>525</v>
      </c>
      <c r="I163" s="8">
        <v>27</v>
      </c>
      <c r="J163" s="19">
        <v>5</v>
      </c>
      <c r="K163" s="16">
        <v>1</v>
      </c>
      <c r="L163" s="95" t="s">
        <v>282</v>
      </c>
      <c r="M163" s="96" t="s">
        <v>563</v>
      </c>
      <c r="N163" s="96" t="s">
        <v>817</v>
      </c>
      <c r="O163" s="96" t="s">
        <v>820</v>
      </c>
      <c r="P163" s="6">
        <v>410</v>
      </c>
      <c r="Q163" s="216"/>
      <c r="R163" s="216"/>
    </row>
    <row r="164" spans="1:18" ht="39.75" customHeight="1">
      <c r="A164" s="99"/>
      <c r="B164" s="98"/>
      <c r="C164" s="97"/>
      <c r="D164" s="101"/>
      <c r="E164" s="115"/>
      <c r="F164" s="115"/>
      <c r="G164" s="89"/>
      <c r="H164" s="18" t="s">
        <v>811</v>
      </c>
      <c r="I164" s="8">
        <v>27</v>
      </c>
      <c r="J164" s="19">
        <v>5</v>
      </c>
      <c r="K164" s="16">
        <v>1</v>
      </c>
      <c r="L164" s="95" t="s">
        <v>282</v>
      </c>
      <c r="M164" s="96" t="s">
        <v>563</v>
      </c>
      <c r="N164" s="96" t="s">
        <v>817</v>
      </c>
      <c r="O164" s="96" t="s">
        <v>821</v>
      </c>
      <c r="P164" s="6"/>
      <c r="Q164" s="216">
        <f>Q165</f>
        <v>2941.9</v>
      </c>
      <c r="R164" s="216">
        <f>R165</f>
        <v>2299.5</v>
      </c>
    </row>
    <row r="165" spans="1:18" ht="24" customHeight="1">
      <c r="A165" s="99"/>
      <c r="B165" s="98"/>
      <c r="C165" s="97"/>
      <c r="D165" s="101"/>
      <c r="E165" s="115"/>
      <c r="F165" s="115"/>
      <c r="G165" s="89"/>
      <c r="H165" s="18" t="s">
        <v>525</v>
      </c>
      <c r="I165" s="8">
        <v>27</v>
      </c>
      <c r="J165" s="19">
        <v>5</v>
      </c>
      <c r="K165" s="16">
        <v>1</v>
      </c>
      <c r="L165" s="95" t="s">
        <v>282</v>
      </c>
      <c r="M165" s="96" t="s">
        <v>563</v>
      </c>
      <c r="N165" s="96" t="s">
        <v>817</v>
      </c>
      <c r="O165" s="96" t="s">
        <v>821</v>
      </c>
      <c r="P165" s="6">
        <v>410</v>
      </c>
      <c r="Q165" s="216">
        <v>2941.9</v>
      </c>
      <c r="R165" s="216">
        <v>2299.5</v>
      </c>
    </row>
    <row r="166" spans="1:18" ht="42" customHeight="1">
      <c r="A166" s="99"/>
      <c r="B166" s="98"/>
      <c r="C166" s="97"/>
      <c r="D166" s="101"/>
      <c r="E166" s="115"/>
      <c r="F166" s="115"/>
      <c r="G166" s="89"/>
      <c r="H166" s="18" t="s">
        <v>825</v>
      </c>
      <c r="I166" s="8">
        <v>27</v>
      </c>
      <c r="J166" s="19">
        <v>5</v>
      </c>
      <c r="K166" s="16">
        <v>1</v>
      </c>
      <c r="L166" s="95" t="s">
        <v>282</v>
      </c>
      <c r="M166" s="96" t="s">
        <v>563</v>
      </c>
      <c r="N166" s="96" t="s">
        <v>817</v>
      </c>
      <c r="O166" s="96" t="s">
        <v>824</v>
      </c>
      <c r="P166" s="6"/>
      <c r="Q166" s="216">
        <f>Q167</f>
        <v>1000</v>
      </c>
      <c r="R166" s="216">
        <f>R167</f>
        <v>1000</v>
      </c>
    </row>
    <row r="167" spans="1:18" ht="24" customHeight="1">
      <c r="A167" s="99"/>
      <c r="B167" s="98"/>
      <c r="C167" s="97"/>
      <c r="D167" s="101"/>
      <c r="E167" s="115"/>
      <c r="F167" s="115"/>
      <c r="G167" s="89"/>
      <c r="H167" s="18" t="s">
        <v>720</v>
      </c>
      <c r="I167" s="8">
        <v>27</v>
      </c>
      <c r="J167" s="19">
        <v>5</v>
      </c>
      <c r="K167" s="16">
        <v>1</v>
      </c>
      <c r="L167" s="95" t="s">
        <v>282</v>
      </c>
      <c r="M167" s="96" t="s">
        <v>563</v>
      </c>
      <c r="N167" s="96" t="s">
        <v>817</v>
      </c>
      <c r="O167" s="96" t="s">
        <v>824</v>
      </c>
      <c r="P167" s="6">
        <v>240</v>
      </c>
      <c r="Q167" s="216">
        <v>1000</v>
      </c>
      <c r="R167" s="216">
        <v>1000</v>
      </c>
    </row>
    <row r="168" spans="1:18" s="179" customFormat="1" ht="21" customHeight="1" hidden="1">
      <c r="A168" s="142"/>
      <c r="B168" s="143"/>
      <c r="C168" s="142"/>
      <c r="D168" s="150"/>
      <c r="E168" s="151"/>
      <c r="F168" s="151"/>
      <c r="G168" s="136"/>
      <c r="H168" s="312" t="s">
        <v>739</v>
      </c>
      <c r="I168" s="146">
        <v>27</v>
      </c>
      <c r="J168" s="147">
        <v>5</v>
      </c>
      <c r="K168" s="139">
        <v>2</v>
      </c>
      <c r="L168" s="140"/>
      <c r="M168" s="141"/>
      <c r="N168" s="141"/>
      <c r="O168" s="141"/>
      <c r="P168" s="146"/>
      <c r="Q168" s="217"/>
      <c r="R168" s="217"/>
    </row>
    <row r="169" spans="1:18" ht="39.75" customHeight="1" hidden="1">
      <c r="A169" s="99"/>
      <c r="B169" s="98"/>
      <c r="C169" s="97"/>
      <c r="D169" s="101"/>
      <c r="E169" s="115"/>
      <c r="F169" s="115"/>
      <c r="G169" s="89"/>
      <c r="H169" s="18" t="s">
        <v>644</v>
      </c>
      <c r="I169" s="27">
        <v>27</v>
      </c>
      <c r="J169" s="19">
        <v>5</v>
      </c>
      <c r="K169" s="16">
        <v>2</v>
      </c>
      <c r="L169" s="95" t="s">
        <v>584</v>
      </c>
      <c r="M169" s="96" t="s">
        <v>563</v>
      </c>
      <c r="N169" s="96" t="s">
        <v>583</v>
      </c>
      <c r="O169" s="96" t="s">
        <v>620</v>
      </c>
      <c r="P169" s="6"/>
      <c r="Q169" s="216"/>
      <c r="R169" s="216"/>
    </row>
    <row r="170" spans="1:18" ht="39.75" customHeight="1" hidden="1">
      <c r="A170" s="99"/>
      <c r="B170" s="98"/>
      <c r="C170" s="97"/>
      <c r="D170" s="101"/>
      <c r="E170" s="115"/>
      <c r="F170" s="115"/>
      <c r="G170" s="89"/>
      <c r="H170" s="18" t="s">
        <v>308</v>
      </c>
      <c r="I170" s="27">
        <v>27</v>
      </c>
      <c r="J170" s="19">
        <v>5</v>
      </c>
      <c r="K170" s="16">
        <v>2</v>
      </c>
      <c r="L170" s="95" t="s">
        <v>584</v>
      </c>
      <c r="M170" s="96" t="s">
        <v>563</v>
      </c>
      <c r="N170" s="96" t="s">
        <v>564</v>
      </c>
      <c r="O170" s="96" t="s">
        <v>620</v>
      </c>
      <c r="P170" s="6"/>
      <c r="Q170" s="216"/>
      <c r="R170" s="216"/>
    </row>
    <row r="171" spans="1:18" ht="27" customHeight="1" hidden="1">
      <c r="A171" s="99"/>
      <c r="B171" s="98"/>
      <c r="C171" s="97"/>
      <c r="D171" s="101"/>
      <c r="E171" s="115"/>
      <c r="F171" s="115"/>
      <c r="G171" s="89"/>
      <c r="H171" s="18" t="s">
        <v>269</v>
      </c>
      <c r="I171" s="27">
        <v>27</v>
      </c>
      <c r="J171" s="19">
        <v>5</v>
      </c>
      <c r="K171" s="16">
        <v>2</v>
      </c>
      <c r="L171" s="95" t="s">
        <v>584</v>
      </c>
      <c r="M171" s="96" t="s">
        <v>563</v>
      </c>
      <c r="N171" s="96" t="s">
        <v>564</v>
      </c>
      <c r="O171" s="96" t="s">
        <v>268</v>
      </c>
      <c r="P171" s="6"/>
      <c r="Q171" s="216"/>
      <c r="R171" s="216"/>
    </row>
    <row r="172" spans="1:18" ht="22.5" customHeight="1" hidden="1">
      <c r="A172" s="99"/>
      <c r="B172" s="98"/>
      <c r="C172" s="97"/>
      <c r="D172" s="101"/>
      <c r="E172" s="115"/>
      <c r="F172" s="115"/>
      <c r="G172" s="89"/>
      <c r="H172" s="18" t="s">
        <v>720</v>
      </c>
      <c r="I172" s="27">
        <v>27</v>
      </c>
      <c r="J172" s="19">
        <v>5</v>
      </c>
      <c r="K172" s="16">
        <v>2</v>
      </c>
      <c r="L172" s="95" t="s">
        <v>584</v>
      </c>
      <c r="M172" s="96" t="s">
        <v>563</v>
      </c>
      <c r="N172" s="96" t="s">
        <v>564</v>
      </c>
      <c r="O172" s="96" t="s">
        <v>268</v>
      </c>
      <c r="P172" s="6">
        <v>240</v>
      </c>
      <c r="Q172" s="216"/>
      <c r="R172" s="216"/>
    </row>
    <row r="173" spans="1:18" ht="22.5" customHeight="1" hidden="1">
      <c r="A173" s="99"/>
      <c r="B173" s="98"/>
      <c r="C173" s="97"/>
      <c r="D173" s="101"/>
      <c r="E173" s="115"/>
      <c r="F173" s="115"/>
      <c r="G173" s="89"/>
      <c r="H173" s="18" t="s">
        <v>664</v>
      </c>
      <c r="I173" s="27">
        <v>27</v>
      </c>
      <c r="J173" s="19">
        <v>5</v>
      </c>
      <c r="K173" s="16">
        <v>2</v>
      </c>
      <c r="L173" s="95" t="s">
        <v>584</v>
      </c>
      <c r="M173" s="96" t="s">
        <v>563</v>
      </c>
      <c r="N173" s="96" t="s">
        <v>663</v>
      </c>
      <c r="O173" s="96" t="s">
        <v>786</v>
      </c>
      <c r="P173" s="6"/>
      <c r="Q173" s="216"/>
      <c r="R173" s="216"/>
    </row>
    <row r="174" spans="1:18" ht="22.5" customHeight="1" hidden="1">
      <c r="A174" s="99"/>
      <c r="B174" s="98"/>
      <c r="C174" s="97"/>
      <c r="D174" s="101"/>
      <c r="E174" s="115"/>
      <c r="F174" s="115"/>
      <c r="G174" s="89"/>
      <c r="H174" s="18" t="s">
        <v>720</v>
      </c>
      <c r="I174" s="27">
        <v>27</v>
      </c>
      <c r="J174" s="19">
        <v>5</v>
      </c>
      <c r="K174" s="16">
        <v>2</v>
      </c>
      <c r="L174" s="95" t="s">
        <v>584</v>
      </c>
      <c r="M174" s="96" t="s">
        <v>563</v>
      </c>
      <c r="N174" s="96" t="s">
        <v>663</v>
      </c>
      <c r="O174" s="96" t="s">
        <v>786</v>
      </c>
      <c r="P174" s="6">
        <v>240</v>
      </c>
      <c r="Q174" s="216"/>
      <c r="R174" s="216"/>
    </row>
    <row r="175" spans="1:18" ht="22.5" customHeight="1" hidden="1">
      <c r="A175" s="99"/>
      <c r="B175" s="98"/>
      <c r="C175" s="97"/>
      <c r="D175" s="101"/>
      <c r="E175" s="115"/>
      <c r="F175" s="115"/>
      <c r="G175" s="89"/>
      <c r="H175" s="11" t="s">
        <v>299</v>
      </c>
      <c r="I175" s="27">
        <v>27</v>
      </c>
      <c r="J175" s="19">
        <v>5</v>
      </c>
      <c r="K175" s="16">
        <v>2</v>
      </c>
      <c r="L175" s="95" t="s">
        <v>580</v>
      </c>
      <c r="M175" s="96" t="s">
        <v>563</v>
      </c>
      <c r="N175" s="96" t="s">
        <v>583</v>
      </c>
      <c r="O175" s="96" t="s">
        <v>620</v>
      </c>
      <c r="P175" s="6"/>
      <c r="Q175" s="216"/>
      <c r="R175" s="216"/>
    </row>
    <row r="176" spans="1:18" ht="21" customHeight="1" hidden="1">
      <c r="A176" s="99"/>
      <c r="B176" s="98"/>
      <c r="C176" s="97"/>
      <c r="D176" s="101"/>
      <c r="E176" s="115"/>
      <c r="F176" s="115"/>
      <c r="G176" s="89"/>
      <c r="H176" s="18" t="s">
        <v>748</v>
      </c>
      <c r="I176" s="27">
        <v>27</v>
      </c>
      <c r="J176" s="19">
        <v>5</v>
      </c>
      <c r="K176" s="16">
        <v>2</v>
      </c>
      <c r="L176" s="95" t="s">
        <v>580</v>
      </c>
      <c r="M176" s="96" t="s">
        <v>563</v>
      </c>
      <c r="N176" s="96" t="s">
        <v>583</v>
      </c>
      <c r="O176" s="96" t="s">
        <v>747</v>
      </c>
      <c r="P176" s="6"/>
      <c r="Q176" s="216"/>
      <c r="R176" s="216"/>
    </row>
    <row r="177" spans="1:18" ht="21" customHeight="1" hidden="1">
      <c r="A177" s="99"/>
      <c r="B177" s="98"/>
      <c r="C177" s="97"/>
      <c r="D177" s="101"/>
      <c r="E177" s="115"/>
      <c r="F177" s="115"/>
      <c r="G177" s="89"/>
      <c r="H177" s="18" t="s">
        <v>720</v>
      </c>
      <c r="I177" s="27">
        <v>27</v>
      </c>
      <c r="J177" s="19">
        <v>5</v>
      </c>
      <c r="K177" s="16">
        <v>2</v>
      </c>
      <c r="L177" s="95" t="s">
        <v>580</v>
      </c>
      <c r="M177" s="96" t="s">
        <v>563</v>
      </c>
      <c r="N177" s="96" t="s">
        <v>583</v>
      </c>
      <c r="O177" s="96" t="s">
        <v>747</v>
      </c>
      <c r="P177" s="6">
        <v>240</v>
      </c>
      <c r="Q177" s="216"/>
      <c r="R177" s="216"/>
    </row>
    <row r="178" spans="1:18" s="179" customFormat="1" ht="29.25" customHeight="1">
      <c r="A178" s="142"/>
      <c r="B178" s="143"/>
      <c r="C178" s="142"/>
      <c r="D178" s="150"/>
      <c r="E178" s="151"/>
      <c r="F178" s="151"/>
      <c r="G178" s="136"/>
      <c r="H178" s="312" t="s">
        <v>739</v>
      </c>
      <c r="I178" s="152">
        <v>27</v>
      </c>
      <c r="J178" s="147">
        <v>5</v>
      </c>
      <c r="K178" s="139">
        <v>2</v>
      </c>
      <c r="L178" s="140"/>
      <c r="M178" s="141"/>
      <c r="N178" s="141"/>
      <c r="O178" s="141"/>
      <c r="P178" s="146"/>
      <c r="Q178" s="217">
        <f>Q179</f>
        <v>43275</v>
      </c>
      <c r="R178" s="217">
        <f>R179</f>
        <v>500</v>
      </c>
    </row>
    <row r="179" spans="1:18" ht="33.75" customHeight="1">
      <c r="A179" s="99"/>
      <c r="B179" s="98"/>
      <c r="C179" s="97"/>
      <c r="D179" s="101"/>
      <c r="E179" s="115"/>
      <c r="F179" s="115"/>
      <c r="G179" s="89"/>
      <c r="H179" s="18" t="s">
        <v>192</v>
      </c>
      <c r="I179" s="27">
        <v>27</v>
      </c>
      <c r="J179" s="19">
        <v>5</v>
      </c>
      <c r="K179" s="16">
        <v>2</v>
      </c>
      <c r="L179" s="95" t="s">
        <v>191</v>
      </c>
      <c r="M179" s="96" t="s">
        <v>563</v>
      </c>
      <c r="N179" s="96" t="s">
        <v>583</v>
      </c>
      <c r="O179" s="96" t="s">
        <v>620</v>
      </c>
      <c r="P179" s="6"/>
      <c r="Q179" s="216">
        <f>Q183</f>
        <v>43275</v>
      </c>
      <c r="R179" s="216">
        <f>R183+R180</f>
        <v>500</v>
      </c>
    </row>
    <row r="180" spans="1:18" ht="33.75" customHeight="1">
      <c r="A180" s="99"/>
      <c r="B180" s="98"/>
      <c r="C180" s="97"/>
      <c r="D180" s="101"/>
      <c r="E180" s="115"/>
      <c r="F180" s="115"/>
      <c r="G180" s="89"/>
      <c r="H180" s="18" t="s">
        <v>308</v>
      </c>
      <c r="I180" s="27">
        <v>27</v>
      </c>
      <c r="J180" s="19">
        <v>5</v>
      </c>
      <c r="K180" s="16">
        <v>2</v>
      </c>
      <c r="L180" s="95" t="s">
        <v>191</v>
      </c>
      <c r="M180" s="96" t="s">
        <v>563</v>
      </c>
      <c r="N180" s="96" t="s">
        <v>564</v>
      </c>
      <c r="O180" s="96" t="s">
        <v>620</v>
      </c>
      <c r="P180" s="6"/>
      <c r="Q180" s="216">
        <f>Q181</f>
        <v>0</v>
      </c>
      <c r="R180" s="216">
        <f>R181</f>
        <v>500</v>
      </c>
    </row>
    <row r="181" spans="1:18" ht="33.75" customHeight="1">
      <c r="A181" s="99"/>
      <c r="B181" s="98"/>
      <c r="C181" s="97"/>
      <c r="D181" s="101"/>
      <c r="E181" s="115"/>
      <c r="F181" s="115"/>
      <c r="G181" s="89"/>
      <c r="H181" s="116" t="s">
        <v>269</v>
      </c>
      <c r="I181" s="27">
        <v>27</v>
      </c>
      <c r="J181" s="19">
        <v>5</v>
      </c>
      <c r="K181" s="16">
        <v>2</v>
      </c>
      <c r="L181" s="95" t="s">
        <v>191</v>
      </c>
      <c r="M181" s="96" t="s">
        <v>563</v>
      </c>
      <c r="N181" s="96" t="s">
        <v>564</v>
      </c>
      <c r="O181" s="96" t="s">
        <v>268</v>
      </c>
      <c r="P181" s="6"/>
      <c r="Q181" s="216">
        <f>Q182</f>
        <v>0</v>
      </c>
      <c r="R181" s="216">
        <f>R182</f>
        <v>500</v>
      </c>
    </row>
    <row r="182" spans="1:18" ht="33.75" customHeight="1">
      <c r="A182" s="99"/>
      <c r="B182" s="98"/>
      <c r="C182" s="97"/>
      <c r="D182" s="101"/>
      <c r="E182" s="115"/>
      <c r="F182" s="115"/>
      <c r="G182" s="89"/>
      <c r="H182" s="116" t="s">
        <v>720</v>
      </c>
      <c r="I182" s="27">
        <v>27</v>
      </c>
      <c r="J182" s="19">
        <v>5</v>
      </c>
      <c r="K182" s="16">
        <v>2</v>
      </c>
      <c r="L182" s="95" t="s">
        <v>191</v>
      </c>
      <c r="M182" s="96" t="s">
        <v>563</v>
      </c>
      <c r="N182" s="96" t="s">
        <v>564</v>
      </c>
      <c r="O182" s="96" t="s">
        <v>268</v>
      </c>
      <c r="P182" s="6">
        <v>240</v>
      </c>
      <c r="Q182" s="216">
        <v>0</v>
      </c>
      <c r="R182" s="216">
        <v>500</v>
      </c>
    </row>
    <row r="183" spans="1:18" ht="33.75" customHeight="1">
      <c r="A183" s="99"/>
      <c r="B183" s="98"/>
      <c r="C183" s="97"/>
      <c r="D183" s="101"/>
      <c r="E183" s="115"/>
      <c r="F183" s="115"/>
      <c r="G183" s="89"/>
      <c r="H183" s="116" t="s">
        <v>121</v>
      </c>
      <c r="I183" s="27">
        <v>27</v>
      </c>
      <c r="J183" s="19">
        <v>5</v>
      </c>
      <c r="K183" s="16">
        <v>2</v>
      </c>
      <c r="L183" s="95" t="s">
        <v>191</v>
      </c>
      <c r="M183" s="96" t="s">
        <v>563</v>
      </c>
      <c r="N183" s="96" t="s">
        <v>663</v>
      </c>
      <c r="O183" s="96" t="s">
        <v>620</v>
      </c>
      <c r="P183" s="6"/>
      <c r="Q183" s="216">
        <f>Q184</f>
        <v>43275</v>
      </c>
      <c r="R183" s="216">
        <f>R184</f>
        <v>0</v>
      </c>
    </row>
    <row r="184" spans="1:18" ht="21" customHeight="1">
      <c r="A184" s="99"/>
      <c r="B184" s="98"/>
      <c r="C184" s="97"/>
      <c r="D184" s="101"/>
      <c r="E184" s="115"/>
      <c r="F184" s="115"/>
      <c r="G184" s="89"/>
      <c r="H184" s="18" t="s">
        <v>664</v>
      </c>
      <c r="I184" s="27">
        <v>27</v>
      </c>
      <c r="J184" s="19">
        <v>5</v>
      </c>
      <c r="K184" s="16">
        <v>2</v>
      </c>
      <c r="L184" s="95" t="s">
        <v>191</v>
      </c>
      <c r="M184" s="96" t="s">
        <v>563</v>
      </c>
      <c r="N184" s="96" t="s">
        <v>663</v>
      </c>
      <c r="O184" s="96" t="s">
        <v>74</v>
      </c>
      <c r="P184" s="6">
        <v>244</v>
      </c>
      <c r="Q184" s="216">
        <v>43275</v>
      </c>
      <c r="R184" s="216">
        <v>0</v>
      </c>
    </row>
    <row r="185" spans="1:18" s="179" customFormat="1" ht="26.25" customHeight="1">
      <c r="A185" s="142"/>
      <c r="B185" s="143"/>
      <c r="C185" s="142"/>
      <c r="D185" s="150"/>
      <c r="E185" s="151"/>
      <c r="F185" s="151"/>
      <c r="G185" s="136"/>
      <c r="H185" s="236" t="s">
        <v>281</v>
      </c>
      <c r="I185" s="248">
        <v>27</v>
      </c>
      <c r="J185" s="147">
        <v>5</v>
      </c>
      <c r="K185" s="139">
        <v>3</v>
      </c>
      <c r="L185" s="140"/>
      <c r="M185" s="141"/>
      <c r="N185" s="141"/>
      <c r="O185" s="141"/>
      <c r="P185" s="146"/>
      <c r="Q185" s="217">
        <f aca="true" t="shared" si="4" ref="Q185:R188">Q186</f>
        <v>284.3</v>
      </c>
      <c r="R185" s="217">
        <f t="shared" si="4"/>
        <v>225.7</v>
      </c>
    </row>
    <row r="186" spans="1:18" ht="34.5" customHeight="1">
      <c r="A186" s="97"/>
      <c r="B186" s="98"/>
      <c r="C186" s="97"/>
      <c r="D186" s="101"/>
      <c r="E186" s="115"/>
      <c r="F186" s="115"/>
      <c r="G186" s="89"/>
      <c r="H186" s="18" t="s">
        <v>800</v>
      </c>
      <c r="I186" s="6">
        <v>27</v>
      </c>
      <c r="J186" s="19">
        <v>5</v>
      </c>
      <c r="K186" s="16">
        <v>3</v>
      </c>
      <c r="L186" s="95" t="s">
        <v>798</v>
      </c>
      <c r="M186" s="96" t="s">
        <v>563</v>
      </c>
      <c r="N186" s="96" t="s">
        <v>583</v>
      </c>
      <c r="O186" s="96" t="s">
        <v>620</v>
      </c>
      <c r="P186" s="6"/>
      <c r="Q186" s="216">
        <f t="shared" si="4"/>
        <v>284.3</v>
      </c>
      <c r="R186" s="216">
        <f t="shared" si="4"/>
        <v>225.7</v>
      </c>
    </row>
    <row r="187" spans="1:18" ht="31.5" customHeight="1">
      <c r="A187" s="97"/>
      <c r="B187" s="98"/>
      <c r="C187" s="97"/>
      <c r="D187" s="101"/>
      <c r="E187" s="115"/>
      <c r="F187" s="115"/>
      <c r="G187" s="89"/>
      <c r="H187" s="128" t="s">
        <v>122</v>
      </c>
      <c r="I187" s="6">
        <v>27</v>
      </c>
      <c r="J187" s="19">
        <v>5</v>
      </c>
      <c r="K187" s="16">
        <v>3</v>
      </c>
      <c r="L187" s="95" t="s">
        <v>798</v>
      </c>
      <c r="M187" s="96" t="s">
        <v>563</v>
      </c>
      <c r="N187" s="96" t="s">
        <v>818</v>
      </c>
      <c r="O187" s="96" t="s">
        <v>620</v>
      </c>
      <c r="P187" s="6"/>
      <c r="Q187" s="216">
        <f t="shared" si="4"/>
        <v>284.3</v>
      </c>
      <c r="R187" s="216">
        <f t="shared" si="4"/>
        <v>225.7</v>
      </c>
    </row>
    <row r="188" spans="1:18" ht="33" customHeight="1">
      <c r="A188" s="97"/>
      <c r="B188" s="98"/>
      <c r="C188" s="97"/>
      <c r="D188" s="101"/>
      <c r="E188" s="115"/>
      <c r="F188" s="115"/>
      <c r="G188" s="89"/>
      <c r="H188" s="18" t="s">
        <v>799</v>
      </c>
      <c r="I188" s="6">
        <v>27</v>
      </c>
      <c r="J188" s="19">
        <v>5</v>
      </c>
      <c r="K188" s="16">
        <v>3</v>
      </c>
      <c r="L188" s="95" t="s">
        <v>798</v>
      </c>
      <c r="M188" s="96" t="s">
        <v>563</v>
      </c>
      <c r="N188" s="96" t="s">
        <v>818</v>
      </c>
      <c r="O188" s="96" t="s">
        <v>819</v>
      </c>
      <c r="P188" s="6"/>
      <c r="Q188" s="216">
        <f t="shared" si="4"/>
        <v>284.3</v>
      </c>
      <c r="R188" s="216">
        <f t="shared" si="4"/>
        <v>225.7</v>
      </c>
    </row>
    <row r="189" spans="1:18" ht="27" customHeight="1">
      <c r="A189" s="97"/>
      <c r="B189" s="98"/>
      <c r="C189" s="97"/>
      <c r="D189" s="101"/>
      <c r="E189" s="115"/>
      <c r="F189" s="115"/>
      <c r="G189" s="89"/>
      <c r="H189" s="18" t="s">
        <v>720</v>
      </c>
      <c r="I189" s="6">
        <v>27</v>
      </c>
      <c r="J189" s="19">
        <v>5</v>
      </c>
      <c r="K189" s="16">
        <v>3</v>
      </c>
      <c r="L189" s="95" t="s">
        <v>798</v>
      </c>
      <c r="M189" s="96" t="s">
        <v>563</v>
      </c>
      <c r="N189" s="96" t="s">
        <v>818</v>
      </c>
      <c r="O189" s="96" t="s">
        <v>819</v>
      </c>
      <c r="P189" s="6">
        <v>240</v>
      </c>
      <c r="Q189" s="216">
        <v>284.3</v>
      </c>
      <c r="R189" s="216">
        <f>225.7</f>
        <v>225.7</v>
      </c>
    </row>
    <row r="190" spans="1:18" s="179" customFormat="1" ht="24.75" customHeight="1">
      <c r="A190" s="142"/>
      <c r="B190" s="143"/>
      <c r="C190" s="142"/>
      <c r="D190" s="150"/>
      <c r="E190" s="151"/>
      <c r="F190" s="151"/>
      <c r="G190" s="136"/>
      <c r="H190" s="249" t="s">
        <v>646</v>
      </c>
      <c r="I190" s="250">
        <v>27</v>
      </c>
      <c r="J190" s="147">
        <v>5</v>
      </c>
      <c r="K190" s="139">
        <v>5</v>
      </c>
      <c r="L190" s="140"/>
      <c r="M190" s="141"/>
      <c r="N190" s="141"/>
      <c r="O190" s="141"/>
      <c r="P190" s="146"/>
      <c r="Q190" s="217">
        <f>Q191+Q196</f>
        <v>400</v>
      </c>
      <c r="R190" s="217">
        <f>R191+R196</f>
        <v>400</v>
      </c>
    </row>
    <row r="191" spans="1:18" s="179" customFormat="1" ht="24.75" customHeight="1">
      <c r="A191" s="142"/>
      <c r="B191" s="143"/>
      <c r="C191" s="142"/>
      <c r="D191" s="150"/>
      <c r="E191" s="151"/>
      <c r="F191" s="151"/>
      <c r="G191" s="136"/>
      <c r="H191" s="11" t="s">
        <v>299</v>
      </c>
      <c r="I191" s="6">
        <v>27</v>
      </c>
      <c r="J191" s="19">
        <v>5</v>
      </c>
      <c r="K191" s="16">
        <v>5</v>
      </c>
      <c r="L191" s="95" t="s">
        <v>580</v>
      </c>
      <c r="M191" s="96" t="s">
        <v>563</v>
      </c>
      <c r="N191" s="96" t="s">
        <v>583</v>
      </c>
      <c r="O191" s="96" t="s">
        <v>620</v>
      </c>
      <c r="P191" s="146"/>
      <c r="Q191" s="217">
        <f>Q192+Q194</f>
        <v>0</v>
      </c>
      <c r="R191" s="217">
        <f>R192+R194</f>
        <v>0</v>
      </c>
    </row>
    <row r="192" spans="1:18" ht="48" customHeight="1" hidden="1">
      <c r="A192" s="99"/>
      <c r="B192" s="98"/>
      <c r="C192" s="97"/>
      <c r="D192" s="101"/>
      <c r="E192" s="115"/>
      <c r="F192" s="115"/>
      <c r="G192" s="89"/>
      <c r="H192" s="116" t="s">
        <v>704</v>
      </c>
      <c r="I192" s="8">
        <v>27</v>
      </c>
      <c r="J192" s="19">
        <v>5</v>
      </c>
      <c r="K192" s="16">
        <v>5</v>
      </c>
      <c r="L192" s="95" t="s">
        <v>580</v>
      </c>
      <c r="M192" s="96" t="s">
        <v>563</v>
      </c>
      <c r="N192" s="96" t="s">
        <v>583</v>
      </c>
      <c r="O192" s="96" t="s">
        <v>652</v>
      </c>
      <c r="P192" s="6"/>
      <c r="Q192" s="216">
        <f>Q193</f>
        <v>0</v>
      </c>
      <c r="R192" s="216">
        <f>R193</f>
        <v>0</v>
      </c>
    </row>
    <row r="193" spans="1:18" ht="26.25" customHeight="1" hidden="1">
      <c r="A193" s="99"/>
      <c r="B193" s="98"/>
      <c r="C193" s="97"/>
      <c r="D193" s="101"/>
      <c r="E193" s="115"/>
      <c r="F193" s="115"/>
      <c r="G193" s="89"/>
      <c r="H193" s="116" t="s">
        <v>647</v>
      </c>
      <c r="I193" s="8">
        <v>27</v>
      </c>
      <c r="J193" s="19">
        <v>5</v>
      </c>
      <c r="K193" s="16">
        <v>5</v>
      </c>
      <c r="L193" s="95" t="s">
        <v>580</v>
      </c>
      <c r="M193" s="96" t="s">
        <v>563</v>
      </c>
      <c r="N193" s="96" t="s">
        <v>583</v>
      </c>
      <c r="O193" s="96" t="s">
        <v>652</v>
      </c>
      <c r="P193" s="6">
        <v>540</v>
      </c>
      <c r="Q193" s="216"/>
      <c r="R193" s="216"/>
    </row>
    <row r="194" spans="1:18" ht="39" customHeight="1" hidden="1">
      <c r="A194" s="99"/>
      <c r="B194" s="98"/>
      <c r="C194" s="97"/>
      <c r="D194" s="101"/>
      <c r="E194" s="115"/>
      <c r="F194" s="115"/>
      <c r="G194" s="89"/>
      <c r="H194" s="116" t="s">
        <v>266</v>
      </c>
      <c r="I194" s="8">
        <v>27</v>
      </c>
      <c r="J194" s="19">
        <v>5</v>
      </c>
      <c r="K194" s="16">
        <v>5</v>
      </c>
      <c r="L194" s="95" t="s">
        <v>580</v>
      </c>
      <c r="M194" s="96" t="s">
        <v>563</v>
      </c>
      <c r="N194" s="96" t="s">
        <v>583</v>
      </c>
      <c r="O194" s="96" t="s">
        <v>265</v>
      </c>
      <c r="P194" s="6"/>
      <c r="Q194" s="216"/>
      <c r="R194" s="216"/>
    </row>
    <row r="195" spans="1:18" ht="26.25" customHeight="1" hidden="1">
      <c r="A195" s="99"/>
      <c r="B195" s="98"/>
      <c r="C195" s="97"/>
      <c r="D195" s="101"/>
      <c r="E195" s="115"/>
      <c r="F195" s="115"/>
      <c r="G195" s="89"/>
      <c r="H195" s="116" t="s">
        <v>647</v>
      </c>
      <c r="I195" s="8">
        <v>27</v>
      </c>
      <c r="J195" s="19">
        <v>5</v>
      </c>
      <c r="K195" s="16">
        <v>5</v>
      </c>
      <c r="L195" s="95" t="s">
        <v>580</v>
      </c>
      <c r="M195" s="96" t="s">
        <v>563</v>
      </c>
      <c r="N195" s="96" t="s">
        <v>583</v>
      </c>
      <c r="O195" s="96" t="s">
        <v>265</v>
      </c>
      <c r="P195" s="6">
        <v>540</v>
      </c>
      <c r="Q195" s="216"/>
      <c r="R195" s="216"/>
    </row>
    <row r="196" spans="1:18" ht="28.5" customHeight="1">
      <c r="A196" s="99"/>
      <c r="B196" s="98"/>
      <c r="C196" s="97"/>
      <c r="D196" s="101"/>
      <c r="E196" s="115"/>
      <c r="F196" s="115"/>
      <c r="G196" s="89"/>
      <c r="H196" s="5" t="s">
        <v>267</v>
      </c>
      <c r="I196" s="8">
        <v>27</v>
      </c>
      <c r="J196" s="19">
        <v>5</v>
      </c>
      <c r="K196" s="16">
        <v>5</v>
      </c>
      <c r="L196" s="95" t="s">
        <v>585</v>
      </c>
      <c r="M196" s="96" t="s">
        <v>565</v>
      </c>
      <c r="N196" s="96" t="s">
        <v>583</v>
      </c>
      <c r="O196" s="96" t="s">
        <v>354</v>
      </c>
      <c r="P196" s="6"/>
      <c r="Q196" s="216">
        <f>Q197</f>
        <v>400</v>
      </c>
      <c r="R196" s="216">
        <f>R197</f>
        <v>400</v>
      </c>
    </row>
    <row r="197" spans="1:18" ht="28.5" customHeight="1">
      <c r="A197" s="99"/>
      <c r="B197" s="98"/>
      <c r="C197" s="97"/>
      <c r="D197" s="101"/>
      <c r="E197" s="115"/>
      <c r="F197" s="115"/>
      <c r="G197" s="89"/>
      <c r="H197" s="117" t="s">
        <v>720</v>
      </c>
      <c r="I197" s="6">
        <v>27</v>
      </c>
      <c r="J197" s="19">
        <v>5</v>
      </c>
      <c r="K197" s="16">
        <v>5</v>
      </c>
      <c r="L197" s="95" t="s">
        <v>585</v>
      </c>
      <c r="M197" s="96" t="s">
        <v>565</v>
      </c>
      <c r="N197" s="96" t="s">
        <v>583</v>
      </c>
      <c r="O197" s="96" t="s">
        <v>354</v>
      </c>
      <c r="P197" s="6">
        <v>240</v>
      </c>
      <c r="Q197" s="216">
        <v>400</v>
      </c>
      <c r="R197" s="216">
        <v>400</v>
      </c>
    </row>
    <row r="198" spans="1:18" s="179" customFormat="1" ht="24" customHeight="1">
      <c r="A198" s="142"/>
      <c r="B198" s="143"/>
      <c r="C198" s="153"/>
      <c r="D198" s="150"/>
      <c r="E198" s="154"/>
      <c r="F198" s="154"/>
      <c r="G198" s="155">
        <v>611</v>
      </c>
      <c r="H198" s="149" t="s">
        <v>550</v>
      </c>
      <c r="I198" s="152">
        <v>27</v>
      </c>
      <c r="J198" s="156">
        <v>6</v>
      </c>
      <c r="K198" s="139"/>
      <c r="L198" s="140"/>
      <c r="M198" s="141"/>
      <c r="N198" s="141"/>
      <c r="O198" s="141"/>
      <c r="P198" s="146"/>
      <c r="Q198" s="217">
        <f>Q199+Q202</f>
        <v>5336.9</v>
      </c>
      <c r="R198" s="217">
        <f>R199+R202</f>
        <v>636.8</v>
      </c>
    </row>
    <row r="199" spans="1:18" s="179" customFormat="1" ht="24" customHeight="1">
      <c r="A199" s="142"/>
      <c r="B199" s="143"/>
      <c r="C199" s="153"/>
      <c r="D199" s="150"/>
      <c r="E199" s="154"/>
      <c r="F199" s="154"/>
      <c r="G199" s="155"/>
      <c r="H199" s="149" t="s">
        <v>549</v>
      </c>
      <c r="I199" s="152">
        <v>27</v>
      </c>
      <c r="J199" s="156">
        <v>6</v>
      </c>
      <c r="K199" s="139">
        <v>3</v>
      </c>
      <c r="L199" s="140"/>
      <c r="M199" s="141"/>
      <c r="N199" s="141"/>
      <c r="O199" s="141"/>
      <c r="P199" s="146"/>
      <c r="Q199" s="217">
        <f>Q200</f>
        <v>27.4</v>
      </c>
      <c r="R199" s="217">
        <f>R200</f>
        <v>27.4</v>
      </c>
    </row>
    <row r="200" spans="1:18" ht="48" customHeight="1">
      <c r="A200" s="97"/>
      <c r="B200" s="98"/>
      <c r="C200" s="103"/>
      <c r="D200" s="101"/>
      <c r="E200" s="113"/>
      <c r="F200" s="113"/>
      <c r="G200" s="105"/>
      <c r="H200" s="5" t="s">
        <v>768</v>
      </c>
      <c r="I200" s="8">
        <v>27</v>
      </c>
      <c r="J200" s="21">
        <v>6</v>
      </c>
      <c r="K200" s="16">
        <v>3</v>
      </c>
      <c r="L200" s="95" t="s">
        <v>580</v>
      </c>
      <c r="M200" s="96" t="s">
        <v>563</v>
      </c>
      <c r="N200" s="96" t="s">
        <v>583</v>
      </c>
      <c r="O200" s="96" t="s">
        <v>767</v>
      </c>
      <c r="P200" s="6"/>
      <c r="Q200" s="216">
        <f>Q201</f>
        <v>27.4</v>
      </c>
      <c r="R200" s="216">
        <f>R201</f>
        <v>27.4</v>
      </c>
    </row>
    <row r="201" spans="1:18" ht="24" customHeight="1">
      <c r="A201" s="97"/>
      <c r="B201" s="98"/>
      <c r="C201" s="103"/>
      <c r="D201" s="101"/>
      <c r="E201" s="113"/>
      <c r="F201" s="113"/>
      <c r="G201" s="105"/>
      <c r="H201" s="5" t="s">
        <v>720</v>
      </c>
      <c r="I201" s="8">
        <v>27</v>
      </c>
      <c r="J201" s="21">
        <v>6</v>
      </c>
      <c r="K201" s="16">
        <v>3</v>
      </c>
      <c r="L201" s="95" t="s">
        <v>580</v>
      </c>
      <c r="M201" s="96" t="s">
        <v>563</v>
      </c>
      <c r="N201" s="96" t="s">
        <v>583</v>
      </c>
      <c r="O201" s="96" t="s">
        <v>767</v>
      </c>
      <c r="P201" s="6">
        <v>240</v>
      </c>
      <c r="Q201" s="216">
        <v>27.4</v>
      </c>
      <c r="R201" s="216">
        <v>27.4</v>
      </c>
    </row>
    <row r="202" spans="1:18" s="179" customFormat="1" ht="24.75" customHeight="1">
      <c r="A202" s="142"/>
      <c r="B202" s="143"/>
      <c r="C202" s="153"/>
      <c r="D202" s="150"/>
      <c r="E202" s="154"/>
      <c r="F202" s="154"/>
      <c r="G202" s="155">
        <v>621</v>
      </c>
      <c r="H202" s="149" t="s">
        <v>548</v>
      </c>
      <c r="I202" s="152">
        <v>27</v>
      </c>
      <c r="J202" s="156">
        <v>6</v>
      </c>
      <c r="K202" s="139">
        <v>5</v>
      </c>
      <c r="L202" s="140"/>
      <c r="M202" s="141"/>
      <c r="N202" s="141"/>
      <c r="O202" s="141"/>
      <c r="P202" s="146"/>
      <c r="Q202" s="217">
        <f>Q203+Q205</f>
        <v>5309.5</v>
      </c>
      <c r="R202" s="217">
        <f>R203+R205</f>
        <v>609.4</v>
      </c>
    </row>
    <row r="203" spans="1:18" ht="18.75" customHeight="1">
      <c r="A203" s="99"/>
      <c r="B203" s="98"/>
      <c r="C203" s="103"/>
      <c r="D203" s="107"/>
      <c r="E203" s="104"/>
      <c r="F203" s="104"/>
      <c r="G203" s="105"/>
      <c r="H203" s="172" t="s">
        <v>815</v>
      </c>
      <c r="I203" s="8">
        <v>27</v>
      </c>
      <c r="J203" s="19">
        <v>6</v>
      </c>
      <c r="K203" s="16">
        <v>5</v>
      </c>
      <c r="L203" s="95" t="s">
        <v>580</v>
      </c>
      <c r="M203" s="96" t="s">
        <v>563</v>
      </c>
      <c r="N203" s="96" t="s">
        <v>583</v>
      </c>
      <c r="O203" s="96" t="s">
        <v>814</v>
      </c>
      <c r="P203" s="6"/>
      <c r="Q203" s="216">
        <f>SUM(Q204:Q204)</f>
        <v>109.5</v>
      </c>
      <c r="R203" s="216">
        <f>SUM(R204:R204)</f>
        <v>109.4</v>
      </c>
    </row>
    <row r="204" spans="1:18" ht="23.25" customHeight="1">
      <c r="A204" s="99"/>
      <c r="B204" s="98"/>
      <c r="C204" s="103"/>
      <c r="D204" s="107"/>
      <c r="E204" s="104"/>
      <c r="F204" s="104"/>
      <c r="G204" s="105"/>
      <c r="H204" s="3" t="s">
        <v>533</v>
      </c>
      <c r="I204" s="8">
        <v>27</v>
      </c>
      <c r="J204" s="19">
        <v>6</v>
      </c>
      <c r="K204" s="16">
        <v>5</v>
      </c>
      <c r="L204" s="95" t="s">
        <v>580</v>
      </c>
      <c r="M204" s="96" t="s">
        <v>563</v>
      </c>
      <c r="N204" s="96" t="s">
        <v>583</v>
      </c>
      <c r="O204" s="96" t="s">
        <v>814</v>
      </c>
      <c r="P204" s="6">
        <v>120</v>
      </c>
      <c r="Q204" s="239">
        <v>109.5</v>
      </c>
      <c r="R204" s="239">
        <v>109.4</v>
      </c>
    </row>
    <row r="205" spans="1:18" ht="35.25" customHeight="1">
      <c r="A205" s="99"/>
      <c r="B205" s="98"/>
      <c r="C205" s="103"/>
      <c r="D205" s="109"/>
      <c r="E205" s="104"/>
      <c r="F205" s="104"/>
      <c r="G205" s="105">
        <v>622</v>
      </c>
      <c r="H205" s="3" t="s">
        <v>192</v>
      </c>
      <c r="I205" s="8">
        <v>27</v>
      </c>
      <c r="J205" s="21">
        <v>6</v>
      </c>
      <c r="K205" s="16">
        <v>5</v>
      </c>
      <c r="L205" s="95" t="s">
        <v>191</v>
      </c>
      <c r="M205" s="96" t="s">
        <v>563</v>
      </c>
      <c r="N205" s="96" t="s">
        <v>583</v>
      </c>
      <c r="O205" s="96" t="s">
        <v>620</v>
      </c>
      <c r="P205" s="6"/>
      <c r="Q205" s="216">
        <f aca="true" t="shared" si="5" ref="Q205:R207">Q206</f>
        <v>5200</v>
      </c>
      <c r="R205" s="216">
        <f t="shared" si="5"/>
        <v>500</v>
      </c>
    </row>
    <row r="206" spans="1:18" ht="33.75" customHeight="1">
      <c r="A206" s="99"/>
      <c r="B206" s="98"/>
      <c r="C206" s="106"/>
      <c r="D206" s="107"/>
      <c r="E206" s="104"/>
      <c r="F206" s="104"/>
      <c r="G206" s="105"/>
      <c r="H206" s="116" t="s">
        <v>310</v>
      </c>
      <c r="I206" s="8">
        <v>27</v>
      </c>
      <c r="J206" s="21">
        <v>6</v>
      </c>
      <c r="K206" s="16">
        <v>5</v>
      </c>
      <c r="L206" s="95" t="s">
        <v>191</v>
      </c>
      <c r="M206" s="96" t="s">
        <v>563</v>
      </c>
      <c r="N206" s="96" t="s">
        <v>592</v>
      </c>
      <c r="O206" s="96" t="s">
        <v>620</v>
      </c>
      <c r="P206" s="6"/>
      <c r="Q206" s="216">
        <f t="shared" si="5"/>
        <v>5200</v>
      </c>
      <c r="R206" s="216">
        <f t="shared" si="5"/>
        <v>500</v>
      </c>
    </row>
    <row r="207" spans="1:18" ht="24.75" customHeight="1">
      <c r="A207" s="99"/>
      <c r="B207" s="98"/>
      <c r="C207" s="106"/>
      <c r="D207" s="107"/>
      <c r="E207" s="104"/>
      <c r="F207" s="104"/>
      <c r="G207" s="105"/>
      <c r="H207" s="116" t="s">
        <v>269</v>
      </c>
      <c r="I207" s="8">
        <v>27</v>
      </c>
      <c r="J207" s="21">
        <v>6</v>
      </c>
      <c r="K207" s="16">
        <v>5</v>
      </c>
      <c r="L207" s="95" t="s">
        <v>191</v>
      </c>
      <c r="M207" s="96" t="s">
        <v>563</v>
      </c>
      <c r="N207" s="96" t="s">
        <v>592</v>
      </c>
      <c r="O207" s="96" t="s">
        <v>268</v>
      </c>
      <c r="P207" s="6"/>
      <c r="Q207" s="216">
        <f t="shared" si="5"/>
        <v>5200</v>
      </c>
      <c r="R207" s="216">
        <f t="shared" si="5"/>
        <v>500</v>
      </c>
    </row>
    <row r="208" spans="1:18" ht="33.75" customHeight="1">
      <c r="A208" s="99"/>
      <c r="B208" s="98"/>
      <c r="C208" s="106"/>
      <c r="D208" s="107"/>
      <c r="E208" s="104"/>
      <c r="F208" s="104"/>
      <c r="G208" s="105"/>
      <c r="H208" s="116" t="s">
        <v>720</v>
      </c>
      <c r="I208" s="8">
        <v>27</v>
      </c>
      <c r="J208" s="21">
        <v>6</v>
      </c>
      <c r="K208" s="16">
        <v>5</v>
      </c>
      <c r="L208" s="95" t="s">
        <v>191</v>
      </c>
      <c r="M208" s="96" t="s">
        <v>563</v>
      </c>
      <c r="N208" s="96" t="s">
        <v>592</v>
      </c>
      <c r="O208" s="96" t="s">
        <v>268</v>
      </c>
      <c r="P208" s="6">
        <v>240</v>
      </c>
      <c r="Q208" s="216">
        <v>5200</v>
      </c>
      <c r="R208" s="216">
        <v>500</v>
      </c>
    </row>
    <row r="209" spans="1:18" s="179" customFormat="1" ht="26.25" customHeight="1">
      <c r="A209" s="142"/>
      <c r="B209" s="143"/>
      <c r="C209" s="157"/>
      <c r="D209" s="144"/>
      <c r="E209" s="145"/>
      <c r="F209" s="145"/>
      <c r="G209" s="155">
        <v>612</v>
      </c>
      <c r="H209" s="149" t="s">
        <v>545</v>
      </c>
      <c r="I209" s="152">
        <v>27</v>
      </c>
      <c r="J209" s="156">
        <v>7</v>
      </c>
      <c r="K209" s="139"/>
      <c r="L209" s="140"/>
      <c r="M209" s="141"/>
      <c r="N209" s="141"/>
      <c r="O209" s="141"/>
      <c r="P209" s="146"/>
      <c r="Q209" s="217">
        <f>Q210+Q217</f>
        <v>8550</v>
      </c>
      <c r="R209" s="217">
        <f>R210+R217</f>
        <v>8550</v>
      </c>
    </row>
    <row r="210" spans="1:18" s="179" customFormat="1" ht="20.25" customHeight="1">
      <c r="A210" s="142"/>
      <c r="B210" s="143"/>
      <c r="C210" s="370">
        <v>703</v>
      </c>
      <c r="D210" s="371"/>
      <c r="E210" s="371"/>
      <c r="F210" s="371"/>
      <c r="G210" s="136">
        <v>612</v>
      </c>
      <c r="H210" s="137" t="s">
        <v>347</v>
      </c>
      <c r="I210" s="146">
        <v>27</v>
      </c>
      <c r="J210" s="139">
        <v>7</v>
      </c>
      <c r="K210" s="139">
        <v>3</v>
      </c>
      <c r="L210" s="140"/>
      <c r="M210" s="141"/>
      <c r="N210" s="141"/>
      <c r="O210" s="141"/>
      <c r="P210" s="146"/>
      <c r="Q210" s="217">
        <f aca="true" t="shared" si="6" ref="Q210:R213">Q211</f>
        <v>8000</v>
      </c>
      <c r="R210" s="217">
        <f t="shared" si="6"/>
        <v>8000</v>
      </c>
    </row>
    <row r="211" spans="1:18" s="179" customFormat="1" ht="29.25" customHeight="1">
      <c r="A211" s="142"/>
      <c r="B211" s="143"/>
      <c r="C211" s="153"/>
      <c r="D211" s="235"/>
      <c r="E211" s="166"/>
      <c r="F211" s="166"/>
      <c r="G211" s="136"/>
      <c r="H211" s="257" t="s">
        <v>665</v>
      </c>
      <c r="I211" s="10">
        <v>27</v>
      </c>
      <c r="J211" s="16">
        <v>7</v>
      </c>
      <c r="K211" s="16">
        <v>3</v>
      </c>
      <c r="L211" s="95" t="s">
        <v>666</v>
      </c>
      <c r="M211" s="96" t="s">
        <v>563</v>
      </c>
      <c r="N211" s="96" t="s">
        <v>583</v>
      </c>
      <c r="O211" s="96" t="s">
        <v>620</v>
      </c>
      <c r="P211" s="6"/>
      <c r="Q211" s="216">
        <f t="shared" si="6"/>
        <v>8000</v>
      </c>
      <c r="R211" s="216">
        <f t="shared" si="6"/>
        <v>8000</v>
      </c>
    </row>
    <row r="212" spans="1:18" s="179" customFormat="1" ht="35.25" customHeight="1">
      <c r="A212" s="142"/>
      <c r="B212" s="143"/>
      <c r="C212" s="153"/>
      <c r="D212" s="235"/>
      <c r="E212" s="166"/>
      <c r="F212" s="166"/>
      <c r="G212" s="136"/>
      <c r="H212" s="257" t="s">
        <v>667</v>
      </c>
      <c r="I212" s="10">
        <v>27</v>
      </c>
      <c r="J212" s="16">
        <v>7</v>
      </c>
      <c r="K212" s="16">
        <v>3</v>
      </c>
      <c r="L212" s="95" t="s">
        <v>666</v>
      </c>
      <c r="M212" s="96" t="s">
        <v>563</v>
      </c>
      <c r="N212" s="96" t="s">
        <v>588</v>
      </c>
      <c r="O212" s="96" t="s">
        <v>620</v>
      </c>
      <c r="P212" s="6"/>
      <c r="Q212" s="216">
        <f>Q213+Q215</f>
        <v>8000</v>
      </c>
      <c r="R212" s="216">
        <f>R213+R215</f>
        <v>8000</v>
      </c>
    </row>
    <row r="213" spans="1:18" s="179" customFormat="1" ht="20.25" customHeight="1">
      <c r="A213" s="142"/>
      <c r="B213" s="143"/>
      <c r="C213" s="153"/>
      <c r="D213" s="235"/>
      <c r="E213" s="166"/>
      <c r="F213" s="166"/>
      <c r="G213" s="136"/>
      <c r="H213" s="257" t="s">
        <v>335</v>
      </c>
      <c r="I213" s="10">
        <v>27</v>
      </c>
      <c r="J213" s="16">
        <v>7</v>
      </c>
      <c r="K213" s="16">
        <v>3</v>
      </c>
      <c r="L213" s="95" t="s">
        <v>666</v>
      </c>
      <c r="M213" s="96" t="s">
        <v>563</v>
      </c>
      <c r="N213" s="96" t="s">
        <v>588</v>
      </c>
      <c r="O213" s="96" t="s">
        <v>270</v>
      </c>
      <c r="P213" s="6"/>
      <c r="Q213" s="216">
        <f t="shared" si="6"/>
        <v>6506.6</v>
      </c>
      <c r="R213" s="216">
        <f t="shared" si="6"/>
        <v>6179.4</v>
      </c>
    </row>
    <row r="214" spans="1:18" s="179" customFormat="1" ht="20.25" customHeight="1">
      <c r="A214" s="142"/>
      <c r="B214" s="143"/>
      <c r="C214" s="153"/>
      <c r="D214" s="235"/>
      <c r="E214" s="166"/>
      <c r="F214" s="166"/>
      <c r="G214" s="136"/>
      <c r="H214" s="257" t="s">
        <v>722</v>
      </c>
      <c r="I214" s="10">
        <v>27</v>
      </c>
      <c r="J214" s="16">
        <v>7</v>
      </c>
      <c r="K214" s="16">
        <v>3</v>
      </c>
      <c r="L214" s="95" t="s">
        <v>666</v>
      </c>
      <c r="M214" s="96" t="s">
        <v>563</v>
      </c>
      <c r="N214" s="96" t="s">
        <v>588</v>
      </c>
      <c r="O214" s="96" t="s">
        <v>270</v>
      </c>
      <c r="P214" s="6">
        <v>610</v>
      </c>
      <c r="Q214" s="216">
        <v>6506.6</v>
      </c>
      <c r="R214" s="216">
        <v>6179.4</v>
      </c>
    </row>
    <row r="215" spans="1:18" s="179" customFormat="1" ht="41.25" customHeight="1">
      <c r="A215" s="142"/>
      <c r="B215" s="143"/>
      <c r="C215" s="153"/>
      <c r="D215" s="235"/>
      <c r="E215" s="166"/>
      <c r="F215" s="166"/>
      <c r="G215" s="136"/>
      <c r="H215" s="257" t="s">
        <v>61</v>
      </c>
      <c r="I215" s="10">
        <v>27</v>
      </c>
      <c r="J215" s="16">
        <v>7</v>
      </c>
      <c r="K215" s="16">
        <v>3</v>
      </c>
      <c r="L215" s="95" t="s">
        <v>666</v>
      </c>
      <c r="M215" s="96" t="s">
        <v>563</v>
      </c>
      <c r="N215" s="96" t="s">
        <v>588</v>
      </c>
      <c r="O215" s="96" t="s">
        <v>60</v>
      </c>
      <c r="P215" s="10"/>
      <c r="Q215" s="214">
        <f>Q216</f>
        <v>1493.4</v>
      </c>
      <c r="R215" s="216">
        <f>R216</f>
        <v>1820.6</v>
      </c>
    </row>
    <row r="216" spans="1:18" s="179" customFormat="1" ht="20.25" customHeight="1">
      <c r="A216" s="142"/>
      <c r="B216" s="143"/>
      <c r="C216" s="153"/>
      <c r="D216" s="235"/>
      <c r="E216" s="166"/>
      <c r="F216" s="166"/>
      <c r="G216" s="136"/>
      <c r="H216" s="257" t="s">
        <v>722</v>
      </c>
      <c r="I216" s="10">
        <v>27</v>
      </c>
      <c r="J216" s="16">
        <v>7</v>
      </c>
      <c r="K216" s="16">
        <v>3</v>
      </c>
      <c r="L216" s="95" t="s">
        <v>666</v>
      </c>
      <c r="M216" s="96" t="s">
        <v>563</v>
      </c>
      <c r="N216" s="96" t="s">
        <v>588</v>
      </c>
      <c r="O216" s="96" t="s">
        <v>60</v>
      </c>
      <c r="P216" s="10">
        <v>610</v>
      </c>
      <c r="Q216" s="214">
        <v>1493.4</v>
      </c>
      <c r="R216" s="216">
        <v>1820.6</v>
      </c>
    </row>
    <row r="217" spans="1:18" s="179" customFormat="1" ht="18.75" customHeight="1">
      <c r="A217" s="142"/>
      <c r="B217" s="143"/>
      <c r="C217" s="370">
        <v>704</v>
      </c>
      <c r="D217" s="371"/>
      <c r="E217" s="371"/>
      <c r="F217" s="371"/>
      <c r="G217" s="136">
        <v>622</v>
      </c>
      <c r="H217" s="137" t="s">
        <v>338</v>
      </c>
      <c r="I217" s="146">
        <v>27</v>
      </c>
      <c r="J217" s="139">
        <v>7</v>
      </c>
      <c r="K217" s="139">
        <v>7</v>
      </c>
      <c r="L217" s="140"/>
      <c r="M217" s="141"/>
      <c r="N217" s="141"/>
      <c r="O217" s="141"/>
      <c r="P217" s="138"/>
      <c r="Q217" s="213">
        <f>Q218</f>
        <v>550</v>
      </c>
      <c r="R217" s="213">
        <f>R218</f>
        <v>550</v>
      </c>
    </row>
    <row r="218" spans="1:18" ht="18.75" customHeight="1">
      <c r="A218" s="99"/>
      <c r="B218" s="98"/>
      <c r="C218" s="97"/>
      <c r="D218" s="94"/>
      <c r="E218" s="94"/>
      <c r="F218" s="94"/>
      <c r="G218" s="89"/>
      <c r="H218" s="5" t="s">
        <v>669</v>
      </c>
      <c r="I218" s="6">
        <v>27</v>
      </c>
      <c r="J218" s="16">
        <v>7</v>
      </c>
      <c r="K218" s="16">
        <v>7</v>
      </c>
      <c r="L218" s="95" t="s">
        <v>668</v>
      </c>
      <c r="M218" s="96" t="s">
        <v>563</v>
      </c>
      <c r="N218" s="96" t="s">
        <v>583</v>
      </c>
      <c r="O218" s="96" t="s">
        <v>620</v>
      </c>
      <c r="P218" s="10"/>
      <c r="Q218" s="214">
        <f>Q219+Q224+Q227</f>
        <v>550</v>
      </c>
      <c r="R218" s="214">
        <f>R219+R224+R227</f>
        <v>550</v>
      </c>
    </row>
    <row r="219" spans="1:18" ht="38.25" customHeight="1">
      <c r="A219" s="99"/>
      <c r="B219" s="98"/>
      <c r="C219" s="97"/>
      <c r="D219" s="363">
        <v>4270000</v>
      </c>
      <c r="E219" s="363"/>
      <c r="F219" s="363"/>
      <c r="G219" s="89">
        <v>622</v>
      </c>
      <c r="H219" s="18" t="s">
        <v>671</v>
      </c>
      <c r="I219" s="6">
        <v>27</v>
      </c>
      <c r="J219" s="16">
        <v>7</v>
      </c>
      <c r="K219" s="16">
        <v>7</v>
      </c>
      <c r="L219" s="95" t="s">
        <v>668</v>
      </c>
      <c r="M219" s="96" t="s">
        <v>563</v>
      </c>
      <c r="N219" s="96" t="s">
        <v>564</v>
      </c>
      <c r="O219" s="96" t="s">
        <v>620</v>
      </c>
      <c r="P219" s="10"/>
      <c r="Q219" s="214">
        <f>Q220+Q222</f>
        <v>200</v>
      </c>
      <c r="R219" s="214">
        <f>R220+R222</f>
        <v>200</v>
      </c>
    </row>
    <row r="220" spans="1:18" ht="28.5" customHeight="1">
      <c r="A220" s="99"/>
      <c r="B220" s="98"/>
      <c r="C220" s="97"/>
      <c r="D220" s="101"/>
      <c r="E220" s="115"/>
      <c r="F220" s="115"/>
      <c r="G220" s="89"/>
      <c r="H220" s="18" t="s">
        <v>262</v>
      </c>
      <c r="I220" s="6">
        <v>27</v>
      </c>
      <c r="J220" s="16">
        <v>7</v>
      </c>
      <c r="K220" s="16">
        <v>7</v>
      </c>
      <c r="L220" s="95" t="s">
        <v>668</v>
      </c>
      <c r="M220" s="96" t="s">
        <v>563</v>
      </c>
      <c r="N220" s="96" t="s">
        <v>564</v>
      </c>
      <c r="O220" s="96" t="s">
        <v>263</v>
      </c>
      <c r="P220" s="6"/>
      <c r="Q220" s="216">
        <f>Q221</f>
        <v>200</v>
      </c>
      <c r="R220" s="216">
        <f>R221</f>
        <v>200</v>
      </c>
    </row>
    <row r="221" spans="1:18" ht="21.75" customHeight="1">
      <c r="A221" s="99"/>
      <c r="B221" s="98"/>
      <c r="C221" s="97"/>
      <c r="D221" s="101"/>
      <c r="E221" s="115"/>
      <c r="F221" s="115"/>
      <c r="G221" s="89"/>
      <c r="H221" s="257" t="s">
        <v>722</v>
      </c>
      <c r="I221" s="6">
        <v>27</v>
      </c>
      <c r="J221" s="16">
        <v>7</v>
      </c>
      <c r="K221" s="16">
        <v>7</v>
      </c>
      <c r="L221" s="95" t="s">
        <v>668</v>
      </c>
      <c r="M221" s="96" t="s">
        <v>563</v>
      </c>
      <c r="N221" s="96" t="s">
        <v>564</v>
      </c>
      <c r="O221" s="96" t="s">
        <v>263</v>
      </c>
      <c r="P221" s="6">
        <v>610</v>
      </c>
      <c r="Q221" s="216">
        <v>200</v>
      </c>
      <c r="R221" s="216">
        <v>200</v>
      </c>
    </row>
    <row r="222" spans="1:18" ht="36.75" customHeight="1" hidden="1">
      <c r="A222" s="99"/>
      <c r="B222" s="98"/>
      <c r="C222" s="97"/>
      <c r="D222" s="101"/>
      <c r="E222" s="115"/>
      <c r="F222" s="115"/>
      <c r="G222" s="89"/>
      <c r="H222" s="5" t="s">
        <v>670</v>
      </c>
      <c r="I222" s="6">
        <v>27</v>
      </c>
      <c r="J222" s="16">
        <v>7</v>
      </c>
      <c r="K222" s="16">
        <v>7</v>
      </c>
      <c r="L222" s="95" t="s">
        <v>668</v>
      </c>
      <c r="M222" s="96" t="s">
        <v>563</v>
      </c>
      <c r="N222" s="96" t="s">
        <v>564</v>
      </c>
      <c r="O222" s="96" t="s">
        <v>241</v>
      </c>
      <c r="P222" s="6"/>
      <c r="Q222" s="216">
        <f>Q223</f>
        <v>0</v>
      </c>
      <c r="R222" s="216">
        <f>R223</f>
        <v>0</v>
      </c>
    </row>
    <row r="223" spans="1:18" ht="27" customHeight="1" hidden="1">
      <c r="A223" s="99"/>
      <c r="B223" s="98"/>
      <c r="C223" s="103"/>
      <c r="D223" s="101"/>
      <c r="E223" s="113"/>
      <c r="F223" s="113"/>
      <c r="G223" s="105"/>
      <c r="H223" s="257" t="s">
        <v>722</v>
      </c>
      <c r="I223" s="6">
        <v>27</v>
      </c>
      <c r="J223" s="19">
        <v>7</v>
      </c>
      <c r="K223" s="16">
        <v>7</v>
      </c>
      <c r="L223" s="95" t="s">
        <v>668</v>
      </c>
      <c r="M223" s="96" t="s">
        <v>563</v>
      </c>
      <c r="N223" s="96" t="s">
        <v>564</v>
      </c>
      <c r="O223" s="96" t="s">
        <v>241</v>
      </c>
      <c r="P223" s="6">
        <v>610</v>
      </c>
      <c r="Q223" s="216">
        <v>0</v>
      </c>
      <c r="R223" s="216">
        <v>0</v>
      </c>
    </row>
    <row r="224" spans="1:18" ht="33.75" customHeight="1">
      <c r="A224" s="99"/>
      <c r="B224" s="98"/>
      <c r="C224" s="103"/>
      <c r="D224" s="101"/>
      <c r="E224" s="113"/>
      <c r="F224" s="113"/>
      <c r="G224" s="105"/>
      <c r="H224" s="129" t="s">
        <v>672</v>
      </c>
      <c r="I224" s="6">
        <v>27</v>
      </c>
      <c r="J224" s="19">
        <v>7</v>
      </c>
      <c r="K224" s="16">
        <v>7</v>
      </c>
      <c r="L224" s="95" t="s">
        <v>668</v>
      </c>
      <c r="M224" s="96" t="s">
        <v>563</v>
      </c>
      <c r="N224" s="96" t="s">
        <v>592</v>
      </c>
      <c r="O224" s="96" t="s">
        <v>620</v>
      </c>
      <c r="P224" s="6"/>
      <c r="Q224" s="216">
        <f>Q225</f>
        <v>200</v>
      </c>
      <c r="R224" s="216">
        <f>R225</f>
        <v>200</v>
      </c>
    </row>
    <row r="225" spans="1:18" ht="27" customHeight="1">
      <c r="A225" s="99"/>
      <c r="B225" s="98"/>
      <c r="C225" s="103"/>
      <c r="D225" s="101"/>
      <c r="E225" s="113"/>
      <c r="F225" s="113"/>
      <c r="G225" s="105"/>
      <c r="H225" s="129" t="s">
        <v>262</v>
      </c>
      <c r="I225" s="6">
        <v>27</v>
      </c>
      <c r="J225" s="19">
        <v>7</v>
      </c>
      <c r="K225" s="16">
        <v>7</v>
      </c>
      <c r="L225" s="95" t="s">
        <v>668</v>
      </c>
      <c r="M225" s="96" t="s">
        <v>563</v>
      </c>
      <c r="N225" s="96" t="s">
        <v>592</v>
      </c>
      <c r="O225" s="96" t="s">
        <v>263</v>
      </c>
      <c r="P225" s="6"/>
      <c r="Q225" s="216">
        <f>Q226</f>
        <v>200</v>
      </c>
      <c r="R225" s="216">
        <f>R226</f>
        <v>200</v>
      </c>
    </row>
    <row r="226" spans="1:18" ht="27" customHeight="1">
      <c r="A226" s="99"/>
      <c r="B226" s="98"/>
      <c r="C226" s="103"/>
      <c r="D226" s="101"/>
      <c r="E226" s="113"/>
      <c r="F226" s="113"/>
      <c r="G226" s="105"/>
      <c r="H226" s="257" t="s">
        <v>722</v>
      </c>
      <c r="I226" s="6">
        <v>27</v>
      </c>
      <c r="J226" s="19">
        <v>7</v>
      </c>
      <c r="K226" s="16">
        <v>7</v>
      </c>
      <c r="L226" s="95" t="s">
        <v>668</v>
      </c>
      <c r="M226" s="96" t="s">
        <v>563</v>
      </c>
      <c r="N226" s="96" t="s">
        <v>592</v>
      </c>
      <c r="O226" s="96" t="s">
        <v>263</v>
      </c>
      <c r="P226" s="6">
        <v>610</v>
      </c>
      <c r="Q226" s="216">
        <v>200</v>
      </c>
      <c r="R226" s="216">
        <v>200</v>
      </c>
    </row>
    <row r="227" spans="1:18" ht="33" customHeight="1">
      <c r="A227" s="99"/>
      <c r="B227" s="98"/>
      <c r="C227" s="103"/>
      <c r="D227" s="101"/>
      <c r="E227" s="113"/>
      <c r="F227" s="113"/>
      <c r="G227" s="105"/>
      <c r="H227" s="129" t="s">
        <v>673</v>
      </c>
      <c r="I227" s="6">
        <v>27</v>
      </c>
      <c r="J227" s="19">
        <v>7</v>
      </c>
      <c r="K227" s="16">
        <v>7</v>
      </c>
      <c r="L227" s="95" t="s">
        <v>668</v>
      </c>
      <c r="M227" s="96" t="s">
        <v>563</v>
      </c>
      <c r="N227" s="96" t="s">
        <v>593</v>
      </c>
      <c r="O227" s="96" t="s">
        <v>620</v>
      </c>
      <c r="P227" s="6"/>
      <c r="Q227" s="216">
        <f>Q228</f>
        <v>150</v>
      </c>
      <c r="R227" s="216">
        <f>R228</f>
        <v>150</v>
      </c>
    </row>
    <row r="228" spans="1:18" ht="27" customHeight="1">
      <c r="A228" s="99"/>
      <c r="B228" s="98"/>
      <c r="C228" s="103"/>
      <c r="D228" s="101"/>
      <c r="E228" s="113"/>
      <c r="F228" s="113"/>
      <c r="G228" s="105"/>
      <c r="H228" s="129" t="s">
        <v>262</v>
      </c>
      <c r="I228" s="6">
        <v>27</v>
      </c>
      <c r="J228" s="19">
        <v>7</v>
      </c>
      <c r="K228" s="16">
        <v>7</v>
      </c>
      <c r="L228" s="95" t="s">
        <v>668</v>
      </c>
      <c r="M228" s="96" t="s">
        <v>563</v>
      </c>
      <c r="N228" s="96" t="s">
        <v>593</v>
      </c>
      <c r="O228" s="96" t="s">
        <v>263</v>
      </c>
      <c r="P228" s="6"/>
      <c r="Q228" s="216">
        <f>Q229</f>
        <v>150</v>
      </c>
      <c r="R228" s="216">
        <f>R229</f>
        <v>150</v>
      </c>
    </row>
    <row r="229" spans="1:18" ht="27" customHeight="1">
      <c r="A229" s="99"/>
      <c r="B229" s="98"/>
      <c r="C229" s="103"/>
      <c r="D229" s="101"/>
      <c r="E229" s="113"/>
      <c r="F229" s="113"/>
      <c r="G229" s="105"/>
      <c r="H229" s="257" t="s">
        <v>722</v>
      </c>
      <c r="I229" s="6">
        <v>27</v>
      </c>
      <c r="J229" s="19">
        <v>7</v>
      </c>
      <c r="K229" s="16">
        <v>7</v>
      </c>
      <c r="L229" s="95" t="s">
        <v>668</v>
      </c>
      <c r="M229" s="96" t="s">
        <v>563</v>
      </c>
      <c r="N229" s="96" t="s">
        <v>593</v>
      </c>
      <c r="O229" s="96" t="s">
        <v>263</v>
      </c>
      <c r="P229" s="6">
        <v>610</v>
      </c>
      <c r="Q229" s="216">
        <v>150</v>
      </c>
      <c r="R229" s="216">
        <v>150</v>
      </c>
    </row>
    <row r="230" spans="1:18" s="179" customFormat="1" ht="24.75" customHeight="1">
      <c r="A230" s="142"/>
      <c r="B230" s="143"/>
      <c r="C230" s="142"/>
      <c r="D230" s="380">
        <v>10000</v>
      </c>
      <c r="E230" s="381"/>
      <c r="F230" s="381"/>
      <c r="G230" s="136">
        <v>240</v>
      </c>
      <c r="H230" s="137" t="s">
        <v>542</v>
      </c>
      <c r="I230" s="138">
        <v>27</v>
      </c>
      <c r="J230" s="139">
        <v>8</v>
      </c>
      <c r="K230" s="139"/>
      <c r="L230" s="140"/>
      <c r="M230" s="141"/>
      <c r="N230" s="141"/>
      <c r="O230" s="141"/>
      <c r="P230" s="138"/>
      <c r="Q230" s="213">
        <f>Q231</f>
        <v>28683.5</v>
      </c>
      <c r="R230" s="213">
        <f>R231</f>
        <v>26972.6</v>
      </c>
    </row>
    <row r="231" spans="1:18" s="179" customFormat="1" ht="25.5" customHeight="1">
      <c r="A231" s="142"/>
      <c r="B231" s="143"/>
      <c r="C231" s="153"/>
      <c r="D231" s="150"/>
      <c r="E231" s="379">
        <v>15200</v>
      </c>
      <c r="F231" s="379"/>
      <c r="G231" s="136">
        <v>240</v>
      </c>
      <c r="H231" s="137" t="s">
        <v>381</v>
      </c>
      <c r="I231" s="138">
        <v>27</v>
      </c>
      <c r="J231" s="139">
        <v>8</v>
      </c>
      <c r="K231" s="139">
        <v>1</v>
      </c>
      <c r="L231" s="140"/>
      <c r="M231" s="141"/>
      <c r="N231" s="141"/>
      <c r="O231" s="141"/>
      <c r="P231" s="138"/>
      <c r="Q231" s="213">
        <f>Q232</f>
        <v>28683.5</v>
      </c>
      <c r="R231" s="213">
        <f>R232</f>
        <v>26972.6</v>
      </c>
    </row>
    <row r="232" spans="1:18" ht="25.5" customHeight="1">
      <c r="A232" s="99"/>
      <c r="B232" s="98"/>
      <c r="C232" s="103"/>
      <c r="D232" s="101"/>
      <c r="E232" s="367">
        <v>20400</v>
      </c>
      <c r="F232" s="367"/>
      <c r="G232" s="89">
        <v>850</v>
      </c>
      <c r="H232" s="5" t="s">
        <v>665</v>
      </c>
      <c r="I232" s="10">
        <v>27</v>
      </c>
      <c r="J232" s="16">
        <v>8</v>
      </c>
      <c r="K232" s="16">
        <v>1</v>
      </c>
      <c r="L232" s="95" t="s">
        <v>666</v>
      </c>
      <c r="M232" s="96" t="s">
        <v>563</v>
      </c>
      <c r="N232" s="96" t="s">
        <v>583</v>
      </c>
      <c r="O232" s="96" t="s">
        <v>620</v>
      </c>
      <c r="P232" s="10"/>
      <c r="Q232" s="214">
        <f>Q233+Q242+Q247</f>
        <v>28683.5</v>
      </c>
      <c r="R232" s="214">
        <f>R233+R242+R247</f>
        <v>26972.6</v>
      </c>
    </row>
    <row r="233" spans="1:18" ht="39.75" customHeight="1">
      <c r="A233" s="99"/>
      <c r="B233" s="98"/>
      <c r="C233" s="103"/>
      <c r="D233" s="101"/>
      <c r="E233" s="113"/>
      <c r="F233" s="113"/>
      <c r="G233" s="105">
        <v>120</v>
      </c>
      <c r="H233" s="18" t="s">
        <v>301</v>
      </c>
      <c r="I233" s="6">
        <v>27</v>
      </c>
      <c r="J233" s="16">
        <v>8</v>
      </c>
      <c r="K233" s="16">
        <v>1</v>
      </c>
      <c r="L233" s="95" t="s">
        <v>666</v>
      </c>
      <c r="M233" s="96" t="s">
        <v>563</v>
      </c>
      <c r="N233" s="96" t="s">
        <v>564</v>
      </c>
      <c r="O233" s="96" t="s">
        <v>620</v>
      </c>
      <c r="P233" s="6"/>
      <c r="Q233" s="216">
        <f>Q234+Q238+Q240+Q236</f>
        <v>14682.6</v>
      </c>
      <c r="R233" s="216">
        <f>R234+R238+R240+R236</f>
        <v>14521.6</v>
      </c>
    </row>
    <row r="234" spans="1:18" ht="25.5" customHeight="1">
      <c r="A234" s="99"/>
      <c r="B234" s="98"/>
      <c r="C234" s="103"/>
      <c r="D234" s="101"/>
      <c r="E234" s="113"/>
      <c r="F234" s="113"/>
      <c r="G234" s="105"/>
      <c r="H234" s="18" t="s">
        <v>303</v>
      </c>
      <c r="I234" s="10">
        <v>27</v>
      </c>
      <c r="J234" s="16">
        <v>8</v>
      </c>
      <c r="K234" s="16">
        <v>1</v>
      </c>
      <c r="L234" s="95" t="s">
        <v>666</v>
      </c>
      <c r="M234" s="96" t="s">
        <v>563</v>
      </c>
      <c r="N234" s="96" t="s">
        <v>564</v>
      </c>
      <c r="O234" s="96" t="s">
        <v>302</v>
      </c>
      <c r="P234" s="6"/>
      <c r="Q234" s="216">
        <f>Q235</f>
        <v>10261.7</v>
      </c>
      <c r="R234" s="216">
        <f>R235</f>
        <v>9638.6</v>
      </c>
    </row>
    <row r="235" spans="1:18" ht="24.75" customHeight="1">
      <c r="A235" s="99"/>
      <c r="B235" s="98"/>
      <c r="C235" s="103"/>
      <c r="D235" s="101"/>
      <c r="E235" s="113"/>
      <c r="F235" s="113"/>
      <c r="G235" s="105"/>
      <c r="H235" s="257" t="s">
        <v>722</v>
      </c>
      <c r="I235" s="10">
        <v>27</v>
      </c>
      <c r="J235" s="16">
        <v>8</v>
      </c>
      <c r="K235" s="16">
        <v>1</v>
      </c>
      <c r="L235" s="95" t="s">
        <v>666</v>
      </c>
      <c r="M235" s="96" t="s">
        <v>563</v>
      </c>
      <c r="N235" s="96" t="s">
        <v>564</v>
      </c>
      <c r="O235" s="96" t="s">
        <v>302</v>
      </c>
      <c r="P235" s="6">
        <v>610</v>
      </c>
      <c r="Q235" s="216">
        <f>10504.1-242.4</f>
        <v>10261.7</v>
      </c>
      <c r="R235" s="216">
        <f>9881-242.4</f>
        <v>9638.6</v>
      </c>
    </row>
    <row r="236" spans="1:18" ht="33.75" customHeight="1">
      <c r="A236" s="99"/>
      <c r="B236" s="98"/>
      <c r="C236" s="103"/>
      <c r="D236" s="101"/>
      <c r="E236" s="113"/>
      <c r="F236" s="113"/>
      <c r="G236" s="105"/>
      <c r="H236" s="257" t="s">
        <v>61</v>
      </c>
      <c r="I236" s="10">
        <v>27</v>
      </c>
      <c r="J236" s="16">
        <v>8</v>
      </c>
      <c r="K236" s="16">
        <v>1</v>
      </c>
      <c r="L236" s="95" t="s">
        <v>666</v>
      </c>
      <c r="M236" s="96" t="s">
        <v>563</v>
      </c>
      <c r="N236" s="96" t="s">
        <v>564</v>
      </c>
      <c r="O236" s="96" t="s">
        <v>60</v>
      </c>
      <c r="P236" s="6"/>
      <c r="Q236" s="216">
        <f>Q237</f>
        <v>1656.9</v>
      </c>
      <c r="R236" s="216">
        <f>R237</f>
        <v>2119</v>
      </c>
    </row>
    <row r="237" spans="1:18" ht="24.75" customHeight="1">
      <c r="A237" s="99"/>
      <c r="B237" s="98"/>
      <c r="C237" s="103"/>
      <c r="D237" s="101"/>
      <c r="E237" s="113"/>
      <c r="F237" s="113"/>
      <c r="G237" s="105"/>
      <c r="H237" s="257" t="s">
        <v>722</v>
      </c>
      <c r="I237" s="10">
        <v>27</v>
      </c>
      <c r="J237" s="16">
        <v>8</v>
      </c>
      <c r="K237" s="16">
        <v>1</v>
      </c>
      <c r="L237" s="95" t="s">
        <v>666</v>
      </c>
      <c r="M237" s="96" t="s">
        <v>563</v>
      </c>
      <c r="N237" s="96" t="s">
        <v>564</v>
      </c>
      <c r="O237" s="96" t="s">
        <v>60</v>
      </c>
      <c r="P237" s="6">
        <v>610</v>
      </c>
      <c r="Q237" s="216">
        <v>1656.9</v>
      </c>
      <c r="R237" s="216">
        <v>2119</v>
      </c>
    </row>
    <row r="238" spans="1:18" ht="24.75" customHeight="1">
      <c r="A238" s="99"/>
      <c r="B238" s="98"/>
      <c r="C238" s="103"/>
      <c r="D238" s="101"/>
      <c r="E238" s="113"/>
      <c r="F238" s="113"/>
      <c r="G238" s="105"/>
      <c r="H238" s="5" t="s">
        <v>813</v>
      </c>
      <c r="I238" s="10">
        <v>27</v>
      </c>
      <c r="J238" s="16">
        <v>8</v>
      </c>
      <c r="K238" s="16">
        <v>1</v>
      </c>
      <c r="L238" s="95" t="s">
        <v>666</v>
      </c>
      <c r="M238" s="96" t="s">
        <v>563</v>
      </c>
      <c r="N238" s="96" t="s">
        <v>564</v>
      </c>
      <c r="O238" s="96" t="s">
        <v>812</v>
      </c>
      <c r="P238" s="6"/>
      <c r="Q238" s="216">
        <f>Q239</f>
        <v>340</v>
      </c>
      <c r="R238" s="216">
        <f>R239</f>
        <v>340</v>
      </c>
    </row>
    <row r="239" spans="1:18" ht="24" customHeight="1">
      <c r="A239" s="99"/>
      <c r="B239" s="98"/>
      <c r="C239" s="103"/>
      <c r="D239" s="101"/>
      <c r="E239" s="113"/>
      <c r="F239" s="113"/>
      <c r="G239" s="105"/>
      <c r="H239" s="257" t="s">
        <v>722</v>
      </c>
      <c r="I239" s="10">
        <v>27</v>
      </c>
      <c r="J239" s="16">
        <v>8</v>
      </c>
      <c r="K239" s="16">
        <v>1</v>
      </c>
      <c r="L239" s="95" t="s">
        <v>666</v>
      </c>
      <c r="M239" s="96" t="s">
        <v>563</v>
      </c>
      <c r="N239" s="96" t="s">
        <v>564</v>
      </c>
      <c r="O239" s="96" t="s">
        <v>812</v>
      </c>
      <c r="P239" s="6">
        <v>610</v>
      </c>
      <c r="Q239" s="216">
        <v>340</v>
      </c>
      <c r="R239" s="216">
        <v>340</v>
      </c>
    </row>
    <row r="240" spans="1:18" ht="27" customHeight="1">
      <c r="A240" s="99"/>
      <c r="B240" s="98"/>
      <c r="C240" s="103"/>
      <c r="D240" s="101"/>
      <c r="E240" s="113"/>
      <c r="F240" s="113"/>
      <c r="G240" s="105"/>
      <c r="H240" s="5" t="s">
        <v>675</v>
      </c>
      <c r="I240" s="10">
        <v>27</v>
      </c>
      <c r="J240" s="16">
        <v>8</v>
      </c>
      <c r="K240" s="16">
        <v>1</v>
      </c>
      <c r="L240" s="95" t="s">
        <v>666</v>
      </c>
      <c r="M240" s="96" t="s">
        <v>563</v>
      </c>
      <c r="N240" s="96" t="s">
        <v>564</v>
      </c>
      <c r="O240" s="96" t="s">
        <v>6</v>
      </c>
      <c r="P240" s="6"/>
      <c r="Q240" s="216">
        <f>Q241</f>
        <v>2424</v>
      </c>
      <c r="R240" s="216">
        <f>R241</f>
        <v>2424</v>
      </c>
    </row>
    <row r="241" spans="1:18" ht="30" customHeight="1">
      <c r="A241" s="99"/>
      <c r="B241" s="98"/>
      <c r="C241" s="103"/>
      <c r="D241" s="101"/>
      <c r="E241" s="113"/>
      <c r="F241" s="113"/>
      <c r="G241" s="105"/>
      <c r="H241" s="257" t="s">
        <v>722</v>
      </c>
      <c r="I241" s="10">
        <v>27</v>
      </c>
      <c r="J241" s="16">
        <v>8</v>
      </c>
      <c r="K241" s="16">
        <v>1</v>
      </c>
      <c r="L241" s="95" t="s">
        <v>666</v>
      </c>
      <c r="M241" s="96" t="s">
        <v>563</v>
      </c>
      <c r="N241" s="96" t="s">
        <v>564</v>
      </c>
      <c r="O241" s="96" t="s">
        <v>6</v>
      </c>
      <c r="P241" s="6">
        <v>610</v>
      </c>
      <c r="Q241" s="216">
        <f>2181.6+242.4</f>
        <v>2424</v>
      </c>
      <c r="R241" s="216">
        <f>2181.6+242.4</f>
        <v>2424</v>
      </c>
    </row>
    <row r="242" spans="1:18" ht="32.25" customHeight="1">
      <c r="A242" s="99"/>
      <c r="B242" s="98"/>
      <c r="C242" s="103"/>
      <c r="D242" s="101"/>
      <c r="E242" s="113"/>
      <c r="F242" s="113"/>
      <c r="G242" s="105"/>
      <c r="H242" s="5" t="s">
        <v>676</v>
      </c>
      <c r="I242" s="10">
        <v>27</v>
      </c>
      <c r="J242" s="16">
        <v>8</v>
      </c>
      <c r="K242" s="16">
        <v>1</v>
      </c>
      <c r="L242" s="95" t="s">
        <v>666</v>
      </c>
      <c r="M242" s="96" t="s">
        <v>563</v>
      </c>
      <c r="N242" s="96" t="s">
        <v>592</v>
      </c>
      <c r="O242" s="96" t="s">
        <v>620</v>
      </c>
      <c r="P242" s="6"/>
      <c r="Q242" s="216">
        <f>Q243+Q245</f>
        <v>14000.900000000001</v>
      </c>
      <c r="R242" s="216">
        <f>R243+R245</f>
        <v>12451</v>
      </c>
    </row>
    <row r="243" spans="1:18" ht="33" customHeight="1">
      <c r="A243" s="99"/>
      <c r="B243" s="98"/>
      <c r="C243" s="103"/>
      <c r="D243" s="101"/>
      <c r="E243" s="113"/>
      <c r="F243" s="113"/>
      <c r="G243" s="105"/>
      <c r="H243" s="5" t="s">
        <v>262</v>
      </c>
      <c r="I243" s="10">
        <v>27</v>
      </c>
      <c r="J243" s="16">
        <v>8</v>
      </c>
      <c r="K243" s="16">
        <v>1</v>
      </c>
      <c r="L243" s="95" t="s">
        <v>666</v>
      </c>
      <c r="M243" s="96" t="s">
        <v>563</v>
      </c>
      <c r="N243" s="96" t="s">
        <v>592</v>
      </c>
      <c r="O243" s="96" t="s">
        <v>263</v>
      </c>
      <c r="P243" s="6"/>
      <c r="Q243" s="216">
        <f>Q244</f>
        <v>10383.2</v>
      </c>
      <c r="R243" s="216">
        <f>R244</f>
        <v>7824.2</v>
      </c>
    </row>
    <row r="244" spans="1:18" ht="27" customHeight="1">
      <c r="A244" s="99"/>
      <c r="B244" s="98"/>
      <c r="C244" s="103"/>
      <c r="D244" s="101"/>
      <c r="E244" s="113"/>
      <c r="F244" s="113"/>
      <c r="G244" s="105"/>
      <c r="H244" s="5" t="s">
        <v>722</v>
      </c>
      <c r="I244" s="10">
        <v>27</v>
      </c>
      <c r="J244" s="16">
        <v>8</v>
      </c>
      <c r="K244" s="16">
        <v>1</v>
      </c>
      <c r="L244" s="95" t="s">
        <v>666</v>
      </c>
      <c r="M244" s="96" t="s">
        <v>563</v>
      </c>
      <c r="N244" s="96" t="s">
        <v>592</v>
      </c>
      <c r="O244" s="96" t="s">
        <v>263</v>
      </c>
      <c r="P244" s="6">
        <v>610</v>
      </c>
      <c r="Q244" s="216">
        <v>10383.2</v>
      </c>
      <c r="R244" s="216">
        <v>7824.2</v>
      </c>
    </row>
    <row r="245" spans="1:18" ht="35.25" customHeight="1">
      <c r="A245" s="99"/>
      <c r="B245" s="98"/>
      <c r="C245" s="103"/>
      <c r="D245" s="101"/>
      <c r="E245" s="113"/>
      <c r="F245" s="113"/>
      <c r="G245" s="105"/>
      <c r="H245" s="5" t="s">
        <v>61</v>
      </c>
      <c r="I245" s="10">
        <v>27</v>
      </c>
      <c r="J245" s="16">
        <v>8</v>
      </c>
      <c r="K245" s="16">
        <v>1</v>
      </c>
      <c r="L245" s="95" t="s">
        <v>666</v>
      </c>
      <c r="M245" s="96" t="s">
        <v>563</v>
      </c>
      <c r="N245" s="96" t="s">
        <v>592</v>
      </c>
      <c r="O245" s="96" t="s">
        <v>60</v>
      </c>
      <c r="P245" s="6"/>
      <c r="Q245" s="216">
        <f>Q246</f>
        <v>3617.7</v>
      </c>
      <c r="R245" s="216">
        <f>R246</f>
        <v>4626.8</v>
      </c>
    </row>
    <row r="246" spans="1:18" ht="27" customHeight="1">
      <c r="A246" s="99"/>
      <c r="B246" s="98"/>
      <c r="C246" s="103"/>
      <c r="D246" s="101"/>
      <c r="E246" s="113"/>
      <c r="F246" s="113"/>
      <c r="G246" s="105"/>
      <c r="H246" s="5" t="s">
        <v>722</v>
      </c>
      <c r="I246" s="10">
        <v>27</v>
      </c>
      <c r="J246" s="16">
        <v>8</v>
      </c>
      <c r="K246" s="16">
        <v>1</v>
      </c>
      <c r="L246" s="95" t="s">
        <v>666</v>
      </c>
      <c r="M246" s="96" t="s">
        <v>563</v>
      </c>
      <c r="N246" s="96" t="s">
        <v>592</v>
      </c>
      <c r="O246" s="96" t="s">
        <v>60</v>
      </c>
      <c r="P246" s="6">
        <v>610</v>
      </c>
      <c r="Q246" s="216">
        <v>3617.7</v>
      </c>
      <c r="R246" s="216">
        <v>4626.8</v>
      </c>
    </row>
    <row r="247" spans="1:18" ht="42" customHeight="1" hidden="1">
      <c r="A247" s="99"/>
      <c r="B247" s="98"/>
      <c r="C247" s="103"/>
      <c r="D247" s="101"/>
      <c r="E247" s="113"/>
      <c r="F247" s="113"/>
      <c r="G247" s="105"/>
      <c r="H247" s="5" t="s">
        <v>368</v>
      </c>
      <c r="I247" s="10">
        <v>27</v>
      </c>
      <c r="J247" s="16">
        <v>8</v>
      </c>
      <c r="K247" s="16">
        <v>1</v>
      </c>
      <c r="L247" s="95" t="s">
        <v>666</v>
      </c>
      <c r="M247" s="96" t="s">
        <v>563</v>
      </c>
      <c r="N247" s="96" t="s">
        <v>593</v>
      </c>
      <c r="O247" s="96" t="s">
        <v>620</v>
      </c>
      <c r="P247" s="6"/>
      <c r="Q247" s="216">
        <f>Q248+Q250+Q252</f>
        <v>0</v>
      </c>
      <c r="R247" s="216">
        <f>R248+R250+R252</f>
        <v>0</v>
      </c>
    </row>
    <row r="248" spans="1:18" ht="24" customHeight="1" hidden="1">
      <c r="A248" s="99"/>
      <c r="B248" s="98"/>
      <c r="C248" s="103"/>
      <c r="D248" s="101"/>
      <c r="E248" s="113"/>
      <c r="F248" s="113"/>
      <c r="G248" s="105"/>
      <c r="H248" s="5" t="s">
        <v>677</v>
      </c>
      <c r="I248" s="10">
        <v>27</v>
      </c>
      <c r="J248" s="16">
        <v>8</v>
      </c>
      <c r="K248" s="16">
        <v>1</v>
      </c>
      <c r="L248" s="95" t="s">
        <v>666</v>
      </c>
      <c r="M248" s="96" t="s">
        <v>563</v>
      </c>
      <c r="N248" s="96" t="s">
        <v>593</v>
      </c>
      <c r="O248" s="96" t="s">
        <v>674</v>
      </c>
      <c r="P248" s="6"/>
      <c r="Q248" s="216">
        <f>Q249</f>
        <v>0</v>
      </c>
      <c r="R248" s="216">
        <f>R249</f>
        <v>0</v>
      </c>
    </row>
    <row r="249" spans="1:18" ht="27.75" customHeight="1" hidden="1">
      <c r="A249" s="99"/>
      <c r="B249" s="98"/>
      <c r="C249" s="103"/>
      <c r="D249" s="107"/>
      <c r="E249" s="104"/>
      <c r="F249" s="104"/>
      <c r="G249" s="105"/>
      <c r="H249" s="5" t="s">
        <v>720</v>
      </c>
      <c r="I249" s="13">
        <v>27</v>
      </c>
      <c r="J249" s="16">
        <v>8</v>
      </c>
      <c r="K249" s="16">
        <v>1</v>
      </c>
      <c r="L249" s="95" t="s">
        <v>666</v>
      </c>
      <c r="M249" s="96" t="s">
        <v>563</v>
      </c>
      <c r="N249" s="96" t="s">
        <v>593</v>
      </c>
      <c r="O249" s="96" t="s">
        <v>674</v>
      </c>
      <c r="P249" s="6">
        <v>240</v>
      </c>
      <c r="Q249" s="216">
        <v>0</v>
      </c>
      <c r="R249" s="216">
        <v>0</v>
      </c>
    </row>
    <row r="250" spans="1:18" ht="26.25" customHeight="1" hidden="1">
      <c r="A250" s="99"/>
      <c r="B250" s="98"/>
      <c r="C250" s="103"/>
      <c r="D250" s="107"/>
      <c r="E250" s="104"/>
      <c r="F250" s="104"/>
      <c r="G250" s="105"/>
      <c r="H250" s="5" t="s">
        <v>294</v>
      </c>
      <c r="I250" s="13">
        <v>27</v>
      </c>
      <c r="J250" s="16">
        <v>8</v>
      </c>
      <c r="K250" s="16">
        <v>1</v>
      </c>
      <c r="L250" s="95" t="s">
        <v>666</v>
      </c>
      <c r="M250" s="96" t="s">
        <v>563</v>
      </c>
      <c r="N250" s="96" t="s">
        <v>593</v>
      </c>
      <c r="O250" s="96" t="s">
        <v>295</v>
      </c>
      <c r="P250" s="6"/>
      <c r="Q250" s="216">
        <f>Q251</f>
        <v>0</v>
      </c>
      <c r="R250" s="216">
        <f>R251</f>
        <v>0</v>
      </c>
    </row>
    <row r="251" spans="1:18" ht="27.75" customHeight="1" hidden="1">
      <c r="A251" s="99"/>
      <c r="B251" s="98"/>
      <c r="C251" s="103"/>
      <c r="D251" s="109"/>
      <c r="E251" s="104"/>
      <c r="F251" s="104"/>
      <c r="G251" s="105">
        <v>850</v>
      </c>
      <c r="H251" s="18" t="s">
        <v>722</v>
      </c>
      <c r="I251" s="13">
        <v>27</v>
      </c>
      <c r="J251" s="16">
        <v>8</v>
      </c>
      <c r="K251" s="16">
        <v>1</v>
      </c>
      <c r="L251" s="95" t="s">
        <v>666</v>
      </c>
      <c r="M251" s="96" t="s">
        <v>563</v>
      </c>
      <c r="N251" s="96" t="s">
        <v>593</v>
      </c>
      <c r="O251" s="96" t="s">
        <v>295</v>
      </c>
      <c r="P251" s="6">
        <v>610</v>
      </c>
      <c r="Q251" s="216">
        <v>0</v>
      </c>
      <c r="R251" s="216">
        <v>0</v>
      </c>
    </row>
    <row r="252" spans="1:18" ht="33.75" customHeight="1" hidden="1">
      <c r="A252" s="99"/>
      <c r="B252" s="98"/>
      <c r="C252" s="97"/>
      <c r="D252" s="363">
        <v>4360000</v>
      </c>
      <c r="E252" s="364"/>
      <c r="F252" s="364"/>
      <c r="G252" s="89">
        <v>340</v>
      </c>
      <c r="H252" s="313" t="s">
        <v>797</v>
      </c>
      <c r="I252" s="10">
        <v>27</v>
      </c>
      <c r="J252" s="16">
        <v>8</v>
      </c>
      <c r="K252" s="16">
        <v>1</v>
      </c>
      <c r="L252" s="95" t="s">
        <v>666</v>
      </c>
      <c r="M252" s="96" t="s">
        <v>563</v>
      </c>
      <c r="N252" s="96" t="s">
        <v>593</v>
      </c>
      <c r="O252" s="96" t="s">
        <v>796</v>
      </c>
      <c r="P252" s="10"/>
      <c r="Q252" s="214">
        <f>Q253</f>
        <v>0</v>
      </c>
      <c r="R252" s="214">
        <f>R253</f>
        <v>0</v>
      </c>
    </row>
    <row r="253" spans="1:18" ht="20.25" customHeight="1" hidden="1">
      <c r="A253" s="99"/>
      <c r="B253" s="98"/>
      <c r="C253" s="97"/>
      <c r="D253" s="101"/>
      <c r="E253" s="100"/>
      <c r="F253" s="100"/>
      <c r="G253" s="89"/>
      <c r="H253" s="5" t="s">
        <v>722</v>
      </c>
      <c r="I253" s="13">
        <v>27</v>
      </c>
      <c r="J253" s="16">
        <v>8</v>
      </c>
      <c r="K253" s="16">
        <v>1</v>
      </c>
      <c r="L253" s="95" t="s">
        <v>666</v>
      </c>
      <c r="M253" s="96" t="s">
        <v>563</v>
      </c>
      <c r="N253" s="96" t="s">
        <v>593</v>
      </c>
      <c r="O253" s="96" t="s">
        <v>796</v>
      </c>
      <c r="P253" s="10">
        <v>610</v>
      </c>
      <c r="Q253" s="214">
        <v>0</v>
      </c>
      <c r="R253" s="214">
        <v>0</v>
      </c>
    </row>
    <row r="254" spans="1:18" s="179" customFormat="1" ht="21" customHeight="1">
      <c r="A254" s="142"/>
      <c r="B254" s="143"/>
      <c r="C254" s="153"/>
      <c r="D254" s="150"/>
      <c r="E254" s="154"/>
      <c r="F254" s="154"/>
      <c r="G254" s="155"/>
      <c r="H254" s="149" t="s">
        <v>622</v>
      </c>
      <c r="I254" s="138">
        <v>27</v>
      </c>
      <c r="J254" s="139">
        <v>9</v>
      </c>
      <c r="K254" s="139" t="s">
        <v>621</v>
      </c>
      <c r="L254" s="140"/>
      <c r="M254" s="141"/>
      <c r="N254" s="141"/>
      <c r="O254" s="141"/>
      <c r="P254" s="146"/>
      <c r="Q254" s="217">
        <f>Q255</f>
        <v>81.3</v>
      </c>
      <c r="R254" s="217">
        <f>R255</f>
        <v>81.3</v>
      </c>
    </row>
    <row r="255" spans="1:18" s="179" customFormat="1" ht="21" customHeight="1">
      <c r="A255" s="142"/>
      <c r="B255" s="143"/>
      <c r="C255" s="153"/>
      <c r="D255" s="150"/>
      <c r="E255" s="154"/>
      <c r="F255" s="154"/>
      <c r="G255" s="155"/>
      <c r="H255" s="149" t="s">
        <v>567</v>
      </c>
      <c r="I255" s="146">
        <v>27</v>
      </c>
      <c r="J255" s="139">
        <v>9</v>
      </c>
      <c r="K255" s="139">
        <v>7</v>
      </c>
      <c r="L255" s="139" t="s">
        <v>534</v>
      </c>
      <c r="M255" s="141" t="s">
        <v>534</v>
      </c>
      <c r="N255" s="141"/>
      <c r="O255" s="141" t="s">
        <v>534</v>
      </c>
      <c r="P255" s="146"/>
      <c r="Q255" s="213">
        <f>Q256</f>
        <v>81.3</v>
      </c>
      <c r="R255" s="213">
        <f>R256</f>
        <v>81.3</v>
      </c>
    </row>
    <row r="256" spans="1:18" ht="48" customHeight="1">
      <c r="A256" s="99"/>
      <c r="B256" s="98"/>
      <c r="C256" s="103"/>
      <c r="D256" s="101"/>
      <c r="E256" s="113"/>
      <c r="F256" s="113"/>
      <c r="G256" s="105"/>
      <c r="H256" s="34" t="s">
        <v>719</v>
      </c>
      <c r="I256" s="6">
        <v>27</v>
      </c>
      <c r="J256" s="16">
        <v>9</v>
      </c>
      <c r="K256" s="16">
        <v>7</v>
      </c>
      <c r="L256" s="16">
        <v>91</v>
      </c>
      <c r="M256" s="96" t="s">
        <v>563</v>
      </c>
      <c r="N256" s="96" t="s">
        <v>583</v>
      </c>
      <c r="O256" s="96" t="s">
        <v>650</v>
      </c>
      <c r="P256" s="6"/>
      <c r="Q256" s="214">
        <v>81.3</v>
      </c>
      <c r="R256" s="214">
        <v>81.3</v>
      </c>
    </row>
    <row r="257" spans="1:18" ht="27" customHeight="1">
      <c r="A257" s="99"/>
      <c r="B257" s="98"/>
      <c r="C257" s="103"/>
      <c r="D257" s="101"/>
      <c r="E257" s="113"/>
      <c r="F257" s="113"/>
      <c r="G257" s="105"/>
      <c r="H257" s="34" t="s">
        <v>720</v>
      </c>
      <c r="I257" s="6">
        <v>27</v>
      </c>
      <c r="J257" s="16">
        <v>9</v>
      </c>
      <c r="K257" s="16">
        <v>7</v>
      </c>
      <c r="L257" s="16">
        <v>91</v>
      </c>
      <c r="M257" s="96" t="s">
        <v>563</v>
      </c>
      <c r="N257" s="96" t="s">
        <v>583</v>
      </c>
      <c r="O257" s="96" t="s">
        <v>650</v>
      </c>
      <c r="P257" s="6">
        <v>240</v>
      </c>
      <c r="Q257" s="214">
        <v>74.5</v>
      </c>
      <c r="R257" s="214">
        <v>74.5</v>
      </c>
    </row>
    <row r="258" spans="1:18" s="179" customFormat="1" ht="24" customHeight="1">
      <c r="A258" s="142"/>
      <c r="B258" s="143"/>
      <c r="C258" s="153"/>
      <c r="D258" s="150"/>
      <c r="E258" s="154"/>
      <c r="F258" s="154"/>
      <c r="G258" s="155">
        <v>321</v>
      </c>
      <c r="H258" s="149" t="s">
        <v>541</v>
      </c>
      <c r="I258" s="152">
        <v>27</v>
      </c>
      <c r="J258" s="156">
        <v>10</v>
      </c>
      <c r="K258" s="139"/>
      <c r="L258" s="140"/>
      <c r="M258" s="141"/>
      <c r="N258" s="141"/>
      <c r="O258" s="141"/>
      <c r="P258" s="146"/>
      <c r="Q258" s="217">
        <f>Q259+Q262+Q274</f>
        <v>5708.6</v>
      </c>
      <c r="R258" s="217">
        <f>R259+R262+R274</f>
        <v>5708</v>
      </c>
    </row>
    <row r="259" spans="1:18" s="179" customFormat="1" ht="18.75" customHeight="1">
      <c r="A259" s="142"/>
      <c r="B259" s="143"/>
      <c r="C259" s="153"/>
      <c r="D259" s="150"/>
      <c r="E259" s="154"/>
      <c r="F259" s="154"/>
      <c r="G259" s="155">
        <v>612</v>
      </c>
      <c r="H259" s="149" t="s">
        <v>380</v>
      </c>
      <c r="I259" s="152">
        <v>27</v>
      </c>
      <c r="J259" s="156">
        <v>10</v>
      </c>
      <c r="K259" s="139">
        <v>1</v>
      </c>
      <c r="L259" s="140"/>
      <c r="M259" s="141"/>
      <c r="N259" s="141"/>
      <c r="O259" s="141"/>
      <c r="P259" s="146"/>
      <c r="Q259" s="217">
        <f>Q260</f>
        <v>2100</v>
      </c>
      <c r="R259" s="217">
        <f>R260</f>
        <v>2100</v>
      </c>
    </row>
    <row r="260" spans="1:18" ht="30.75" customHeight="1">
      <c r="A260" s="99"/>
      <c r="B260" s="98"/>
      <c r="C260" s="103"/>
      <c r="D260" s="101"/>
      <c r="E260" s="367">
        <v>4360400</v>
      </c>
      <c r="F260" s="367"/>
      <c r="G260" s="89">
        <v>340</v>
      </c>
      <c r="H260" s="11" t="s">
        <v>304</v>
      </c>
      <c r="I260" s="6">
        <v>27</v>
      </c>
      <c r="J260" s="21">
        <v>10</v>
      </c>
      <c r="K260" s="16">
        <v>1</v>
      </c>
      <c r="L260" s="95" t="s">
        <v>580</v>
      </c>
      <c r="M260" s="96" t="s">
        <v>563</v>
      </c>
      <c r="N260" s="96" t="s">
        <v>583</v>
      </c>
      <c r="O260" s="96" t="s">
        <v>305</v>
      </c>
      <c r="P260" s="10"/>
      <c r="Q260" s="214">
        <f>Q261</f>
        <v>2100</v>
      </c>
      <c r="R260" s="214">
        <f>R261</f>
        <v>2100</v>
      </c>
    </row>
    <row r="261" spans="1:18" ht="30.75" customHeight="1">
      <c r="A261" s="99"/>
      <c r="B261" s="98"/>
      <c r="C261" s="103"/>
      <c r="D261" s="107"/>
      <c r="E261" s="104"/>
      <c r="F261" s="104"/>
      <c r="G261" s="89"/>
      <c r="H261" s="11" t="s">
        <v>725</v>
      </c>
      <c r="I261" s="6">
        <v>27</v>
      </c>
      <c r="J261" s="21">
        <v>10</v>
      </c>
      <c r="K261" s="16">
        <v>1</v>
      </c>
      <c r="L261" s="119" t="s">
        <v>580</v>
      </c>
      <c r="M261" s="120" t="s">
        <v>563</v>
      </c>
      <c r="N261" s="120" t="s">
        <v>583</v>
      </c>
      <c r="O261" s="120" t="s">
        <v>305</v>
      </c>
      <c r="P261" s="10">
        <v>320</v>
      </c>
      <c r="Q261" s="214">
        <v>2100</v>
      </c>
      <c r="R261" s="214">
        <v>2100</v>
      </c>
    </row>
    <row r="262" spans="1:18" s="179" customFormat="1" ht="27" customHeight="1">
      <c r="A262" s="142"/>
      <c r="B262" s="143"/>
      <c r="C262" s="142"/>
      <c r="D262" s="380">
        <v>4520000</v>
      </c>
      <c r="E262" s="380"/>
      <c r="F262" s="380"/>
      <c r="G262" s="136">
        <v>612</v>
      </c>
      <c r="H262" s="314" t="s">
        <v>540</v>
      </c>
      <c r="I262" s="138">
        <v>27</v>
      </c>
      <c r="J262" s="139">
        <v>10</v>
      </c>
      <c r="K262" s="139">
        <v>3</v>
      </c>
      <c r="L262" s="140"/>
      <c r="M262" s="141"/>
      <c r="N262" s="141"/>
      <c r="O262" s="246"/>
      <c r="P262" s="152"/>
      <c r="Q262" s="218">
        <f>Q263+Q267</f>
        <v>2476.5</v>
      </c>
      <c r="R262" s="218">
        <f>R263+R267</f>
        <v>2475.9</v>
      </c>
    </row>
    <row r="263" spans="1:18" ht="27" customHeight="1">
      <c r="A263" s="99"/>
      <c r="B263" s="98"/>
      <c r="C263" s="97"/>
      <c r="D263" s="107"/>
      <c r="E263" s="102"/>
      <c r="F263" s="102"/>
      <c r="G263" s="89"/>
      <c r="H263" s="191" t="s">
        <v>669</v>
      </c>
      <c r="I263" s="25">
        <v>27</v>
      </c>
      <c r="J263" s="121">
        <v>10</v>
      </c>
      <c r="K263" s="26">
        <v>3</v>
      </c>
      <c r="L263" s="122" t="s">
        <v>668</v>
      </c>
      <c r="M263" s="123" t="s">
        <v>563</v>
      </c>
      <c r="N263" s="123" t="s">
        <v>583</v>
      </c>
      <c r="O263" s="123" t="s">
        <v>620</v>
      </c>
      <c r="P263" s="6"/>
      <c r="Q263" s="214">
        <f aca="true" t="shared" si="7" ref="Q263:R265">Q264</f>
        <v>170.5</v>
      </c>
      <c r="R263" s="214">
        <f t="shared" si="7"/>
        <v>169.9</v>
      </c>
    </row>
    <row r="264" spans="1:18" ht="29.25" customHeight="1">
      <c r="A264" s="99"/>
      <c r="B264" s="98"/>
      <c r="C264" s="97"/>
      <c r="D264" s="107"/>
      <c r="E264" s="102"/>
      <c r="F264" s="102"/>
      <c r="G264" s="89"/>
      <c r="H264" s="191" t="s">
        <v>678</v>
      </c>
      <c r="I264" s="25">
        <v>27</v>
      </c>
      <c r="J264" s="121">
        <v>10</v>
      </c>
      <c r="K264" s="26">
        <v>3</v>
      </c>
      <c r="L264" s="122" t="s">
        <v>668</v>
      </c>
      <c r="M264" s="123" t="s">
        <v>563</v>
      </c>
      <c r="N264" s="123" t="s">
        <v>588</v>
      </c>
      <c r="O264" s="123" t="s">
        <v>620</v>
      </c>
      <c r="P264" s="6"/>
      <c r="Q264" s="214">
        <f t="shared" si="7"/>
        <v>170.5</v>
      </c>
      <c r="R264" s="214">
        <f t="shared" si="7"/>
        <v>169.9</v>
      </c>
    </row>
    <row r="265" spans="1:18" ht="21.75" customHeight="1">
      <c r="A265" s="99"/>
      <c r="B265" s="98"/>
      <c r="C265" s="97"/>
      <c r="D265" s="107"/>
      <c r="E265" s="102"/>
      <c r="F265" s="102"/>
      <c r="G265" s="89"/>
      <c r="H265" s="191" t="s">
        <v>679</v>
      </c>
      <c r="I265" s="25">
        <v>27</v>
      </c>
      <c r="J265" s="121">
        <v>10</v>
      </c>
      <c r="K265" s="26">
        <v>3</v>
      </c>
      <c r="L265" s="122" t="s">
        <v>668</v>
      </c>
      <c r="M265" s="123" t="s">
        <v>563</v>
      </c>
      <c r="N265" s="123" t="s">
        <v>588</v>
      </c>
      <c r="O265" s="123" t="s">
        <v>272</v>
      </c>
      <c r="P265" s="6"/>
      <c r="Q265" s="214">
        <f t="shared" si="7"/>
        <v>170.5</v>
      </c>
      <c r="R265" s="214">
        <f t="shared" si="7"/>
        <v>169.9</v>
      </c>
    </row>
    <row r="266" spans="1:18" ht="29.25" customHeight="1">
      <c r="A266" s="99"/>
      <c r="B266" s="98"/>
      <c r="C266" s="97"/>
      <c r="D266" s="107"/>
      <c r="E266" s="102"/>
      <c r="F266" s="102"/>
      <c r="G266" s="89"/>
      <c r="H266" s="34" t="s">
        <v>725</v>
      </c>
      <c r="I266" s="25">
        <v>27</v>
      </c>
      <c r="J266" s="121">
        <v>10</v>
      </c>
      <c r="K266" s="26">
        <v>3</v>
      </c>
      <c r="L266" s="122" t="s">
        <v>668</v>
      </c>
      <c r="M266" s="123" t="s">
        <v>563</v>
      </c>
      <c r="N266" s="123" t="s">
        <v>588</v>
      </c>
      <c r="O266" s="123" t="s">
        <v>272</v>
      </c>
      <c r="P266" s="6">
        <v>320</v>
      </c>
      <c r="Q266" s="214">
        <v>170.5</v>
      </c>
      <c r="R266" s="214">
        <v>169.9</v>
      </c>
    </row>
    <row r="267" spans="1:18" ht="29.25" customHeight="1">
      <c r="A267" s="99"/>
      <c r="B267" s="98"/>
      <c r="C267" s="97"/>
      <c r="D267" s="107"/>
      <c r="E267" s="102"/>
      <c r="F267" s="102"/>
      <c r="G267" s="89"/>
      <c r="H267" s="34" t="s">
        <v>299</v>
      </c>
      <c r="I267" s="25">
        <v>27</v>
      </c>
      <c r="J267" s="121">
        <v>10</v>
      </c>
      <c r="K267" s="26">
        <v>3</v>
      </c>
      <c r="L267" s="122" t="s">
        <v>580</v>
      </c>
      <c r="M267" s="123" t="s">
        <v>563</v>
      </c>
      <c r="N267" s="123" t="s">
        <v>583</v>
      </c>
      <c r="O267" s="123" t="s">
        <v>620</v>
      </c>
      <c r="P267" s="6"/>
      <c r="Q267" s="216">
        <f>Q268+Q270+Q272</f>
        <v>2306</v>
      </c>
      <c r="R267" s="216">
        <f>R268+R270+R272</f>
        <v>2306</v>
      </c>
    </row>
    <row r="268" spans="1:18" ht="57.75" customHeight="1">
      <c r="A268" s="99"/>
      <c r="B268" s="98"/>
      <c r="C268" s="97"/>
      <c r="D268" s="363">
        <v>5220000</v>
      </c>
      <c r="E268" s="364"/>
      <c r="F268" s="364"/>
      <c r="G268" s="89">
        <v>612</v>
      </c>
      <c r="H268" s="11" t="s">
        <v>539</v>
      </c>
      <c r="I268" s="6">
        <v>27</v>
      </c>
      <c r="J268" s="21">
        <v>10</v>
      </c>
      <c r="K268" s="16">
        <v>3</v>
      </c>
      <c r="L268" s="95" t="s">
        <v>580</v>
      </c>
      <c r="M268" s="96" t="s">
        <v>563</v>
      </c>
      <c r="N268" s="96" t="s">
        <v>583</v>
      </c>
      <c r="O268" s="124" t="s">
        <v>651</v>
      </c>
      <c r="P268" s="8"/>
      <c r="Q268" s="216">
        <f>Q269</f>
        <v>1284</v>
      </c>
      <c r="R268" s="216">
        <f>R269</f>
        <v>1284</v>
      </c>
    </row>
    <row r="269" spans="1:18" ht="28.5" customHeight="1">
      <c r="A269" s="99"/>
      <c r="B269" s="98"/>
      <c r="C269" s="97"/>
      <c r="D269" s="101"/>
      <c r="E269" s="100"/>
      <c r="F269" s="100"/>
      <c r="G269" s="89"/>
      <c r="H269" s="11" t="s">
        <v>725</v>
      </c>
      <c r="I269" s="6">
        <v>27</v>
      </c>
      <c r="J269" s="21">
        <v>10</v>
      </c>
      <c r="K269" s="16">
        <v>3</v>
      </c>
      <c r="L269" s="95" t="s">
        <v>580</v>
      </c>
      <c r="M269" s="96" t="s">
        <v>563</v>
      </c>
      <c r="N269" s="96" t="s">
        <v>583</v>
      </c>
      <c r="O269" s="124" t="s">
        <v>651</v>
      </c>
      <c r="P269" s="13">
        <v>320</v>
      </c>
      <c r="Q269" s="214">
        <f>1273.5+10.5</f>
        <v>1284</v>
      </c>
      <c r="R269" s="214">
        <f>1273.5+10.5</f>
        <v>1284</v>
      </c>
    </row>
    <row r="270" spans="1:18" ht="42" customHeight="1">
      <c r="A270" s="99"/>
      <c r="B270" s="98"/>
      <c r="C270" s="103"/>
      <c r="D270" s="101"/>
      <c r="E270" s="113"/>
      <c r="F270" s="113"/>
      <c r="G270" s="89"/>
      <c r="H270" s="11" t="s">
        <v>297</v>
      </c>
      <c r="I270" s="10">
        <v>27</v>
      </c>
      <c r="J270" s="7">
        <v>10</v>
      </c>
      <c r="K270" s="16">
        <v>3</v>
      </c>
      <c r="L270" s="95" t="s">
        <v>580</v>
      </c>
      <c r="M270" s="96" t="s">
        <v>563</v>
      </c>
      <c r="N270" s="96" t="s">
        <v>583</v>
      </c>
      <c r="O270" s="96" t="s">
        <v>296</v>
      </c>
      <c r="P270" s="10"/>
      <c r="Q270" s="214">
        <f>Q271</f>
        <v>642</v>
      </c>
      <c r="R270" s="214">
        <f>R271</f>
        <v>642</v>
      </c>
    </row>
    <row r="271" spans="1:18" ht="32.25" customHeight="1">
      <c r="A271" s="99"/>
      <c r="B271" s="98"/>
      <c r="C271" s="103"/>
      <c r="D271" s="101"/>
      <c r="E271" s="113"/>
      <c r="F271" s="113"/>
      <c r="G271" s="89"/>
      <c r="H271" s="11" t="s">
        <v>725</v>
      </c>
      <c r="I271" s="10">
        <v>27</v>
      </c>
      <c r="J271" s="7">
        <v>10</v>
      </c>
      <c r="K271" s="16">
        <v>3</v>
      </c>
      <c r="L271" s="95" t="s">
        <v>580</v>
      </c>
      <c r="M271" s="96" t="s">
        <v>563</v>
      </c>
      <c r="N271" s="96" t="s">
        <v>583</v>
      </c>
      <c r="O271" s="96" t="s">
        <v>296</v>
      </c>
      <c r="P271" s="10">
        <v>320</v>
      </c>
      <c r="Q271" s="215">
        <f>636.8+5.2</f>
        <v>642</v>
      </c>
      <c r="R271" s="239">
        <f>636.8+5.2</f>
        <v>642</v>
      </c>
    </row>
    <row r="272" spans="1:18" ht="27" customHeight="1">
      <c r="A272" s="99"/>
      <c r="B272" s="98"/>
      <c r="C272" s="103"/>
      <c r="D272" s="101"/>
      <c r="E272" s="113"/>
      <c r="F272" s="113"/>
      <c r="G272" s="89"/>
      <c r="H272" s="5" t="s">
        <v>307</v>
      </c>
      <c r="I272" s="6">
        <v>27</v>
      </c>
      <c r="J272" s="19">
        <v>10</v>
      </c>
      <c r="K272" s="16">
        <v>3</v>
      </c>
      <c r="L272" s="95" t="s">
        <v>580</v>
      </c>
      <c r="M272" s="96" t="s">
        <v>563</v>
      </c>
      <c r="N272" s="96" t="s">
        <v>583</v>
      </c>
      <c r="O272" s="96" t="s">
        <v>306</v>
      </c>
      <c r="P272" s="6"/>
      <c r="Q272" s="214">
        <f>Q273</f>
        <v>380</v>
      </c>
      <c r="R272" s="214">
        <f>R273</f>
        <v>380</v>
      </c>
    </row>
    <row r="273" spans="1:18" ht="27" customHeight="1">
      <c r="A273" s="99"/>
      <c r="B273" s="98"/>
      <c r="C273" s="103"/>
      <c r="D273" s="101"/>
      <c r="E273" s="113"/>
      <c r="F273" s="113"/>
      <c r="G273" s="89"/>
      <c r="H273" s="5" t="s">
        <v>724</v>
      </c>
      <c r="I273" s="8">
        <v>27</v>
      </c>
      <c r="J273" s="19">
        <v>10</v>
      </c>
      <c r="K273" s="16">
        <v>3</v>
      </c>
      <c r="L273" s="95" t="s">
        <v>580</v>
      </c>
      <c r="M273" s="96" t="s">
        <v>563</v>
      </c>
      <c r="N273" s="96" t="s">
        <v>583</v>
      </c>
      <c r="O273" s="96" t="s">
        <v>306</v>
      </c>
      <c r="P273" s="6">
        <v>310</v>
      </c>
      <c r="Q273" s="214">
        <v>380</v>
      </c>
      <c r="R273" s="214">
        <v>380</v>
      </c>
    </row>
    <row r="274" spans="1:18" s="179" customFormat="1" ht="25.5" customHeight="1">
      <c r="A274" s="142"/>
      <c r="B274" s="143"/>
      <c r="C274" s="153"/>
      <c r="D274" s="150"/>
      <c r="E274" s="145"/>
      <c r="F274" s="145"/>
      <c r="G274" s="155">
        <v>622</v>
      </c>
      <c r="H274" s="149" t="s">
        <v>538</v>
      </c>
      <c r="I274" s="152">
        <v>27</v>
      </c>
      <c r="J274" s="156">
        <v>10</v>
      </c>
      <c r="K274" s="139">
        <v>6</v>
      </c>
      <c r="L274" s="185"/>
      <c r="M274" s="186"/>
      <c r="N274" s="186"/>
      <c r="O274" s="186"/>
      <c r="P274" s="146"/>
      <c r="Q274" s="217">
        <f>Q275</f>
        <v>1132.1</v>
      </c>
      <c r="R274" s="217">
        <f>R275</f>
        <v>1132.1</v>
      </c>
    </row>
    <row r="275" spans="1:18" s="179" customFormat="1" ht="25.5" customHeight="1">
      <c r="A275" s="142"/>
      <c r="B275" s="143"/>
      <c r="C275" s="153"/>
      <c r="D275" s="150"/>
      <c r="E275" s="145"/>
      <c r="F275" s="145"/>
      <c r="G275" s="136"/>
      <c r="H275" s="11" t="s">
        <v>299</v>
      </c>
      <c r="I275" s="6">
        <v>27</v>
      </c>
      <c r="J275" s="19">
        <v>10</v>
      </c>
      <c r="K275" s="16">
        <v>6</v>
      </c>
      <c r="L275" s="122" t="s">
        <v>580</v>
      </c>
      <c r="M275" s="123" t="s">
        <v>563</v>
      </c>
      <c r="N275" s="123" t="s">
        <v>583</v>
      </c>
      <c r="O275" s="123" t="s">
        <v>620</v>
      </c>
      <c r="P275" s="6"/>
      <c r="Q275" s="216">
        <f>Q276+Q278+Q280</f>
        <v>1132.1</v>
      </c>
      <c r="R275" s="216">
        <f>R276+R278+R280</f>
        <v>1132.1</v>
      </c>
    </row>
    <row r="276" spans="1:18" ht="30.75" customHeight="1">
      <c r="A276" s="99"/>
      <c r="B276" s="98"/>
      <c r="C276" s="103"/>
      <c r="D276" s="101"/>
      <c r="E276" s="367">
        <v>5225700</v>
      </c>
      <c r="F276" s="367"/>
      <c r="G276" s="89">
        <v>612</v>
      </c>
      <c r="H276" s="11" t="s">
        <v>52</v>
      </c>
      <c r="I276" s="10">
        <v>27</v>
      </c>
      <c r="J276" s="16">
        <v>10</v>
      </c>
      <c r="K276" s="16">
        <v>6</v>
      </c>
      <c r="L276" s="95" t="s">
        <v>580</v>
      </c>
      <c r="M276" s="96" t="s">
        <v>563</v>
      </c>
      <c r="N276" s="96" t="s">
        <v>583</v>
      </c>
      <c r="O276" s="96" t="s">
        <v>51</v>
      </c>
      <c r="P276" s="6"/>
      <c r="Q276" s="216">
        <f>Q277</f>
        <v>45</v>
      </c>
      <c r="R276" s="216">
        <f>R277</f>
        <v>45</v>
      </c>
    </row>
    <row r="277" spans="1:18" ht="21.75" customHeight="1">
      <c r="A277" s="99"/>
      <c r="B277" s="98"/>
      <c r="C277" s="103"/>
      <c r="D277" s="101"/>
      <c r="E277" s="104"/>
      <c r="F277" s="104"/>
      <c r="G277" s="89"/>
      <c r="H277" s="5" t="s">
        <v>524</v>
      </c>
      <c r="I277" s="10">
        <v>27</v>
      </c>
      <c r="J277" s="16">
        <v>10</v>
      </c>
      <c r="K277" s="16">
        <v>6</v>
      </c>
      <c r="L277" s="95" t="s">
        <v>580</v>
      </c>
      <c r="M277" s="96" t="s">
        <v>563</v>
      </c>
      <c r="N277" s="96" t="s">
        <v>583</v>
      </c>
      <c r="O277" s="96" t="s">
        <v>51</v>
      </c>
      <c r="P277" s="10">
        <v>630</v>
      </c>
      <c r="Q277" s="214">
        <v>45</v>
      </c>
      <c r="R277" s="214">
        <v>45</v>
      </c>
    </row>
    <row r="278" spans="1:18" ht="30.75" customHeight="1">
      <c r="A278" s="99"/>
      <c r="B278" s="98"/>
      <c r="C278" s="103"/>
      <c r="D278" s="101"/>
      <c r="E278" s="104"/>
      <c r="F278" s="104"/>
      <c r="G278" s="89"/>
      <c r="H278" s="11" t="s">
        <v>815</v>
      </c>
      <c r="I278" s="10">
        <v>27</v>
      </c>
      <c r="J278" s="16">
        <v>10</v>
      </c>
      <c r="K278" s="16">
        <v>6</v>
      </c>
      <c r="L278" s="95" t="s">
        <v>580</v>
      </c>
      <c r="M278" s="96" t="s">
        <v>563</v>
      </c>
      <c r="N278" s="96" t="s">
        <v>583</v>
      </c>
      <c r="O278" s="96" t="s">
        <v>814</v>
      </c>
      <c r="P278" s="6"/>
      <c r="Q278" s="216">
        <f>Q279</f>
        <v>1087.1</v>
      </c>
      <c r="R278" s="216">
        <f>R279</f>
        <v>1087.1</v>
      </c>
    </row>
    <row r="279" spans="1:18" ht="26.25" customHeight="1">
      <c r="A279" s="99"/>
      <c r="B279" s="98"/>
      <c r="C279" s="103"/>
      <c r="D279" s="101"/>
      <c r="E279" s="104"/>
      <c r="F279" s="104"/>
      <c r="G279" s="89"/>
      <c r="H279" s="11" t="s">
        <v>533</v>
      </c>
      <c r="I279" s="10">
        <v>27</v>
      </c>
      <c r="J279" s="16">
        <v>10</v>
      </c>
      <c r="K279" s="16">
        <v>6</v>
      </c>
      <c r="L279" s="95" t="s">
        <v>580</v>
      </c>
      <c r="M279" s="96" t="s">
        <v>563</v>
      </c>
      <c r="N279" s="96" t="s">
        <v>583</v>
      </c>
      <c r="O279" s="96" t="s">
        <v>814</v>
      </c>
      <c r="P279" s="6">
        <v>120</v>
      </c>
      <c r="Q279" s="239">
        <v>1087.1</v>
      </c>
      <c r="R279" s="239">
        <v>1087.1</v>
      </c>
    </row>
    <row r="280" spans="1:18" ht="34.5" customHeight="1" hidden="1">
      <c r="A280" s="99"/>
      <c r="B280" s="98"/>
      <c r="C280" s="103"/>
      <c r="D280" s="107"/>
      <c r="E280" s="104"/>
      <c r="F280" s="104"/>
      <c r="G280" s="89"/>
      <c r="H280" s="11" t="s">
        <v>681</v>
      </c>
      <c r="I280" s="6">
        <v>27</v>
      </c>
      <c r="J280" s="19">
        <v>10</v>
      </c>
      <c r="K280" s="16">
        <v>6</v>
      </c>
      <c r="L280" s="95" t="s">
        <v>580</v>
      </c>
      <c r="M280" s="96" t="s">
        <v>563</v>
      </c>
      <c r="N280" s="96" t="s">
        <v>583</v>
      </c>
      <c r="O280" s="96" t="s">
        <v>680</v>
      </c>
      <c r="P280" s="6"/>
      <c r="Q280" s="216">
        <f>Q281</f>
        <v>0</v>
      </c>
      <c r="R280" s="216">
        <f>R281</f>
        <v>0</v>
      </c>
    </row>
    <row r="281" spans="1:18" ht="26.25" customHeight="1" hidden="1">
      <c r="A281" s="99"/>
      <c r="B281" s="98"/>
      <c r="C281" s="103"/>
      <c r="D281" s="107"/>
      <c r="E281" s="104"/>
      <c r="F281" s="104"/>
      <c r="G281" s="89"/>
      <c r="H281" s="200" t="s">
        <v>720</v>
      </c>
      <c r="I281" s="6">
        <v>27</v>
      </c>
      <c r="J281" s="19">
        <v>10</v>
      </c>
      <c r="K281" s="16">
        <v>6</v>
      </c>
      <c r="L281" s="95" t="s">
        <v>580</v>
      </c>
      <c r="M281" s="96" t="s">
        <v>563</v>
      </c>
      <c r="N281" s="96" t="s">
        <v>583</v>
      </c>
      <c r="O281" s="96" t="s">
        <v>680</v>
      </c>
      <c r="P281" s="6">
        <v>240</v>
      </c>
      <c r="Q281" s="239">
        <v>0</v>
      </c>
      <c r="R281" s="239">
        <v>0</v>
      </c>
    </row>
    <row r="282" spans="1:18" s="179" customFormat="1" ht="18.75" customHeight="1">
      <c r="A282" s="142"/>
      <c r="B282" s="143"/>
      <c r="C282" s="153"/>
      <c r="D282" s="144"/>
      <c r="E282" s="145"/>
      <c r="F282" s="145"/>
      <c r="G282" s="155">
        <v>612</v>
      </c>
      <c r="H282" s="149" t="s">
        <v>537</v>
      </c>
      <c r="I282" s="152">
        <v>27</v>
      </c>
      <c r="J282" s="156">
        <v>11</v>
      </c>
      <c r="K282" s="139"/>
      <c r="L282" s="140"/>
      <c r="M282" s="141"/>
      <c r="N282" s="141"/>
      <c r="O282" s="141"/>
      <c r="P282" s="146"/>
      <c r="Q282" s="217">
        <f>Q283</f>
        <v>10084.8</v>
      </c>
      <c r="R282" s="217">
        <f>R283</f>
        <v>7300</v>
      </c>
    </row>
    <row r="283" spans="1:18" s="179" customFormat="1" ht="19.5" customHeight="1">
      <c r="A283" s="142"/>
      <c r="B283" s="143"/>
      <c r="C283" s="142"/>
      <c r="D283" s="380">
        <v>5250000</v>
      </c>
      <c r="E283" s="381"/>
      <c r="F283" s="381"/>
      <c r="G283" s="136">
        <v>530</v>
      </c>
      <c r="H283" s="137" t="s">
        <v>378</v>
      </c>
      <c r="I283" s="138">
        <v>27</v>
      </c>
      <c r="J283" s="139">
        <v>11</v>
      </c>
      <c r="K283" s="139">
        <v>1</v>
      </c>
      <c r="L283" s="140"/>
      <c r="M283" s="141"/>
      <c r="N283" s="141"/>
      <c r="O283" s="141"/>
      <c r="P283" s="138"/>
      <c r="Q283" s="213">
        <f>Q284</f>
        <v>10084.8</v>
      </c>
      <c r="R283" s="213">
        <f>R284</f>
        <v>7300</v>
      </c>
    </row>
    <row r="284" spans="1:18" ht="34.5" customHeight="1">
      <c r="A284" s="99"/>
      <c r="B284" s="98"/>
      <c r="C284" s="103"/>
      <c r="D284" s="101"/>
      <c r="E284" s="113"/>
      <c r="F284" s="113"/>
      <c r="G284" s="105"/>
      <c r="H284" s="5" t="s">
        <v>682</v>
      </c>
      <c r="I284" s="6">
        <v>27</v>
      </c>
      <c r="J284" s="7">
        <v>11</v>
      </c>
      <c r="K284" s="16">
        <v>1</v>
      </c>
      <c r="L284" s="95" t="s">
        <v>683</v>
      </c>
      <c r="M284" s="96" t="s">
        <v>563</v>
      </c>
      <c r="N284" s="96" t="s">
        <v>583</v>
      </c>
      <c r="O284" s="96" t="s">
        <v>620</v>
      </c>
      <c r="P284" s="6"/>
      <c r="Q284" s="214">
        <f>Q285+Q290</f>
        <v>10084.8</v>
      </c>
      <c r="R284" s="214">
        <f>R285+R290</f>
        <v>7300</v>
      </c>
    </row>
    <row r="285" spans="1:18" ht="24.75" customHeight="1">
      <c r="A285" s="99"/>
      <c r="B285" s="98"/>
      <c r="C285" s="103"/>
      <c r="D285" s="101"/>
      <c r="E285" s="113"/>
      <c r="F285" s="113"/>
      <c r="G285" s="89"/>
      <c r="H285" s="11" t="s">
        <v>315</v>
      </c>
      <c r="I285" s="10">
        <v>27</v>
      </c>
      <c r="J285" s="16">
        <v>11</v>
      </c>
      <c r="K285" s="16">
        <v>1</v>
      </c>
      <c r="L285" s="122" t="s">
        <v>683</v>
      </c>
      <c r="M285" s="123" t="s">
        <v>563</v>
      </c>
      <c r="N285" s="123" t="s">
        <v>592</v>
      </c>
      <c r="O285" s="123" t="s">
        <v>620</v>
      </c>
      <c r="P285" s="10"/>
      <c r="Q285" s="214">
        <f>Q286+Q288</f>
        <v>7200</v>
      </c>
      <c r="R285" s="214">
        <f>R286+R288</f>
        <v>7300</v>
      </c>
    </row>
    <row r="286" spans="1:18" ht="22.5" customHeight="1">
      <c r="A286" s="99"/>
      <c r="B286" s="98"/>
      <c r="C286" s="103"/>
      <c r="D286" s="101"/>
      <c r="E286" s="113"/>
      <c r="F286" s="113"/>
      <c r="G286" s="89"/>
      <c r="H286" s="11" t="s">
        <v>314</v>
      </c>
      <c r="I286" s="10">
        <v>27</v>
      </c>
      <c r="J286" s="16">
        <v>11</v>
      </c>
      <c r="K286" s="16">
        <v>1</v>
      </c>
      <c r="L286" s="122" t="s">
        <v>683</v>
      </c>
      <c r="M286" s="123" t="s">
        <v>563</v>
      </c>
      <c r="N286" s="123" t="s">
        <v>592</v>
      </c>
      <c r="O286" s="123" t="s">
        <v>313</v>
      </c>
      <c r="P286" s="10"/>
      <c r="Q286" s="214">
        <f>Q287</f>
        <v>6267.3</v>
      </c>
      <c r="R286" s="214">
        <f>R287</f>
        <v>6367.3</v>
      </c>
    </row>
    <row r="287" spans="1:18" ht="22.5" customHeight="1">
      <c r="A287" s="99"/>
      <c r="B287" s="98"/>
      <c r="C287" s="103"/>
      <c r="D287" s="101"/>
      <c r="E287" s="113"/>
      <c r="F287" s="113"/>
      <c r="G287" s="89"/>
      <c r="H287" s="11" t="s">
        <v>722</v>
      </c>
      <c r="I287" s="10">
        <v>27</v>
      </c>
      <c r="J287" s="16">
        <v>11</v>
      </c>
      <c r="K287" s="16">
        <v>1</v>
      </c>
      <c r="L287" s="122" t="s">
        <v>683</v>
      </c>
      <c r="M287" s="123" t="s">
        <v>563</v>
      </c>
      <c r="N287" s="123" t="s">
        <v>592</v>
      </c>
      <c r="O287" s="123" t="s">
        <v>313</v>
      </c>
      <c r="P287" s="10">
        <v>610</v>
      </c>
      <c r="Q287" s="214">
        <v>6267.3</v>
      </c>
      <c r="R287" s="214">
        <v>6367.3</v>
      </c>
    </row>
    <row r="288" spans="1:18" ht="32.25" customHeight="1">
      <c r="A288" s="99"/>
      <c r="B288" s="98"/>
      <c r="C288" s="103"/>
      <c r="D288" s="101"/>
      <c r="E288" s="113"/>
      <c r="F288" s="113"/>
      <c r="G288" s="89"/>
      <c r="H288" s="11" t="s">
        <v>61</v>
      </c>
      <c r="I288" s="10">
        <v>27</v>
      </c>
      <c r="J288" s="16">
        <v>11</v>
      </c>
      <c r="K288" s="16">
        <v>1</v>
      </c>
      <c r="L288" s="122" t="s">
        <v>683</v>
      </c>
      <c r="M288" s="123" t="s">
        <v>563</v>
      </c>
      <c r="N288" s="123" t="s">
        <v>592</v>
      </c>
      <c r="O288" s="123" t="s">
        <v>60</v>
      </c>
      <c r="P288" s="10"/>
      <c r="Q288" s="214">
        <f>Q289</f>
        <v>932.7</v>
      </c>
      <c r="R288" s="214">
        <f>R289</f>
        <v>932.7</v>
      </c>
    </row>
    <row r="289" spans="1:18" ht="22.5" customHeight="1">
      <c r="A289" s="99"/>
      <c r="B289" s="98"/>
      <c r="C289" s="103"/>
      <c r="D289" s="101"/>
      <c r="E289" s="113"/>
      <c r="F289" s="113"/>
      <c r="G289" s="89"/>
      <c r="H289" s="11" t="s">
        <v>722</v>
      </c>
      <c r="I289" s="10">
        <v>27</v>
      </c>
      <c r="J289" s="16">
        <v>11</v>
      </c>
      <c r="K289" s="16">
        <v>1</v>
      </c>
      <c r="L289" s="122" t="s">
        <v>683</v>
      </c>
      <c r="M289" s="123" t="s">
        <v>563</v>
      </c>
      <c r="N289" s="123" t="s">
        <v>592</v>
      </c>
      <c r="O289" s="123" t="s">
        <v>60</v>
      </c>
      <c r="P289" s="10">
        <v>610</v>
      </c>
      <c r="Q289" s="214">
        <v>932.7</v>
      </c>
      <c r="R289" s="214">
        <v>932.7</v>
      </c>
    </row>
    <row r="290" spans="1:18" ht="37.5" customHeight="1">
      <c r="A290" s="99"/>
      <c r="B290" s="98"/>
      <c r="C290" s="103"/>
      <c r="D290" s="101"/>
      <c r="E290" s="113"/>
      <c r="F290" s="113"/>
      <c r="G290" s="89"/>
      <c r="H290" s="11" t="s">
        <v>685</v>
      </c>
      <c r="I290" s="10">
        <v>27</v>
      </c>
      <c r="J290" s="16">
        <v>11</v>
      </c>
      <c r="K290" s="16">
        <v>1</v>
      </c>
      <c r="L290" s="122" t="s">
        <v>683</v>
      </c>
      <c r="M290" s="123" t="s">
        <v>563</v>
      </c>
      <c r="N290" s="123" t="s">
        <v>684</v>
      </c>
      <c r="O290" s="123" t="s">
        <v>73</v>
      </c>
      <c r="P290" s="10"/>
      <c r="Q290" s="214">
        <f>Q291</f>
        <v>2884.8</v>
      </c>
      <c r="R290" s="214">
        <f>R291</f>
        <v>0</v>
      </c>
    </row>
    <row r="291" spans="1:18" ht="27" customHeight="1">
      <c r="A291" s="99"/>
      <c r="B291" s="98"/>
      <c r="C291" s="103"/>
      <c r="D291" s="101"/>
      <c r="E291" s="113"/>
      <c r="F291" s="113"/>
      <c r="G291" s="89"/>
      <c r="H291" s="11" t="s">
        <v>722</v>
      </c>
      <c r="I291" s="10">
        <v>27</v>
      </c>
      <c r="J291" s="16">
        <v>11</v>
      </c>
      <c r="K291" s="16">
        <v>1</v>
      </c>
      <c r="L291" s="122" t="s">
        <v>683</v>
      </c>
      <c r="M291" s="123" t="s">
        <v>563</v>
      </c>
      <c r="N291" s="123" t="s">
        <v>684</v>
      </c>
      <c r="O291" s="123" t="s">
        <v>73</v>
      </c>
      <c r="P291" s="10">
        <v>610</v>
      </c>
      <c r="Q291" s="214">
        <v>2884.8</v>
      </c>
      <c r="R291" s="214">
        <v>0</v>
      </c>
    </row>
    <row r="292" spans="1:18" s="177" customFormat="1" ht="24.75" customHeight="1">
      <c r="A292" s="158"/>
      <c r="B292" s="180"/>
      <c r="C292" s="181"/>
      <c r="D292" s="182"/>
      <c r="E292" s="183"/>
      <c r="F292" s="183"/>
      <c r="G292" s="184"/>
      <c r="H292" s="33" t="s">
        <v>765</v>
      </c>
      <c r="I292" s="14">
        <v>28</v>
      </c>
      <c r="J292" s="15"/>
      <c r="K292" s="15"/>
      <c r="L292" s="164"/>
      <c r="M292" s="165"/>
      <c r="N292" s="165"/>
      <c r="O292" s="165"/>
      <c r="P292" s="14"/>
      <c r="Q292" s="212">
        <f>Q293+Q315</f>
        <v>4346.3</v>
      </c>
      <c r="R292" s="212">
        <f>R293+R315</f>
        <v>4346.3</v>
      </c>
    </row>
    <row r="293" spans="1:18" s="179" customFormat="1" ht="23.25" customHeight="1">
      <c r="A293" s="142"/>
      <c r="B293" s="143"/>
      <c r="C293" s="153"/>
      <c r="D293" s="150"/>
      <c r="E293" s="154"/>
      <c r="F293" s="154"/>
      <c r="G293" s="136"/>
      <c r="H293" s="137" t="s">
        <v>536</v>
      </c>
      <c r="I293" s="138">
        <v>28</v>
      </c>
      <c r="J293" s="139">
        <v>1</v>
      </c>
      <c r="K293" s="139" t="s">
        <v>621</v>
      </c>
      <c r="L293" s="185"/>
      <c r="M293" s="186"/>
      <c r="N293" s="186"/>
      <c r="O293" s="186"/>
      <c r="P293" s="138"/>
      <c r="Q293" s="213">
        <f>Q294+Q299+Q304</f>
        <v>4274.3</v>
      </c>
      <c r="R293" s="213">
        <f>R294+R299+R304</f>
        <v>4274.3</v>
      </c>
    </row>
    <row r="294" spans="1:18" s="179" customFormat="1" ht="36" customHeight="1">
      <c r="A294" s="142"/>
      <c r="B294" s="143"/>
      <c r="C294" s="153"/>
      <c r="D294" s="150"/>
      <c r="E294" s="154"/>
      <c r="F294" s="154"/>
      <c r="G294" s="136"/>
      <c r="H294" s="137" t="s">
        <v>569</v>
      </c>
      <c r="I294" s="138">
        <v>28</v>
      </c>
      <c r="J294" s="139">
        <v>1</v>
      </c>
      <c r="K294" s="139">
        <v>2</v>
      </c>
      <c r="L294" s="185"/>
      <c r="M294" s="186"/>
      <c r="N294" s="186"/>
      <c r="O294" s="186"/>
      <c r="P294" s="138"/>
      <c r="Q294" s="213">
        <f>Q295</f>
        <v>1946.9</v>
      </c>
      <c r="R294" s="213">
        <f>R295</f>
        <v>1946.9</v>
      </c>
    </row>
    <row r="295" spans="1:18" s="179" customFormat="1" ht="21.75" customHeight="1">
      <c r="A295" s="142"/>
      <c r="B295" s="143"/>
      <c r="C295" s="153"/>
      <c r="D295" s="150"/>
      <c r="E295" s="154"/>
      <c r="F295" s="154"/>
      <c r="G295" s="136"/>
      <c r="H295" s="11" t="s">
        <v>581</v>
      </c>
      <c r="I295" s="10">
        <v>28</v>
      </c>
      <c r="J295" s="16">
        <v>1</v>
      </c>
      <c r="K295" s="16">
        <v>2</v>
      </c>
      <c r="L295" s="16" t="s">
        <v>582</v>
      </c>
      <c r="M295" s="96" t="s">
        <v>563</v>
      </c>
      <c r="N295" s="96" t="s">
        <v>583</v>
      </c>
      <c r="O295" s="96" t="s">
        <v>620</v>
      </c>
      <c r="P295" s="10" t="s">
        <v>534</v>
      </c>
      <c r="Q295" s="214">
        <f>Q296</f>
        <v>1946.9</v>
      </c>
      <c r="R295" s="214">
        <f>R296</f>
        <v>1946.9</v>
      </c>
    </row>
    <row r="296" spans="1:18" ht="23.25" customHeight="1">
      <c r="A296" s="97"/>
      <c r="B296" s="98"/>
      <c r="C296" s="103"/>
      <c r="D296" s="101"/>
      <c r="E296" s="113"/>
      <c r="F296" s="113"/>
      <c r="G296" s="89"/>
      <c r="H296" s="11" t="s">
        <v>766</v>
      </c>
      <c r="I296" s="10">
        <v>28</v>
      </c>
      <c r="J296" s="16">
        <v>1</v>
      </c>
      <c r="K296" s="16">
        <v>2</v>
      </c>
      <c r="L296" s="122" t="s">
        <v>582</v>
      </c>
      <c r="M296" s="123" t="s">
        <v>563</v>
      </c>
      <c r="N296" s="123" t="s">
        <v>583</v>
      </c>
      <c r="O296" s="123" t="s">
        <v>648</v>
      </c>
      <c r="P296" s="10"/>
      <c r="Q296" s="214">
        <f>SUM(Q297:Q298)</f>
        <v>1946.9</v>
      </c>
      <c r="R296" s="214">
        <f>SUM(R297:R298)</f>
        <v>1946.9</v>
      </c>
    </row>
    <row r="297" spans="1:18" ht="24.75" customHeight="1">
      <c r="A297" s="97"/>
      <c r="B297" s="98"/>
      <c r="C297" s="103"/>
      <c r="D297" s="101"/>
      <c r="E297" s="113"/>
      <c r="F297" s="113"/>
      <c r="G297" s="89"/>
      <c r="H297" s="11" t="s">
        <v>533</v>
      </c>
      <c r="I297" s="10">
        <v>28</v>
      </c>
      <c r="J297" s="16">
        <v>1</v>
      </c>
      <c r="K297" s="16">
        <v>2</v>
      </c>
      <c r="L297" s="122" t="s">
        <v>582</v>
      </c>
      <c r="M297" s="123" t="s">
        <v>563</v>
      </c>
      <c r="N297" s="123" t="s">
        <v>583</v>
      </c>
      <c r="O297" s="123" t="s">
        <v>648</v>
      </c>
      <c r="P297" s="10">
        <v>120</v>
      </c>
      <c r="Q297" s="214">
        <f>1633.8+313.1</f>
        <v>1946.9</v>
      </c>
      <c r="R297" s="214">
        <f>1633.8+313.1</f>
        <v>1946.9</v>
      </c>
    </row>
    <row r="298" spans="1:18" ht="29.25" customHeight="1">
      <c r="A298" s="97"/>
      <c r="B298" s="98"/>
      <c r="C298" s="103"/>
      <c r="D298" s="101"/>
      <c r="E298" s="113"/>
      <c r="F298" s="113"/>
      <c r="G298" s="89"/>
      <c r="H298" s="11" t="s">
        <v>720</v>
      </c>
      <c r="I298" s="10">
        <v>28</v>
      </c>
      <c r="J298" s="16">
        <v>1</v>
      </c>
      <c r="K298" s="16">
        <v>2</v>
      </c>
      <c r="L298" s="122" t="s">
        <v>582</v>
      </c>
      <c r="M298" s="123" t="s">
        <v>563</v>
      </c>
      <c r="N298" s="123" t="s">
        <v>583</v>
      </c>
      <c r="O298" s="123" t="s">
        <v>648</v>
      </c>
      <c r="P298" s="10">
        <v>240</v>
      </c>
      <c r="Q298" s="214">
        <v>0</v>
      </c>
      <c r="R298" s="214">
        <v>0</v>
      </c>
    </row>
    <row r="299" spans="1:18" s="179" customFormat="1" ht="36" customHeight="1">
      <c r="A299" s="142"/>
      <c r="B299" s="143"/>
      <c r="C299" s="153"/>
      <c r="D299" s="150"/>
      <c r="E299" s="154"/>
      <c r="F299" s="154"/>
      <c r="G299" s="136"/>
      <c r="H299" s="137" t="s">
        <v>503</v>
      </c>
      <c r="I299" s="138">
        <v>28</v>
      </c>
      <c r="J299" s="139">
        <v>1</v>
      </c>
      <c r="K299" s="139">
        <v>3</v>
      </c>
      <c r="L299" s="185"/>
      <c r="M299" s="186"/>
      <c r="N299" s="186"/>
      <c r="O299" s="186"/>
      <c r="P299" s="138"/>
      <c r="Q299" s="213">
        <f>Q300</f>
        <v>2007.4</v>
      </c>
      <c r="R299" s="213">
        <f>R300</f>
        <v>2007.4</v>
      </c>
    </row>
    <row r="300" spans="1:18" s="179" customFormat="1" ht="21.75" customHeight="1">
      <c r="A300" s="142"/>
      <c r="B300" s="143"/>
      <c r="C300" s="153"/>
      <c r="D300" s="150"/>
      <c r="E300" s="154"/>
      <c r="F300" s="154"/>
      <c r="G300" s="136"/>
      <c r="H300" s="11" t="s">
        <v>581</v>
      </c>
      <c r="I300" s="10">
        <v>28</v>
      </c>
      <c r="J300" s="16">
        <v>1</v>
      </c>
      <c r="K300" s="16">
        <v>3</v>
      </c>
      <c r="L300" s="16" t="s">
        <v>582</v>
      </c>
      <c r="M300" s="96" t="s">
        <v>563</v>
      </c>
      <c r="N300" s="96" t="s">
        <v>583</v>
      </c>
      <c r="O300" s="96" t="s">
        <v>620</v>
      </c>
      <c r="P300" s="138"/>
      <c r="Q300" s="213">
        <f>Q301</f>
        <v>2007.4</v>
      </c>
      <c r="R300" s="213">
        <f>R301</f>
        <v>2007.4</v>
      </c>
    </row>
    <row r="301" spans="1:18" ht="20.25" customHeight="1">
      <c r="A301" s="97"/>
      <c r="B301" s="98"/>
      <c r="C301" s="103"/>
      <c r="D301" s="101"/>
      <c r="E301" s="113"/>
      <c r="F301" s="113"/>
      <c r="G301" s="89"/>
      <c r="H301" s="11" t="s">
        <v>766</v>
      </c>
      <c r="I301" s="10">
        <v>28</v>
      </c>
      <c r="J301" s="16">
        <v>1</v>
      </c>
      <c r="K301" s="16">
        <v>3</v>
      </c>
      <c r="L301" s="122" t="s">
        <v>582</v>
      </c>
      <c r="M301" s="123" t="s">
        <v>563</v>
      </c>
      <c r="N301" s="123" t="s">
        <v>583</v>
      </c>
      <c r="O301" s="123" t="s">
        <v>648</v>
      </c>
      <c r="P301" s="10"/>
      <c r="Q301" s="214">
        <f>SUM(Q302:Q303)</f>
        <v>2007.4</v>
      </c>
      <c r="R301" s="214">
        <f>SUM(R302:R303)</f>
        <v>2007.4</v>
      </c>
    </row>
    <row r="302" spans="1:18" ht="24.75" customHeight="1">
      <c r="A302" s="97"/>
      <c r="B302" s="98"/>
      <c r="C302" s="103"/>
      <c r="D302" s="101"/>
      <c r="E302" s="113"/>
      <c r="F302" s="113"/>
      <c r="G302" s="89"/>
      <c r="H302" s="11" t="s">
        <v>533</v>
      </c>
      <c r="I302" s="10">
        <v>28</v>
      </c>
      <c r="J302" s="16">
        <v>1</v>
      </c>
      <c r="K302" s="16">
        <v>3</v>
      </c>
      <c r="L302" s="122" t="s">
        <v>582</v>
      </c>
      <c r="M302" s="123" t="s">
        <v>563</v>
      </c>
      <c r="N302" s="123" t="s">
        <v>583</v>
      </c>
      <c r="O302" s="123" t="s">
        <v>648</v>
      </c>
      <c r="P302" s="10">
        <v>120</v>
      </c>
      <c r="Q302" s="214">
        <f>1125.7+78.7</f>
        <v>1204.4</v>
      </c>
      <c r="R302" s="214">
        <f>1125.7+78.7</f>
        <v>1204.4</v>
      </c>
    </row>
    <row r="303" spans="1:18" ht="23.25" customHeight="1">
      <c r="A303" s="97"/>
      <c r="B303" s="98"/>
      <c r="C303" s="103"/>
      <c r="D303" s="101"/>
      <c r="E303" s="113"/>
      <c r="F303" s="113"/>
      <c r="G303" s="89"/>
      <c r="H303" s="11" t="s">
        <v>720</v>
      </c>
      <c r="I303" s="10">
        <v>28</v>
      </c>
      <c r="J303" s="16">
        <v>1</v>
      </c>
      <c r="K303" s="16">
        <v>3</v>
      </c>
      <c r="L303" s="122" t="s">
        <v>582</v>
      </c>
      <c r="M303" s="123" t="s">
        <v>563</v>
      </c>
      <c r="N303" s="123" t="s">
        <v>583</v>
      </c>
      <c r="O303" s="123" t="s">
        <v>648</v>
      </c>
      <c r="P303" s="10">
        <v>240</v>
      </c>
      <c r="Q303" s="214">
        <f>881.7-78.7</f>
        <v>803</v>
      </c>
      <c r="R303" s="214">
        <f>881.7-78.7</f>
        <v>803</v>
      </c>
    </row>
    <row r="304" spans="1:18" ht="23.25" customHeight="1">
      <c r="A304" s="97"/>
      <c r="B304" s="98"/>
      <c r="C304" s="103"/>
      <c r="D304" s="101"/>
      <c r="E304" s="113"/>
      <c r="F304" s="113"/>
      <c r="G304" s="89"/>
      <c r="H304" s="252" t="s">
        <v>535</v>
      </c>
      <c r="I304" s="138">
        <v>28</v>
      </c>
      <c r="J304" s="139">
        <v>1</v>
      </c>
      <c r="K304" s="139">
        <v>13</v>
      </c>
      <c r="L304" s="122"/>
      <c r="M304" s="123"/>
      <c r="N304" s="123"/>
      <c r="O304" s="123"/>
      <c r="P304" s="6"/>
      <c r="Q304" s="217">
        <f>Q305+Q312</f>
        <v>320</v>
      </c>
      <c r="R304" s="217">
        <f>R305+R312</f>
        <v>320</v>
      </c>
    </row>
    <row r="305" spans="1:18" ht="33.75" customHeight="1" hidden="1">
      <c r="A305" s="99"/>
      <c r="B305" s="98"/>
      <c r="C305" s="103"/>
      <c r="D305" s="101"/>
      <c r="E305" s="113"/>
      <c r="F305" s="113"/>
      <c r="G305" s="105"/>
      <c r="H305" s="3" t="s">
        <v>29</v>
      </c>
      <c r="I305" s="6">
        <v>28</v>
      </c>
      <c r="J305" s="7">
        <v>1</v>
      </c>
      <c r="K305" s="16">
        <v>13</v>
      </c>
      <c r="L305" s="95" t="s">
        <v>593</v>
      </c>
      <c r="M305" s="96" t="s">
        <v>563</v>
      </c>
      <c r="N305" s="96" t="s">
        <v>583</v>
      </c>
      <c r="O305" s="96" t="s">
        <v>620</v>
      </c>
      <c r="P305" s="6"/>
      <c r="Q305" s="216">
        <f>Q306+Q309</f>
        <v>0</v>
      </c>
      <c r="R305" s="216">
        <f>R306+R309</f>
        <v>0</v>
      </c>
    </row>
    <row r="306" spans="1:18" ht="19.5" customHeight="1" hidden="1">
      <c r="A306" s="99"/>
      <c r="B306" s="98"/>
      <c r="C306" s="103"/>
      <c r="D306" s="101"/>
      <c r="E306" s="113"/>
      <c r="F306" s="113"/>
      <c r="G306" s="105"/>
      <c r="H306" s="3" t="s">
        <v>27</v>
      </c>
      <c r="I306" s="8">
        <v>28</v>
      </c>
      <c r="J306" s="7">
        <v>1</v>
      </c>
      <c r="K306" s="16">
        <v>13</v>
      </c>
      <c r="L306" s="95" t="s">
        <v>593</v>
      </c>
      <c r="M306" s="96" t="s">
        <v>563</v>
      </c>
      <c r="N306" s="96" t="s">
        <v>564</v>
      </c>
      <c r="O306" s="96" t="s">
        <v>620</v>
      </c>
      <c r="P306" s="6"/>
      <c r="Q306" s="216">
        <f>Q307</f>
        <v>0</v>
      </c>
      <c r="R306" s="216">
        <f>R307</f>
        <v>0</v>
      </c>
    </row>
    <row r="307" spans="1:18" ht="36.75" customHeight="1" hidden="1">
      <c r="A307" s="99"/>
      <c r="B307" s="98"/>
      <c r="C307" s="103"/>
      <c r="D307" s="101"/>
      <c r="E307" s="113"/>
      <c r="F307" s="113"/>
      <c r="G307" s="105">
        <v>240</v>
      </c>
      <c r="H307" s="18" t="s">
        <v>250</v>
      </c>
      <c r="I307" s="8">
        <v>28</v>
      </c>
      <c r="J307" s="7">
        <v>1</v>
      </c>
      <c r="K307" s="16">
        <v>13</v>
      </c>
      <c r="L307" s="95" t="s">
        <v>593</v>
      </c>
      <c r="M307" s="96" t="s">
        <v>563</v>
      </c>
      <c r="N307" s="96" t="s">
        <v>564</v>
      </c>
      <c r="O307" s="96" t="s">
        <v>251</v>
      </c>
      <c r="P307" s="6"/>
      <c r="Q307" s="216">
        <f>Q308</f>
        <v>0</v>
      </c>
      <c r="R307" s="216">
        <f>R308</f>
        <v>0</v>
      </c>
    </row>
    <row r="308" spans="1:18" ht="24.75" customHeight="1" hidden="1">
      <c r="A308" s="110"/>
      <c r="B308" s="111"/>
      <c r="C308" s="106"/>
      <c r="D308" s="107"/>
      <c r="E308" s="104"/>
      <c r="F308" s="104"/>
      <c r="G308" s="105"/>
      <c r="H308" s="5" t="s">
        <v>613</v>
      </c>
      <c r="I308" s="6">
        <v>28</v>
      </c>
      <c r="J308" s="7">
        <v>1</v>
      </c>
      <c r="K308" s="16">
        <v>13</v>
      </c>
      <c r="L308" s="95" t="s">
        <v>593</v>
      </c>
      <c r="M308" s="96" t="s">
        <v>563</v>
      </c>
      <c r="N308" s="96" t="s">
        <v>564</v>
      </c>
      <c r="O308" s="96" t="s">
        <v>251</v>
      </c>
      <c r="P308" s="6">
        <v>340</v>
      </c>
      <c r="Q308" s="216"/>
      <c r="R308" s="216"/>
    </row>
    <row r="309" spans="1:18" ht="24.75" customHeight="1" hidden="1">
      <c r="A309" s="110"/>
      <c r="B309" s="111"/>
      <c r="C309" s="106"/>
      <c r="D309" s="107"/>
      <c r="E309" s="104"/>
      <c r="F309" s="104"/>
      <c r="G309" s="105"/>
      <c r="H309" s="5" t="s">
        <v>28</v>
      </c>
      <c r="I309" s="6">
        <v>28</v>
      </c>
      <c r="J309" s="7">
        <v>1</v>
      </c>
      <c r="K309" s="16">
        <v>13</v>
      </c>
      <c r="L309" s="95" t="s">
        <v>593</v>
      </c>
      <c r="M309" s="96" t="s">
        <v>563</v>
      </c>
      <c r="N309" s="96" t="s">
        <v>592</v>
      </c>
      <c r="O309" s="96" t="s">
        <v>620</v>
      </c>
      <c r="P309" s="6"/>
      <c r="Q309" s="214">
        <f>Q310</f>
        <v>0</v>
      </c>
      <c r="R309" s="214">
        <f>R310</f>
        <v>0</v>
      </c>
    </row>
    <row r="310" spans="1:18" ht="36.75" customHeight="1" hidden="1">
      <c r="A310" s="110"/>
      <c r="B310" s="111"/>
      <c r="C310" s="106"/>
      <c r="D310" s="107"/>
      <c r="E310" s="104"/>
      <c r="F310" s="104"/>
      <c r="G310" s="105"/>
      <c r="H310" s="5" t="s">
        <v>250</v>
      </c>
      <c r="I310" s="6">
        <v>28</v>
      </c>
      <c r="J310" s="7">
        <v>1</v>
      </c>
      <c r="K310" s="16">
        <v>13</v>
      </c>
      <c r="L310" s="95" t="s">
        <v>593</v>
      </c>
      <c r="M310" s="96" t="s">
        <v>563</v>
      </c>
      <c r="N310" s="96" t="s">
        <v>592</v>
      </c>
      <c r="O310" s="96" t="s">
        <v>251</v>
      </c>
      <c r="P310" s="6"/>
      <c r="Q310" s="214">
        <f>Q311</f>
        <v>0</v>
      </c>
      <c r="R310" s="214">
        <f>R311</f>
        <v>0</v>
      </c>
    </row>
    <row r="311" spans="1:18" ht="24.75" customHeight="1" hidden="1">
      <c r="A311" s="110"/>
      <c r="B311" s="111"/>
      <c r="C311" s="106"/>
      <c r="D311" s="107"/>
      <c r="E311" s="104"/>
      <c r="F311" s="104"/>
      <c r="G311" s="105"/>
      <c r="H311" s="5" t="s">
        <v>720</v>
      </c>
      <c r="I311" s="6">
        <v>28</v>
      </c>
      <c r="J311" s="7">
        <v>1</v>
      </c>
      <c r="K311" s="16">
        <v>13</v>
      </c>
      <c r="L311" s="95" t="s">
        <v>593</v>
      </c>
      <c r="M311" s="96" t="s">
        <v>563</v>
      </c>
      <c r="N311" s="96" t="s">
        <v>592</v>
      </c>
      <c r="O311" s="96" t="s">
        <v>251</v>
      </c>
      <c r="P311" s="6">
        <v>240</v>
      </c>
      <c r="Q311" s="214"/>
      <c r="R311" s="214"/>
    </row>
    <row r="312" spans="1:18" ht="36" customHeight="1">
      <c r="A312" s="110"/>
      <c r="B312" s="111"/>
      <c r="C312" s="106"/>
      <c r="D312" s="107"/>
      <c r="E312" s="104"/>
      <c r="F312" s="104"/>
      <c r="G312" s="105"/>
      <c r="H312" s="5" t="s">
        <v>250</v>
      </c>
      <c r="I312" s="8">
        <v>28</v>
      </c>
      <c r="J312" s="21">
        <v>1</v>
      </c>
      <c r="K312" s="16">
        <v>13</v>
      </c>
      <c r="L312" s="95" t="s">
        <v>580</v>
      </c>
      <c r="M312" s="96" t="s">
        <v>563</v>
      </c>
      <c r="N312" s="96" t="s">
        <v>583</v>
      </c>
      <c r="O312" s="96" t="s">
        <v>251</v>
      </c>
      <c r="P312" s="6"/>
      <c r="Q312" s="214">
        <f>SUM(Q313:Q314)</f>
        <v>320</v>
      </c>
      <c r="R312" s="214">
        <f>SUM(R313:R314)</f>
        <v>320</v>
      </c>
    </row>
    <row r="313" spans="1:18" ht="24.75" customHeight="1">
      <c r="A313" s="110"/>
      <c r="B313" s="111"/>
      <c r="C313" s="106"/>
      <c r="D313" s="107"/>
      <c r="E313" s="104"/>
      <c r="F313" s="104"/>
      <c r="G313" s="105"/>
      <c r="H313" s="5" t="s">
        <v>720</v>
      </c>
      <c r="I313" s="8">
        <v>28</v>
      </c>
      <c r="J313" s="21">
        <v>1</v>
      </c>
      <c r="K313" s="16">
        <v>13</v>
      </c>
      <c r="L313" s="95" t="s">
        <v>580</v>
      </c>
      <c r="M313" s="96" t="s">
        <v>563</v>
      </c>
      <c r="N313" s="96" t="s">
        <v>583</v>
      </c>
      <c r="O313" s="96" t="s">
        <v>251</v>
      </c>
      <c r="P313" s="6">
        <v>240</v>
      </c>
      <c r="Q313" s="216">
        <v>60</v>
      </c>
      <c r="R313" s="216">
        <v>60</v>
      </c>
    </row>
    <row r="314" spans="1:18" ht="24.75" customHeight="1">
      <c r="A314" s="110"/>
      <c r="B314" s="111"/>
      <c r="C314" s="106"/>
      <c r="D314" s="107"/>
      <c r="E314" s="104"/>
      <c r="F314" s="104"/>
      <c r="G314" s="105"/>
      <c r="H314" s="5" t="s">
        <v>613</v>
      </c>
      <c r="I314" s="8">
        <v>28</v>
      </c>
      <c r="J314" s="21">
        <v>1</v>
      </c>
      <c r="K314" s="16">
        <v>13</v>
      </c>
      <c r="L314" s="95" t="s">
        <v>580</v>
      </c>
      <c r="M314" s="96" t="s">
        <v>563</v>
      </c>
      <c r="N314" s="96" t="s">
        <v>583</v>
      </c>
      <c r="O314" s="96" t="s">
        <v>251</v>
      </c>
      <c r="P314" s="6">
        <v>340</v>
      </c>
      <c r="Q314" s="216">
        <v>260</v>
      </c>
      <c r="R314" s="216">
        <v>260</v>
      </c>
    </row>
    <row r="315" spans="1:18" s="179" customFormat="1" ht="24.75" customHeight="1">
      <c r="A315" s="166"/>
      <c r="B315" s="235"/>
      <c r="C315" s="157"/>
      <c r="D315" s="170"/>
      <c r="E315" s="145"/>
      <c r="F315" s="145"/>
      <c r="G315" s="155"/>
      <c r="H315" s="226" t="s">
        <v>541</v>
      </c>
      <c r="I315" s="233">
        <v>28</v>
      </c>
      <c r="J315" s="234">
        <v>10</v>
      </c>
      <c r="K315" s="139"/>
      <c r="L315" s="140"/>
      <c r="M315" s="141"/>
      <c r="N315" s="141"/>
      <c r="O315" s="141"/>
      <c r="P315" s="146"/>
      <c r="Q315" s="213">
        <f>Q316</f>
        <v>72</v>
      </c>
      <c r="R315" s="213">
        <f>R316</f>
        <v>72</v>
      </c>
    </row>
    <row r="316" spans="1:18" s="130" customFormat="1" ht="24.75" customHeight="1">
      <c r="A316" s="110"/>
      <c r="B316" s="201"/>
      <c r="C316" s="222"/>
      <c r="D316" s="223"/>
      <c r="E316" s="224"/>
      <c r="F316" s="224"/>
      <c r="G316" s="225"/>
      <c r="H316" s="226" t="s">
        <v>540</v>
      </c>
      <c r="I316" s="227">
        <v>28</v>
      </c>
      <c r="J316" s="228">
        <v>10</v>
      </c>
      <c r="K316" s="229">
        <v>3</v>
      </c>
      <c r="L316" s="230"/>
      <c r="M316" s="231"/>
      <c r="N316" s="231"/>
      <c r="O316" s="231"/>
      <c r="P316" s="227"/>
      <c r="Q316" s="232">
        <f>Q320</f>
        <v>72</v>
      </c>
      <c r="R316" s="232">
        <f>R320</f>
        <v>72</v>
      </c>
    </row>
    <row r="317" spans="1:18" ht="54.75" customHeight="1" hidden="1">
      <c r="A317" s="110"/>
      <c r="B317" s="111"/>
      <c r="C317" s="106"/>
      <c r="D317" s="107"/>
      <c r="E317" s="104"/>
      <c r="F317" s="104"/>
      <c r="G317" s="105"/>
      <c r="H317" s="5" t="s">
        <v>705</v>
      </c>
      <c r="I317" s="6">
        <v>28</v>
      </c>
      <c r="J317" s="7">
        <v>10</v>
      </c>
      <c r="K317" s="16">
        <v>3</v>
      </c>
      <c r="L317" s="95" t="s">
        <v>593</v>
      </c>
      <c r="M317" s="96" t="s">
        <v>563</v>
      </c>
      <c r="N317" s="96" t="s">
        <v>593</v>
      </c>
      <c r="O317" s="96" t="s">
        <v>620</v>
      </c>
      <c r="P317" s="6"/>
      <c r="Q317" s="214"/>
      <c r="R317" s="214"/>
    </row>
    <row r="318" spans="1:18" ht="34.5" customHeight="1" hidden="1">
      <c r="A318" s="110"/>
      <c r="B318" s="111"/>
      <c r="C318" s="106"/>
      <c r="D318" s="107"/>
      <c r="E318" s="104"/>
      <c r="F318" s="104"/>
      <c r="G318" s="105"/>
      <c r="H318" s="5" t="s">
        <v>250</v>
      </c>
      <c r="I318" s="6">
        <v>28</v>
      </c>
      <c r="J318" s="7">
        <v>10</v>
      </c>
      <c r="K318" s="16">
        <v>3</v>
      </c>
      <c r="L318" s="95" t="s">
        <v>593</v>
      </c>
      <c r="M318" s="96" t="s">
        <v>563</v>
      </c>
      <c r="N318" s="96" t="s">
        <v>593</v>
      </c>
      <c r="O318" s="96" t="s">
        <v>251</v>
      </c>
      <c r="P318" s="6"/>
      <c r="Q318" s="214"/>
      <c r="R318" s="214"/>
    </row>
    <row r="319" spans="1:18" ht="24.75" customHeight="1" hidden="1">
      <c r="A319" s="110"/>
      <c r="B319" s="111"/>
      <c r="C319" s="106"/>
      <c r="D319" s="107"/>
      <c r="E319" s="104"/>
      <c r="F319" s="104"/>
      <c r="G319" s="105"/>
      <c r="H319" s="5" t="s">
        <v>724</v>
      </c>
      <c r="I319" s="6">
        <v>28</v>
      </c>
      <c r="J319" s="7">
        <v>10</v>
      </c>
      <c r="K319" s="16">
        <v>3</v>
      </c>
      <c r="L319" s="95" t="s">
        <v>593</v>
      </c>
      <c r="M319" s="96" t="s">
        <v>563</v>
      </c>
      <c r="N319" s="96" t="s">
        <v>593</v>
      </c>
      <c r="O319" s="96" t="s">
        <v>251</v>
      </c>
      <c r="P319" s="6">
        <v>310</v>
      </c>
      <c r="Q319" s="214"/>
      <c r="R319" s="214"/>
    </row>
    <row r="320" spans="1:18" ht="33.75" customHeight="1">
      <c r="A320" s="110"/>
      <c r="B320" s="111"/>
      <c r="C320" s="106"/>
      <c r="D320" s="107"/>
      <c r="E320" s="104"/>
      <c r="F320" s="104"/>
      <c r="G320" s="105"/>
      <c r="H320" s="11" t="s">
        <v>250</v>
      </c>
      <c r="I320" s="10">
        <v>28</v>
      </c>
      <c r="J320" s="16">
        <v>10</v>
      </c>
      <c r="K320" s="16">
        <v>3</v>
      </c>
      <c r="L320" s="122" t="s">
        <v>580</v>
      </c>
      <c r="M320" s="123" t="s">
        <v>563</v>
      </c>
      <c r="N320" s="123" t="s">
        <v>583</v>
      </c>
      <c r="O320" s="123" t="s">
        <v>251</v>
      </c>
      <c r="P320" s="10"/>
      <c r="Q320" s="214">
        <f>Q321</f>
        <v>72</v>
      </c>
      <c r="R320" s="216">
        <f>R321</f>
        <v>72</v>
      </c>
    </row>
    <row r="321" spans="1:18" ht="24" customHeight="1">
      <c r="A321" s="110"/>
      <c r="B321" s="111"/>
      <c r="C321" s="106"/>
      <c r="D321" s="107"/>
      <c r="E321" s="104"/>
      <c r="F321" s="104"/>
      <c r="G321" s="105"/>
      <c r="H321" s="11" t="s">
        <v>724</v>
      </c>
      <c r="I321" s="10">
        <v>28</v>
      </c>
      <c r="J321" s="16">
        <v>10</v>
      </c>
      <c r="K321" s="16">
        <v>3</v>
      </c>
      <c r="L321" s="122" t="s">
        <v>580</v>
      </c>
      <c r="M321" s="123" t="s">
        <v>563</v>
      </c>
      <c r="N321" s="123" t="s">
        <v>583</v>
      </c>
      <c r="O321" s="123" t="s">
        <v>251</v>
      </c>
      <c r="P321" s="10">
        <v>310</v>
      </c>
      <c r="Q321" s="214">
        <v>72</v>
      </c>
      <c r="R321" s="216">
        <v>72</v>
      </c>
    </row>
    <row r="322" spans="1:18" s="319" customFormat="1" ht="26.25" customHeight="1">
      <c r="A322" s="158"/>
      <c r="B322" s="159"/>
      <c r="C322" s="160"/>
      <c r="D322" s="161"/>
      <c r="E322" s="162"/>
      <c r="F322" s="162">
        <v>5250102</v>
      </c>
      <c r="G322" s="163">
        <v>530</v>
      </c>
      <c r="H322" s="33" t="s">
        <v>373</v>
      </c>
      <c r="I322" s="14">
        <v>658</v>
      </c>
      <c r="J322" s="15" t="s">
        <v>534</v>
      </c>
      <c r="K322" s="15" t="s">
        <v>534</v>
      </c>
      <c r="L322" s="164" t="s">
        <v>534</v>
      </c>
      <c r="M322" s="165" t="s">
        <v>534</v>
      </c>
      <c r="N322" s="165"/>
      <c r="O322" s="165" t="s">
        <v>534</v>
      </c>
      <c r="P322" s="14" t="s">
        <v>534</v>
      </c>
      <c r="Q322" s="212">
        <f>Q323</f>
        <v>1542.6999999999998</v>
      </c>
      <c r="R322" s="212">
        <f>R323</f>
        <v>1542.6999999999998</v>
      </c>
    </row>
    <row r="323" spans="1:18" s="179" customFormat="1" ht="25.5" customHeight="1">
      <c r="A323" s="142"/>
      <c r="B323" s="143"/>
      <c r="C323" s="153"/>
      <c r="D323" s="150"/>
      <c r="E323" s="154"/>
      <c r="F323" s="154"/>
      <c r="G323" s="155">
        <v>530</v>
      </c>
      <c r="H323" s="137" t="s">
        <v>536</v>
      </c>
      <c r="I323" s="138">
        <v>658</v>
      </c>
      <c r="J323" s="139">
        <v>1</v>
      </c>
      <c r="K323" s="139">
        <v>0</v>
      </c>
      <c r="L323" s="140" t="s">
        <v>534</v>
      </c>
      <c r="M323" s="141" t="s">
        <v>534</v>
      </c>
      <c r="N323" s="141"/>
      <c r="O323" s="141" t="s">
        <v>534</v>
      </c>
      <c r="P323" s="138" t="s">
        <v>534</v>
      </c>
      <c r="Q323" s="213">
        <f>Q324</f>
        <v>1542.6999999999998</v>
      </c>
      <c r="R323" s="213">
        <f>R324</f>
        <v>1542.6999999999998</v>
      </c>
    </row>
    <row r="324" spans="1:18" s="179" customFormat="1" ht="33.75" customHeight="1">
      <c r="A324" s="142"/>
      <c r="B324" s="143"/>
      <c r="C324" s="153"/>
      <c r="D324" s="150"/>
      <c r="E324" s="154"/>
      <c r="F324" s="154">
        <v>5250103</v>
      </c>
      <c r="G324" s="155">
        <v>530</v>
      </c>
      <c r="H324" s="137" t="s">
        <v>371</v>
      </c>
      <c r="I324" s="138">
        <v>658</v>
      </c>
      <c r="J324" s="139">
        <v>1</v>
      </c>
      <c r="K324" s="139">
        <v>6</v>
      </c>
      <c r="L324" s="140" t="s">
        <v>534</v>
      </c>
      <c r="M324" s="141" t="s">
        <v>534</v>
      </c>
      <c r="N324" s="141"/>
      <c r="O324" s="141" t="s">
        <v>534</v>
      </c>
      <c r="P324" s="138" t="s">
        <v>534</v>
      </c>
      <c r="Q324" s="213">
        <f>Q325+Q328</f>
        <v>1542.6999999999998</v>
      </c>
      <c r="R324" s="213">
        <f>R325+R328</f>
        <v>1542.6999999999998</v>
      </c>
    </row>
    <row r="325" spans="1:18" ht="22.5" customHeight="1">
      <c r="A325" s="99"/>
      <c r="B325" s="98"/>
      <c r="C325" s="103"/>
      <c r="D325" s="101"/>
      <c r="E325" s="113"/>
      <c r="F325" s="113">
        <v>5250104</v>
      </c>
      <c r="G325" s="105">
        <v>530</v>
      </c>
      <c r="H325" s="11" t="s">
        <v>342</v>
      </c>
      <c r="I325" s="10">
        <v>658</v>
      </c>
      <c r="J325" s="16">
        <v>1</v>
      </c>
      <c r="K325" s="16">
        <v>6</v>
      </c>
      <c r="L325" s="16" t="s">
        <v>580</v>
      </c>
      <c r="M325" s="96" t="s">
        <v>563</v>
      </c>
      <c r="N325" s="96" t="s">
        <v>583</v>
      </c>
      <c r="O325" s="96" t="s">
        <v>648</v>
      </c>
      <c r="P325" s="10" t="s">
        <v>534</v>
      </c>
      <c r="Q325" s="214">
        <f>SUM(Q326:Q327)</f>
        <v>1542.6999999999998</v>
      </c>
      <c r="R325" s="214">
        <f>SUM(R326:R327)</f>
        <v>1542.6999999999998</v>
      </c>
    </row>
    <row r="326" spans="1:18" ht="22.5" customHeight="1">
      <c r="A326" s="99"/>
      <c r="B326" s="98"/>
      <c r="C326" s="103"/>
      <c r="D326" s="101"/>
      <c r="E326" s="113"/>
      <c r="F326" s="113"/>
      <c r="G326" s="105"/>
      <c r="H326" s="11" t="s">
        <v>533</v>
      </c>
      <c r="I326" s="6">
        <v>658</v>
      </c>
      <c r="J326" s="19">
        <v>1</v>
      </c>
      <c r="K326" s="16">
        <v>6</v>
      </c>
      <c r="L326" s="16">
        <v>91</v>
      </c>
      <c r="M326" s="96" t="s">
        <v>563</v>
      </c>
      <c r="N326" s="96" t="s">
        <v>583</v>
      </c>
      <c r="O326" s="96" t="s">
        <v>648</v>
      </c>
      <c r="P326" s="10">
        <v>120</v>
      </c>
      <c r="Q326" s="214">
        <f>1273.6+251.1</f>
        <v>1524.6999999999998</v>
      </c>
      <c r="R326" s="214">
        <f>1273.6+251.1</f>
        <v>1524.6999999999998</v>
      </c>
    </row>
    <row r="327" spans="1:18" ht="20.25" customHeight="1">
      <c r="A327" s="99"/>
      <c r="B327" s="98"/>
      <c r="C327" s="103"/>
      <c r="D327" s="101"/>
      <c r="E327" s="113"/>
      <c r="F327" s="113"/>
      <c r="G327" s="105"/>
      <c r="H327" s="5" t="s">
        <v>720</v>
      </c>
      <c r="I327" s="8">
        <v>658</v>
      </c>
      <c r="J327" s="21">
        <v>1</v>
      </c>
      <c r="K327" s="16">
        <v>6</v>
      </c>
      <c r="L327" s="16">
        <v>91</v>
      </c>
      <c r="M327" s="96" t="s">
        <v>563</v>
      </c>
      <c r="N327" s="96" t="s">
        <v>583</v>
      </c>
      <c r="O327" s="96" t="s">
        <v>648</v>
      </c>
      <c r="P327" s="6">
        <v>240</v>
      </c>
      <c r="Q327" s="214">
        <f>269.1-251.1</f>
        <v>18.00000000000003</v>
      </c>
      <c r="R327" s="214">
        <f>269.1-251.1</f>
        <v>18.00000000000003</v>
      </c>
    </row>
    <row r="328" spans="1:18" ht="21.75" customHeight="1" hidden="1">
      <c r="A328" s="99"/>
      <c r="B328" s="98"/>
      <c r="C328" s="103"/>
      <c r="D328" s="101"/>
      <c r="E328" s="104"/>
      <c r="F328" s="104"/>
      <c r="G328" s="89"/>
      <c r="H328" s="11" t="s">
        <v>243</v>
      </c>
      <c r="I328" s="10">
        <v>658</v>
      </c>
      <c r="J328" s="7">
        <v>1</v>
      </c>
      <c r="K328" s="16">
        <v>6</v>
      </c>
      <c r="L328" s="16">
        <v>91</v>
      </c>
      <c r="M328" s="96" t="s">
        <v>563</v>
      </c>
      <c r="N328" s="96" t="s">
        <v>583</v>
      </c>
      <c r="O328" s="96" t="s">
        <v>242</v>
      </c>
      <c r="P328" s="10"/>
      <c r="Q328" s="214"/>
      <c r="R328" s="214"/>
    </row>
    <row r="329" spans="1:18" ht="21" customHeight="1" hidden="1">
      <c r="A329" s="99"/>
      <c r="B329" s="98"/>
      <c r="C329" s="103"/>
      <c r="D329" s="101"/>
      <c r="E329" s="104"/>
      <c r="F329" s="104"/>
      <c r="G329" s="89"/>
      <c r="H329" s="11" t="s">
        <v>533</v>
      </c>
      <c r="I329" s="10">
        <v>658</v>
      </c>
      <c r="J329" s="7">
        <v>1</v>
      </c>
      <c r="K329" s="16">
        <v>6</v>
      </c>
      <c r="L329" s="16">
        <v>91</v>
      </c>
      <c r="M329" s="96" t="s">
        <v>563</v>
      </c>
      <c r="N329" s="96" t="s">
        <v>583</v>
      </c>
      <c r="O329" s="96" t="s">
        <v>242</v>
      </c>
      <c r="P329" s="10">
        <v>120</v>
      </c>
      <c r="Q329" s="214">
        <v>0</v>
      </c>
      <c r="R329" s="214">
        <v>0</v>
      </c>
    </row>
    <row r="330" spans="1:18" ht="28.5" customHeight="1" hidden="1">
      <c r="A330" s="99"/>
      <c r="B330" s="98"/>
      <c r="C330" s="103"/>
      <c r="D330" s="101"/>
      <c r="E330" s="104"/>
      <c r="F330" s="104"/>
      <c r="G330" s="89"/>
      <c r="H330" s="11" t="s">
        <v>720</v>
      </c>
      <c r="I330" s="10">
        <v>658</v>
      </c>
      <c r="J330" s="7">
        <v>1</v>
      </c>
      <c r="K330" s="16">
        <v>6</v>
      </c>
      <c r="L330" s="16">
        <v>91</v>
      </c>
      <c r="M330" s="96" t="s">
        <v>563</v>
      </c>
      <c r="N330" s="96" t="s">
        <v>583</v>
      </c>
      <c r="O330" s="96" t="s">
        <v>242</v>
      </c>
      <c r="P330" s="10">
        <v>240</v>
      </c>
      <c r="Q330" s="214">
        <v>0</v>
      </c>
      <c r="R330" s="214">
        <v>0</v>
      </c>
    </row>
    <row r="331" spans="1:18" ht="27" customHeight="1" hidden="1">
      <c r="A331" s="99"/>
      <c r="B331" s="98"/>
      <c r="C331" s="103"/>
      <c r="D331" s="101"/>
      <c r="E331" s="104"/>
      <c r="F331" s="104"/>
      <c r="G331" s="89"/>
      <c r="H331" s="11" t="s">
        <v>721</v>
      </c>
      <c r="I331" s="10">
        <v>658</v>
      </c>
      <c r="J331" s="7">
        <v>1</v>
      </c>
      <c r="K331" s="16">
        <v>6</v>
      </c>
      <c r="L331" s="16">
        <v>91</v>
      </c>
      <c r="M331" s="96" t="s">
        <v>563</v>
      </c>
      <c r="N331" s="96" t="s">
        <v>583</v>
      </c>
      <c r="O331" s="96" t="s">
        <v>242</v>
      </c>
      <c r="P331" s="10">
        <v>850</v>
      </c>
      <c r="Q331" s="214"/>
      <c r="R331" s="214"/>
    </row>
    <row r="332" spans="1:18" s="319" customFormat="1" ht="27.75" customHeight="1">
      <c r="A332" s="158"/>
      <c r="B332" s="159"/>
      <c r="C332" s="160"/>
      <c r="D332" s="161"/>
      <c r="E332" s="391">
        <v>5250300</v>
      </c>
      <c r="F332" s="391"/>
      <c r="G332" s="132">
        <v>530</v>
      </c>
      <c r="H332" s="33" t="s">
        <v>372</v>
      </c>
      <c r="I332" s="14">
        <v>660</v>
      </c>
      <c r="J332" s="15" t="s">
        <v>534</v>
      </c>
      <c r="K332" s="15" t="s">
        <v>534</v>
      </c>
      <c r="L332" s="133" t="s">
        <v>534</v>
      </c>
      <c r="M332" s="134" t="s">
        <v>534</v>
      </c>
      <c r="N332" s="134"/>
      <c r="O332" s="134" t="s">
        <v>534</v>
      </c>
      <c r="P332" s="14" t="s">
        <v>534</v>
      </c>
      <c r="Q332" s="212">
        <f aca="true" t="shared" si="8" ref="Q332:R334">Q333</f>
        <v>1051.3</v>
      </c>
      <c r="R332" s="212">
        <f t="shared" si="8"/>
        <v>1051.3</v>
      </c>
    </row>
    <row r="333" spans="1:18" s="179" customFormat="1" ht="18.75" customHeight="1">
      <c r="A333" s="166"/>
      <c r="B333" s="167"/>
      <c r="C333" s="157"/>
      <c r="D333" s="144"/>
      <c r="E333" s="145"/>
      <c r="F333" s="145"/>
      <c r="G333" s="155">
        <v>530</v>
      </c>
      <c r="H333" s="137" t="s">
        <v>536</v>
      </c>
      <c r="I333" s="138">
        <v>660</v>
      </c>
      <c r="J333" s="139">
        <v>1</v>
      </c>
      <c r="K333" s="139">
        <v>0</v>
      </c>
      <c r="L333" s="140" t="s">
        <v>534</v>
      </c>
      <c r="M333" s="141" t="s">
        <v>534</v>
      </c>
      <c r="N333" s="141"/>
      <c r="O333" s="141" t="s">
        <v>534</v>
      </c>
      <c r="P333" s="146" t="s">
        <v>534</v>
      </c>
      <c r="Q333" s="217">
        <f t="shared" si="8"/>
        <v>1051.3</v>
      </c>
      <c r="R333" s="217">
        <f t="shared" si="8"/>
        <v>1051.3</v>
      </c>
    </row>
    <row r="334" spans="1:18" s="179" customFormat="1" ht="18.75" customHeight="1">
      <c r="A334" s="370">
        <v>1000</v>
      </c>
      <c r="B334" s="370"/>
      <c r="C334" s="371"/>
      <c r="D334" s="371"/>
      <c r="E334" s="371"/>
      <c r="F334" s="371"/>
      <c r="G334" s="136">
        <v>530</v>
      </c>
      <c r="H334" s="137" t="s">
        <v>535</v>
      </c>
      <c r="I334" s="138">
        <v>660</v>
      </c>
      <c r="J334" s="139">
        <v>1</v>
      </c>
      <c r="K334" s="139">
        <v>13</v>
      </c>
      <c r="L334" s="140" t="s">
        <v>534</v>
      </c>
      <c r="M334" s="141" t="s">
        <v>534</v>
      </c>
      <c r="N334" s="141"/>
      <c r="O334" s="141" t="s">
        <v>534</v>
      </c>
      <c r="P334" s="138" t="s">
        <v>534</v>
      </c>
      <c r="Q334" s="213">
        <f t="shared" si="8"/>
        <v>1051.3</v>
      </c>
      <c r="R334" s="213">
        <f t="shared" si="8"/>
        <v>1051.3</v>
      </c>
    </row>
    <row r="335" spans="1:18" s="179" customFormat="1" ht="18.75" customHeight="1">
      <c r="A335" s="142"/>
      <c r="B335" s="143"/>
      <c r="C335" s="166"/>
      <c r="D335" s="135"/>
      <c r="E335" s="135"/>
      <c r="F335" s="135"/>
      <c r="G335" s="136"/>
      <c r="H335" s="11" t="s">
        <v>299</v>
      </c>
      <c r="I335" s="10">
        <v>660</v>
      </c>
      <c r="J335" s="16">
        <v>1</v>
      </c>
      <c r="K335" s="16">
        <v>13</v>
      </c>
      <c r="L335" s="95" t="s">
        <v>580</v>
      </c>
      <c r="M335" s="96" t="s">
        <v>563</v>
      </c>
      <c r="N335" s="96" t="s">
        <v>583</v>
      </c>
      <c r="O335" s="96" t="s">
        <v>620</v>
      </c>
      <c r="P335" s="138"/>
      <c r="Q335" s="214">
        <f>Q336+Q339</f>
        <v>1051.3</v>
      </c>
      <c r="R335" s="214">
        <f>R336+R339</f>
        <v>1051.3</v>
      </c>
    </row>
    <row r="336" spans="1:18" ht="18.75" customHeight="1">
      <c r="A336" s="99"/>
      <c r="B336" s="98"/>
      <c r="C336" s="97"/>
      <c r="D336" s="363">
        <v>5050000</v>
      </c>
      <c r="E336" s="364"/>
      <c r="F336" s="364"/>
      <c r="G336" s="89">
        <v>321</v>
      </c>
      <c r="H336" s="11" t="s">
        <v>342</v>
      </c>
      <c r="I336" s="10">
        <v>660</v>
      </c>
      <c r="J336" s="16">
        <v>1</v>
      </c>
      <c r="K336" s="16">
        <v>13</v>
      </c>
      <c r="L336" s="16" t="s">
        <v>580</v>
      </c>
      <c r="M336" s="96" t="s">
        <v>563</v>
      </c>
      <c r="N336" s="96" t="s">
        <v>583</v>
      </c>
      <c r="O336" s="96" t="s">
        <v>648</v>
      </c>
      <c r="P336" s="10" t="s">
        <v>534</v>
      </c>
      <c r="Q336" s="214">
        <f>SUM(Q337:Q338)</f>
        <v>1051.3</v>
      </c>
      <c r="R336" s="214">
        <f>SUM(R337:R338)</f>
        <v>1051.3</v>
      </c>
    </row>
    <row r="337" spans="1:18" ht="26.25" customHeight="1">
      <c r="A337" s="99"/>
      <c r="B337" s="98"/>
      <c r="C337" s="97"/>
      <c r="D337" s="101"/>
      <c r="E337" s="100"/>
      <c r="F337" s="100"/>
      <c r="G337" s="89"/>
      <c r="H337" s="11" t="s">
        <v>533</v>
      </c>
      <c r="I337" s="6">
        <v>660</v>
      </c>
      <c r="J337" s="19">
        <v>1</v>
      </c>
      <c r="K337" s="16">
        <v>13</v>
      </c>
      <c r="L337" s="16">
        <v>91</v>
      </c>
      <c r="M337" s="96" t="s">
        <v>563</v>
      </c>
      <c r="N337" s="96" t="s">
        <v>583</v>
      </c>
      <c r="O337" s="96" t="s">
        <v>648</v>
      </c>
      <c r="P337" s="10">
        <v>120</v>
      </c>
      <c r="Q337" s="214">
        <f>869.3+150.7</f>
        <v>1020</v>
      </c>
      <c r="R337" s="214">
        <f>869.3+150.7</f>
        <v>1020</v>
      </c>
    </row>
    <row r="338" spans="1:18" ht="27.75" customHeight="1">
      <c r="A338" s="99"/>
      <c r="B338" s="98"/>
      <c r="C338" s="103"/>
      <c r="D338" s="101"/>
      <c r="E338" s="113"/>
      <c r="F338" s="113"/>
      <c r="G338" s="89"/>
      <c r="H338" s="5" t="s">
        <v>720</v>
      </c>
      <c r="I338" s="6">
        <v>660</v>
      </c>
      <c r="J338" s="21">
        <v>1</v>
      </c>
      <c r="K338" s="16">
        <v>13</v>
      </c>
      <c r="L338" s="16">
        <v>91</v>
      </c>
      <c r="M338" s="96" t="s">
        <v>563</v>
      </c>
      <c r="N338" s="96" t="s">
        <v>583</v>
      </c>
      <c r="O338" s="96" t="s">
        <v>648</v>
      </c>
      <c r="P338" s="6">
        <v>240</v>
      </c>
      <c r="Q338" s="214">
        <f>182-150.7</f>
        <v>31.30000000000001</v>
      </c>
      <c r="R338" s="214">
        <f>182-150.7</f>
        <v>31.30000000000001</v>
      </c>
    </row>
    <row r="339" spans="1:18" ht="36.75" customHeight="1" hidden="1">
      <c r="A339" s="99"/>
      <c r="B339" s="98"/>
      <c r="C339" s="103"/>
      <c r="D339" s="107"/>
      <c r="E339" s="104"/>
      <c r="F339" s="104"/>
      <c r="G339" s="105"/>
      <c r="H339" s="11" t="s">
        <v>245</v>
      </c>
      <c r="I339" s="10">
        <v>660</v>
      </c>
      <c r="J339" s="7">
        <v>1</v>
      </c>
      <c r="K339" s="16">
        <v>13</v>
      </c>
      <c r="L339" s="16">
        <v>91</v>
      </c>
      <c r="M339" s="96" t="s">
        <v>563</v>
      </c>
      <c r="N339" s="96" t="s">
        <v>583</v>
      </c>
      <c r="O339" s="96" t="s">
        <v>244</v>
      </c>
      <c r="P339" s="6"/>
      <c r="Q339" s="216"/>
      <c r="R339" s="216"/>
    </row>
    <row r="340" spans="1:18" ht="30.75" customHeight="1" hidden="1">
      <c r="A340" s="99"/>
      <c r="B340" s="98"/>
      <c r="C340" s="103"/>
      <c r="D340" s="107"/>
      <c r="E340" s="104"/>
      <c r="F340" s="104"/>
      <c r="G340" s="105"/>
      <c r="H340" s="11" t="s">
        <v>533</v>
      </c>
      <c r="I340" s="10">
        <v>660</v>
      </c>
      <c r="J340" s="7">
        <v>1</v>
      </c>
      <c r="K340" s="16">
        <v>13</v>
      </c>
      <c r="L340" s="16">
        <v>91</v>
      </c>
      <c r="M340" s="96" t="s">
        <v>563</v>
      </c>
      <c r="N340" s="96" t="s">
        <v>583</v>
      </c>
      <c r="O340" s="96" t="s">
        <v>244</v>
      </c>
      <c r="P340" s="6">
        <v>120</v>
      </c>
      <c r="Q340" s="216"/>
      <c r="R340" s="216"/>
    </row>
    <row r="341" spans="1:18" ht="24.75" customHeight="1" hidden="1">
      <c r="A341" s="99"/>
      <c r="B341" s="98"/>
      <c r="C341" s="103"/>
      <c r="D341" s="107"/>
      <c r="E341" s="104"/>
      <c r="F341" s="104"/>
      <c r="G341" s="105"/>
      <c r="H341" s="11" t="s">
        <v>720</v>
      </c>
      <c r="I341" s="10">
        <v>660</v>
      </c>
      <c r="J341" s="7">
        <v>1</v>
      </c>
      <c r="K341" s="16">
        <v>13</v>
      </c>
      <c r="L341" s="16">
        <v>91</v>
      </c>
      <c r="M341" s="96" t="s">
        <v>563</v>
      </c>
      <c r="N341" s="96" t="s">
        <v>583</v>
      </c>
      <c r="O341" s="96" t="s">
        <v>244</v>
      </c>
      <c r="P341" s="6">
        <v>240</v>
      </c>
      <c r="Q341" s="214"/>
      <c r="R341" s="214"/>
    </row>
    <row r="342" spans="1:18" s="319" customFormat="1" ht="26.25" customHeight="1">
      <c r="A342" s="158"/>
      <c r="B342" s="159"/>
      <c r="C342" s="160"/>
      <c r="D342" s="168"/>
      <c r="E342" s="169"/>
      <c r="F342" s="169"/>
      <c r="G342" s="163">
        <v>321</v>
      </c>
      <c r="H342" s="33" t="s">
        <v>374</v>
      </c>
      <c r="I342" s="14">
        <v>661</v>
      </c>
      <c r="J342" s="15" t="s">
        <v>534</v>
      </c>
      <c r="K342" s="15" t="s">
        <v>534</v>
      </c>
      <c r="L342" s="133" t="s">
        <v>534</v>
      </c>
      <c r="M342" s="134" t="s">
        <v>534</v>
      </c>
      <c r="N342" s="134"/>
      <c r="O342" s="134" t="s">
        <v>534</v>
      </c>
      <c r="P342" s="28" t="s">
        <v>534</v>
      </c>
      <c r="Q342" s="220">
        <f>Q343+Q373+Q380</f>
        <v>37991</v>
      </c>
      <c r="R342" s="220">
        <f>R343+R373+R380</f>
        <v>38084</v>
      </c>
    </row>
    <row r="343" spans="1:18" s="179" customFormat="1" ht="18.75" customHeight="1">
      <c r="A343" s="142"/>
      <c r="B343" s="143"/>
      <c r="C343" s="142"/>
      <c r="D343" s="380">
        <v>5200000</v>
      </c>
      <c r="E343" s="381"/>
      <c r="F343" s="381"/>
      <c r="G343" s="136">
        <v>530</v>
      </c>
      <c r="H343" s="137" t="s">
        <v>536</v>
      </c>
      <c r="I343" s="138">
        <v>661</v>
      </c>
      <c r="J343" s="139">
        <v>1</v>
      </c>
      <c r="K343" s="139" t="s">
        <v>621</v>
      </c>
      <c r="L343" s="140" t="s">
        <v>534</v>
      </c>
      <c r="M343" s="141" t="s">
        <v>534</v>
      </c>
      <c r="N343" s="141"/>
      <c r="O343" s="141" t="s">
        <v>534</v>
      </c>
      <c r="P343" s="146" t="s">
        <v>534</v>
      </c>
      <c r="Q343" s="217">
        <f>Q344+Q362</f>
        <v>20167.2</v>
      </c>
      <c r="R343" s="217">
        <f>R344+R362</f>
        <v>20167.2</v>
      </c>
    </row>
    <row r="344" spans="1:18" s="179" customFormat="1" ht="36.75" customHeight="1">
      <c r="A344" s="142"/>
      <c r="B344" s="143"/>
      <c r="C344" s="153"/>
      <c r="D344" s="150"/>
      <c r="E344" s="379">
        <v>5201000</v>
      </c>
      <c r="F344" s="379"/>
      <c r="G344" s="136">
        <v>530</v>
      </c>
      <c r="H344" s="137" t="s">
        <v>371</v>
      </c>
      <c r="I344" s="138">
        <v>661</v>
      </c>
      <c r="J344" s="139">
        <v>1</v>
      </c>
      <c r="K344" s="139">
        <v>6</v>
      </c>
      <c r="L344" s="140" t="s">
        <v>534</v>
      </c>
      <c r="M344" s="141" t="s">
        <v>534</v>
      </c>
      <c r="N344" s="141"/>
      <c r="O344" s="141" t="s">
        <v>534</v>
      </c>
      <c r="P344" s="146" t="s">
        <v>534</v>
      </c>
      <c r="Q344" s="217">
        <f>Q345</f>
        <v>6771.8</v>
      </c>
      <c r="R344" s="217">
        <f>R345</f>
        <v>6771.8</v>
      </c>
    </row>
    <row r="345" spans="1:18" ht="36.75" customHeight="1">
      <c r="A345" s="97"/>
      <c r="B345" s="98"/>
      <c r="C345" s="103"/>
      <c r="D345" s="101"/>
      <c r="E345" s="104"/>
      <c r="F345" s="104"/>
      <c r="G345" s="89"/>
      <c r="H345" s="11" t="s">
        <v>708</v>
      </c>
      <c r="I345" s="10">
        <v>661</v>
      </c>
      <c r="J345" s="16">
        <v>1</v>
      </c>
      <c r="K345" s="16">
        <v>6</v>
      </c>
      <c r="L345" s="95" t="s">
        <v>709</v>
      </c>
      <c r="M345" s="96" t="s">
        <v>563</v>
      </c>
      <c r="N345" s="96" t="s">
        <v>583</v>
      </c>
      <c r="O345" s="96" t="s">
        <v>620</v>
      </c>
      <c r="P345" s="6"/>
      <c r="Q345" s="216">
        <f>Q346+Q350</f>
        <v>6771.8</v>
      </c>
      <c r="R345" s="216">
        <f>R346+R350</f>
        <v>6771.8</v>
      </c>
    </row>
    <row r="346" spans="1:18" ht="36.75" customHeight="1">
      <c r="A346" s="97"/>
      <c r="B346" s="98"/>
      <c r="C346" s="114"/>
      <c r="D346" s="107"/>
      <c r="E346" s="104"/>
      <c r="F346" s="104"/>
      <c r="G346" s="89"/>
      <c r="H346" s="11" t="s">
        <v>717</v>
      </c>
      <c r="I346" s="10">
        <v>661</v>
      </c>
      <c r="J346" s="16">
        <v>1</v>
      </c>
      <c r="K346" s="16">
        <v>6</v>
      </c>
      <c r="L346" s="95" t="s">
        <v>709</v>
      </c>
      <c r="M346" s="96" t="s">
        <v>565</v>
      </c>
      <c r="N346" s="96" t="s">
        <v>583</v>
      </c>
      <c r="O346" s="96" t="s">
        <v>620</v>
      </c>
      <c r="P346" s="6"/>
      <c r="Q346" s="216">
        <f aca="true" t="shared" si="9" ref="Q346:R348">Q347</f>
        <v>50</v>
      </c>
      <c r="R346" s="216">
        <f t="shared" si="9"/>
        <v>50</v>
      </c>
    </row>
    <row r="347" spans="1:18" ht="36.75" customHeight="1">
      <c r="A347" s="97"/>
      <c r="B347" s="98"/>
      <c r="C347" s="114"/>
      <c r="D347" s="107"/>
      <c r="E347" s="104"/>
      <c r="F347" s="104"/>
      <c r="G347" s="89"/>
      <c r="H347" s="11" t="s">
        <v>37</v>
      </c>
      <c r="I347" s="10">
        <v>661</v>
      </c>
      <c r="J347" s="16">
        <v>1</v>
      </c>
      <c r="K347" s="16">
        <v>6</v>
      </c>
      <c r="L347" s="95" t="s">
        <v>709</v>
      </c>
      <c r="M347" s="96" t="s">
        <v>565</v>
      </c>
      <c r="N347" s="96" t="s">
        <v>564</v>
      </c>
      <c r="O347" s="96" t="s">
        <v>620</v>
      </c>
      <c r="P347" s="6"/>
      <c r="Q347" s="216">
        <f t="shared" si="9"/>
        <v>50</v>
      </c>
      <c r="R347" s="216">
        <f t="shared" si="9"/>
        <v>50</v>
      </c>
    </row>
    <row r="348" spans="1:18" ht="21.75" customHeight="1">
      <c r="A348" s="97"/>
      <c r="B348" s="98"/>
      <c r="C348" s="114"/>
      <c r="D348" s="107"/>
      <c r="E348" s="104"/>
      <c r="F348" s="104"/>
      <c r="G348" s="89"/>
      <c r="H348" s="11" t="s">
        <v>342</v>
      </c>
      <c r="I348" s="10">
        <v>661</v>
      </c>
      <c r="J348" s="16">
        <v>1</v>
      </c>
      <c r="K348" s="16">
        <v>6</v>
      </c>
      <c r="L348" s="95" t="s">
        <v>709</v>
      </c>
      <c r="M348" s="96" t="s">
        <v>565</v>
      </c>
      <c r="N348" s="96" t="s">
        <v>564</v>
      </c>
      <c r="O348" s="96" t="s">
        <v>648</v>
      </c>
      <c r="P348" s="6"/>
      <c r="Q348" s="216">
        <f t="shared" si="9"/>
        <v>50</v>
      </c>
      <c r="R348" s="216">
        <f t="shared" si="9"/>
        <v>50</v>
      </c>
    </row>
    <row r="349" spans="1:18" ht="28.5" customHeight="1">
      <c r="A349" s="97"/>
      <c r="B349" s="98"/>
      <c r="C349" s="114"/>
      <c r="D349" s="107"/>
      <c r="E349" s="104"/>
      <c r="F349" s="104"/>
      <c r="G349" s="89"/>
      <c r="H349" s="11" t="s">
        <v>720</v>
      </c>
      <c r="I349" s="10">
        <v>661</v>
      </c>
      <c r="J349" s="16">
        <v>1</v>
      </c>
      <c r="K349" s="16">
        <v>6</v>
      </c>
      <c r="L349" s="95" t="s">
        <v>709</v>
      </c>
      <c r="M349" s="96" t="s">
        <v>565</v>
      </c>
      <c r="N349" s="96" t="s">
        <v>564</v>
      </c>
      <c r="O349" s="96" t="s">
        <v>648</v>
      </c>
      <c r="P349" s="6">
        <v>240</v>
      </c>
      <c r="Q349" s="216">
        <v>50</v>
      </c>
      <c r="R349" s="216">
        <v>50</v>
      </c>
    </row>
    <row r="350" spans="1:18" ht="38.25" customHeight="1">
      <c r="A350" s="97"/>
      <c r="B350" s="98"/>
      <c r="C350" s="114"/>
      <c r="D350" s="94"/>
      <c r="E350" s="94"/>
      <c r="F350" s="94"/>
      <c r="G350" s="89"/>
      <c r="H350" s="11" t="s">
        <v>715</v>
      </c>
      <c r="I350" s="10">
        <v>661</v>
      </c>
      <c r="J350" s="16">
        <v>1</v>
      </c>
      <c r="K350" s="16">
        <v>6</v>
      </c>
      <c r="L350" s="95" t="s">
        <v>709</v>
      </c>
      <c r="M350" s="96" t="s">
        <v>560</v>
      </c>
      <c r="N350" s="96" t="s">
        <v>583</v>
      </c>
      <c r="O350" s="96" t="s">
        <v>620</v>
      </c>
      <c r="P350" s="10"/>
      <c r="Q350" s="214">
        <f>Q351</f>
        <v>6721.8</v>
      </c>
      <c r="R350" s="214">
        <f>R351</f>
        <v>6721.8</v>
      </c>
    </row>
    <row r="351" spans="1:18" ht="68.25" customHeight="1">
      <c r="A351" s="97"/>
      <c r="B351" s="98"/>
      <c r="C351" s="114"/>
      <c r="D351" s="111"/>
      <c r="E351" s="114"/>
      <c r="F351" s="114"/>
      <c r="G351" s="89"/>
      <c r="H351" s="11" t="s">
        <v>33</v>
      </c>
      <c r="I351" s="10">
        <v>661</v>
      </c>
      <c r="J351" s="16">
        <v>1</v>
      </c>
      <c r="K351" s="16">
        <v>6</v>
      </c>
      <c r="L351" s="95" t="s">
        <v>709</v>
      </c>
      <c r="M351" s="96" t="s">
        <v>560</v>
      </c>
      <c r="N351" s="96" t="s">
        <v>564</v>
      </c>
      <c r="O351" s="96" t="s">
        <v>620</v>
      </c>
      <c r="P351" s="6"/>
      <c r="Q351" s="216">
        <f>Q352+Q356+Q359</f>
        <v>6721.8</v>
      </c>
      <c r="R351" s="216">
        <f>R352+R356+R359</f>
        <v>6721.8</v>
      </c>
    </row>
    <row r="352" spans="1:18" ht="30" customHeight="1">
      <c r="A352" s="99"/>
      <c r="B352" s="98"/>
      <c r="C352" s="103"/>
      <c r="D352" s="101"/>
      <c r="E352" s="104"/>
      <c r="F352" s="104"/>
      <c r="G352" s="105">
        <v>530</v>
      </c>
      <c r="H352" s="11" t="s">
        <v>342</v>
      </c>
      <c r="I352" s="10">
        <v>661</v>
      </c>
      <c r="J352" s="16">
        <v>1</v>
      </c>
      <c r="K352" s="16">
        <v>6</v>
      </c>
      <c r="L352" s="16">
        <v>33</v>
      </c>
      <c r="M352" s="96" t="s">
        <v>560</v>
      </c>
      <c r="N352" s="96" t="s">
        <v>564</v>
      </c>
      <c r="O352" s="96" t="s">
        <v>648</v>
      </c>
      <c r="P352" s="6" t="s">
        <v>534</v>
      </c>
      <c r="Q352" s="216">
        <f>SUM(Q353:Q355)</f>
        <v>6721.8</v>
      </c>
      <c r="R352" s="216">
        <f>SUM(R353:R355)</f>
        <v>6721.8</v>
      </c>
    </row>
    <row r="353" spans="1:18" ht="22.5" customHeight="1">
      <c r="A353" s="110"/>
      <c r="B353" s="111"/>
      <c r="C353" s="106"/>
      <c r="D353" s="107"/>
      <c r="E353" s="104"/>
      <c r="F353" s="104"/>
      <c r="G353" s="89"/>
      <c r="H353" s="11" t="s">
        <v>533</v>
      </c>
      <c r="I353" s="6">
        <v>661</v>
      </c>
      <c r="J353" s="19">
        <v>1</v>
      </c>
      <c r="K353" s="16">
        <v>6</v>
      </c>
      <c r="L353" s="16">
        <v>33</v>
      </c>
      <c r="M353" s="96" t="s">
        <v>560</v>
      </c>
      <c r="N353" s="96" t="s">
        <v>564</v>
      </c>
      <c r="O353" s="96" t="s">
        <v>648</v>
      </c>
      <c r="P353" s="6">
        <v>120</v>
      </c>
      <c r="Q353" s="216">
        <f>3765.6+977.2</f>
        <v>4742.8</v>
      </c>
      <c r="R353" s="216">
        <f>3765.6+977.2</f>
        <v>4742.8</v>
      </c>
    </row>
    <row r="354" spans="1:18" ht="21.75" customHeight="1">
      <c r="A354" s="110"/>
      <c r="B354" s="112"/>
      <c r="C354" s="106"/>
      <c r="D354" s="109"/>
      <c r="E354" s="104"/>
      <c r="F354" s="104"/>
      <c r="G354" s="89"/>
      <c r="H354" s="5" t="s">
        <v>720</v>
      </c>
      <c r="I354" s="6">
        <v>661</v>
      </c>
      <c r="J354" s="21">
        <v>1</v>
      </c>
      <c r="K354" s="16">
        <v>6</v>
      </c>
      <c r="L354" s="16">
        <v>33</v>
      </c>
      <c r="M354" s="96" t="s">
        <v>560</v>
      </c>
      <c r="N354" s="96" t="s">
        <v>564</v>
      </c>
      <c r="O354" s="96" t="s">
        <v>648</v>
      </c>
      <c r="P354" s="6">
        <v>240</v>
      </c>
      <c r="Q354" s="214">
        <f>2933.2-977.2</f>
        <v>1955.9999999999998</v>
      </c>
      <c r="R354" s="214">
        <f>2933.2-977.2</f>
        <v>1955.9999999999998</v>
      </c>
    </row>
    <row r="355" spans="1:18" ht="21.75" customHeight="1">
      <c r="A355" s="97"/>
      <c r="B355" s="98"/>
      <c r="C355" s="94"/>
      <c r="D355" s="94"/>
      <c r="E355" s="94"/>
      <c r="F355" s="94"/>
      <c r="G355" s="89"/>
      <c r="H355" s="11" t="s">
        <v>721</v>
      </c>
      <c r="I355" s="10">
        <v>661</v>
      </c>
      <c r="J355" s="16">
        <v>1</v>
      </c>
      <c r="K355" s="16">
        <v>6</v>
      </c>
      <c r="L355" s="95" t="s">
        <v>709</v>
      </c>
      <c r="M355" s="96" t="s">
        <v>560</v>
      </c>
      <c r="N355" s="96" t="s">
        <v>564</v>
      </c>
      <c r="O355" s="96" t="s">
        <v>648</v>
      </c>
      <c r="P355" s="10">
        <v>850</v>
      </c>
      <c r="Q355" s="214">
        <v>23</v>
      </c>
      <c r="R355" s="214">
        <v>23</v>
      </c>
    </row>
    <row r="356" spans="1:18" ht="24" customHeight="1" hidden="1">
      <c r="A356" s="97"/>
      <c r="B356" s="98"/>
      <c r="C356" s="94"/>
      <c r="D356" s="94"/>
      <c r="E356" s="94"/>
      <c r="F356" s="94"/>
      <c r="G356" s="89"/>
      <c r="H356" s="11" t="s">
        <v>248</v>
      </c>
      <c r="I356" s="10">
        <v>661</v>
      </c>
      <c r="J356" s="16">
        <v>1</v>
      </c>
      <c r="K356" s="16">
        <v>6</v>
      </c>
      <c r="L356" s="95" t="s">
        <v>709</v>
      </c>
      <c r="M356" s="96" t="s">
        <v>560</v>
      </c>
      <c r="N356" s="96" t="s">
        <v>564</v>
      </c>
      <c r="O356" s="96" t="s">
        <v>246</v>
      </c>
      <c r="P356" s="10"/>
      <c r="Q356" s="221"/>
      <c r="R356" s="221"/>
    </row>
    <row r="357" spans="1:18" ht="24" customHeight="1" hidden="1">
      <c r="A357" s="97"/>
      <c r="B357" s="98"/>
      <c r="C357" s="94"/>
      <c r="D357" s="94"/>
      <c r="E357" s="94"/>
      <c r="F357" s="94"/>
      <c r="G357" s="89"/>
      <c r="H357" s="11" t="s">
        <v>533</v>
      </c>
      <c r="I357" s="10">
        <v>661</v>
      </c>
      <c r="J357" s="16">
        <v>1</v>
      </c>
      <c r="K357" s="16">
        <v>6</v>
      </c>
      <c r="L357" s="95" t="s">
        <v>709</v>
      </c>
      <c r="M357" s="96" t="s">
        <v>560</v>
      </c>
      <c r="N357" s="96" t="s">
        <v>564</v>
      </c>
      <c r="O357" s="96" t="s">
        <v>246</v>
      </c>
      <c r="P357" s="10">
        <v>120</v>
      </c>
      <c r="Q357" s="221"/>
      <c r="R357" s="221"/>
    </row>
    <row r="358" spans="1:18" ht="29.25" customHeight="1" hidden="1">
      <c r="A358" s="97"/>
      <c r="B358" s="98"/>
      <c r="C358" s="94"/>
      <c r="D358" s="94"/>
      <c r="E358" s="94"/>
      <c r="F358" s="94"/>
      <c r="G358" s="89"/>
      <c r="H358" s="11" t="s">
        <v>720</v>
      </c>
      <c r="I358" s="10">
        <v>661</v>
      </c>
      <c r="J358" s="16">
        <v>1</v>
      </c>
      <c r="K358" s="16">
        <v>6</v>
      </c>
      <c r="L358" s="95" t="s">
        <v>709</v>
      </c>
      <c r="M358" s="96" t="s">
        <v>560</v>
      </c>
      <c r="N358" s="96" t="s">
        <v>564</v>
      </c>
      <c r="O358" s="96" t="s">
        <v>246</v>
      </c>
      <c r="P358" s="10">
        <v>240</v>
      </c>
      <c r="Q358" s="221"/>
      <c r="R358" s="221"/>
    </row>
    <row r="359" spans="1:18" ht="31.5" customHeight="1" hidden="1">
      <c r="A359" s="97"/>
      <c r="B359" s="98"/>
      <c r="C359" s="94"/>
      <c r="D359" s="94"/>
      <c r="E359" s="94"/>
      <c r="F359" s="94"/>
      <c r="G359" s="89"/>
      <c r="H359" s="11" t="s">
        <v>249</v>
      </c>
      <c r="I359" s="10">
        <v>661</v>
      </c>
      <c r="J359" s="16">
        <v>1</v>
      </c>
      <c r="K359" s="16">
        <v>6</v>
      </c>
      <c r="L359" s="95" t="s">
        <v>709</v>
      </c>
      <c r="M359" s="96" t="s">
        <v>560</v>
      </c>
      <c r="N359" s="96" t="s">
        <v>564</v>
      </c>
      <c r="O359" s="96" t="s">
        <v>247</v>
      </c>
      <c r="P359" s="10"/>
      <c r="Q359" s="221"/>
      <c r="R359" s="221"/>
    </row>
    <row r="360" spans="1:18" ht="22.5" customHeight="1" hidden="1">
      <c r="A360" s="97"/>
      <c r="B360" s="98"/>
      <c r="C360" s="94"/>
      <c r="D360" s="94"/>
      <c r="E360" s="94"/>
      <c r="F360" s="94"/>
      <c r="G360" s="89"/>
      <c r="H360" s="11" t="s">
        <v>533</v>
      </c>
      <c r="I360" s="10">
        <v>661</v>
      </c>
      <c r="J360" s="16">
        <v>1</v>
      </c>
      <c r="K360" s="16">
        <v>6</v>
      </c>
      <c r="L360" s="95" t="s">
        <v>709</v>
      </c>
      <c r="M360" s="96" t="s">
        <v>560</v>
      </c>
      <c r="N360" s="96" t="s">
        <v>564</v>
      </c>
      <c r="O360" s="96" t="s">
        <v>247</v>
      </c>
      <c r="P360" s="10">
        <v>120</v>
      </c>
      <c r="Q360" s="221"/>
      <c r="R360" s="221"/>
    </row>
    <row r="361" spans="1:18" ht="24" customHeight="1" hidden="1">
      <c r="A361" s="97"/>
      <c r="B361" s="98"/>
      <c r="C361" s="106"/>
      <c r="D361" s="111"/>
      <c r="E361" s="114"/>
      <c r="F361" s="114"/>
      <c r="G361" s="89"/>
      <c r="H361" s="11" t="s">
        <v>720</v>
      </c>
      <c r="I361" s="6">
        <v>661</v>
      </c>
      <c r="J361" s="16">
        <v>1</v>
      </c>
      <c r="K361" s="16">
        <v>6</v>
      </c>
      <c r="L361" s="95" t="s">
        <v>709</v>
      </c>
      <c r="M361" s="96" t="s">
        <v>560</v>
      </c>
      <c r="N361" s="96" t="s">
        <v>564</v>
      </c>
      <c r="O361" s="96" t="s">
        <v>247</v>
      </c>
      <c r="P361" s="10">
        <v>240</v>
      </c>
      <c r="Q361" s="214"/>
      <c r="R361" s="214"/>
    </row>
    <row r="362" spans="1:18" s="179" customFormat="1" ht="18.75" customHeight="1">
      <c r="A362" s="142"/>
      <c r="B362" s="143"/>
      <c r="C362" s="135"/>
      <c r="D362" s="135"/>
      <c r="E362" s="135"/>
      <c r="F362" s="135"/>
      <c r="G362" s="136"/>
      <c r="H362" s="137" t="s">
        <v>535</v>
      </c>
      <c r="I362" s="138">
        <v>661</v>
      </c>
      <c r="J362" s="139">
        <v>1</v>
      </c>
      <c r="K362" s="139">
        <v>13</v>
      </c>
      <c r="L362" s="140" t="s">
        <v>621</v>
      </c>
      <c r="M362" s="141"/>
      <c r="N362" s="141"/>
      <c r="O362" s="141"/>
      <c r="P362" s="138"/>
      <c r="Q362" s="213">
        <f aca="true" t="shared" si="10" ref="Q362:R364">Q363</f>
        <v>13395.400000000001</v>
      </c>
      <c r="R362" s="213">
        <f t="shared" si="10"/>
        <v>13395.400000000001</v>
      </c>
    </row>
    <row r="363" spans="1:18" ht="36.75" customHeight="1">
      <c r="A363" s="97"/>
      <c r="B363" s="98"/>
      <c r="C363" s="103"/>
      <c r="D363" s="101"/>
      <c r="E363" s="104"/>
      <c r="F363" s="104"/>
      <c r="G363" s="89"/>
      <c r="H363" s="11" t="s">
        <v>708</v>
      </c>
      <c r="I363" s="10">
        <v>661</v>
      </c>
      <c r="J363" s="16">
        <v>1</v>
      </c>
      <c r="K363" s="16">
        <v>13</v>
      </c>
      <c r="L363" s="95" t="s">
        <v>709</v>
      </c>
      <c r="M363" s="96" t="s">
        <v>563</v>
      </c>
      <c r="N363" s="96" t="s">
        <v>583</v>
      </c>
      <c r="O363" s="96" t="s">
        <v>620</v>
      </c>
      <c r="P363" s="6"/>
      <c r="Q363" s="216">
        <f t="shared" si="10"/>
        <v>13395.400000000001</v>
      </c>
      <c r="R363" s="216">
        <f t="shared" si="10"/>
        <v>13395.400000000001</v>
      </c>
    </row>
    <row r="364" spans="1:18" ht="38.25" customHeight="1">
      <c r="A364" s="97"/>
      <c r="B364" s="98"/>
      <c r="C364" s="114"/>
      <c r="D364" s="94"/>
      <c r="E364" s="94"/>
      <c r="F364" s="94"/>
      <c r="G364" s="89"/>
      <c r="H364" s="11" t="s">
        <v>715</v>
      </c>
      <c r="I364" s="10">
        <v>661</v>
      </c>
      <c r="J364" s="16">
        <v>1</v>
      </c>
      <c r="K364" s="16">
        <v>13</v>
      </c>
      <c r="L364" s="95" t="s">
        <v>709</v>
      </c>
      <c r="M364" s="96" t="s">
        <v>560</v>
      </c>
      <c r="N364" s="96" t="s">
        <v>583</v>
      </c>
      <c r="O364" s="96" t="s">
        <v>620</v>
      </c>
      <c r="P364" s="10"/>
      <c r="Q364" s="214">
        <f t="shared" si="10"/>
        <v>13395.400000000001</v>
      </c>
      <c r="R364" s="214">
        <f t="shared" si="10"/>
        <v>13395.400000000001</v>
      </c>
    </row>
    <row r="365" spans="1:18" ht="36" customHeight="1">
      <c r="A365" s="97"/>
      <c r="B365" s="98"/>
      <c r="C365" s="106"/>
      <c r="D365" s="111"/>
      <c r="E365" s="114"/>
      <c r="F365" s="114"/>
      <c r="G365" s="89"/>
      <c r="H365" s="11" t="s">
        <v>716</v>
      </c>
      <c r="I365" s="10">
        <v>661</v>
      </c>
      <c r="J365" s="16">
        <v>1</v>
      </c>
      <c r="K365" s="16">
        <v>13</v>
      </c>
      <c r="L365" s="95" t="s">
        <v>709</v>
      </c>
      <c r="M365" s="96" t="s">
        <v>560</v>
      </c>
      <c r="N365" s="96" t="s">
        <v>592</v>
      </c>
      <c r="O365" s="96" t="s">
        <v>620</v>
      </c>
      <c r="P365" s="10"/>
      <c r="Q365" s="214">
        <f>Q366+Q370</f>
        <v>13395.400000000001</v>
      </c>
      <c r="R365" s="214">
        <f>R366+R370</f>
        <v>13395.400000000001</v>
      </c>
    </row>
    <row r="366" spans="1:18" ht="33.75" customHeight="1">
      <c r="A366" s="97"/>
      <c r="B366" s="98"/>
      <c r="C366" s="106"/>
      <c r="D366" s="111"/>
      <c r="E366" s="114"/>
      <c r="F366" s="114"/>
      <c r="G366" s="89"/>
      <c r="H366" s="11" t="s">
        <v>344</v>
      </c>
      <c r="I366" s="10">
        <v>661</v>
      </c>
      <c r="J366" s="16">
        <v>1</v>
      </c>
      <c r="K366" s="16">
        <v>13</v>
      </c>
      <c r="L366" s="95" t="s">
        <v>709</v>
      </c>
      <c r="M366" s="96" t="s">
        <v>560</v>
      </c>
      <c r="N366" s="96" t="s">
        <v>592</v>
      </c>
      <c r="O366" s="96" t="s">
        <v>345</v>
      </c>
      <c r="P366" s="10"/>
      <c r="Q366" s="221">
        <f>SUM(Q367:Q369)</f>
        <v>13395.400000000001</v>
      </c>
      <c r="R366" s="221">
        <f>SUM(R367:R369)</f>
        <v>13395.400000000001</v>
      </c>
    </row>
    <row r="367" spans="1:18" ht="30" customHeight="1">
      <c r="A367" s="97"/>
      <c r="B367" s="98"/>
      <c r="C367" s="106"/>
      <c r="D367" s="111"/>
      <c r="E367" s="114"/>
      <c r="F367" s="114"/>
      <c r="G367" s="89"/>
      <c r="H367" s="11" t="s">
        <v>789</v>
      </c>
      <c r="I367" s="10">
        <v>661</v>
      </c>
      <c r="J367" s="16">
        <v>1</v>
      </c>
      <c r="K367" s="16">
        <v>13</v>
      </c>
      <c r="L367" s="95" t="s">
        <v>709</v>
      </c>
      <c r="M367" s="96" t="s">
        <v>560</v>
      </c>
      <c r="N367" s="96" t="s">
        <v>592</v>
      </c>
      <c r="O367" s="96" t="s">
        <v>345</v>
      </c>
      <c r="P367" s="10">
        <v>110</v>
      </c>
      <c r="Q367" s="221">
        <v>11244.7</v>
      </c>
      <c r="R367" s="240">
        <v>11244.7</v>
      </c>
    </row>
    <row r="368" spans="1:18" ht="30" customHeight="1">
      <c r="A368" s="97"/>
      <c r="B368" s="98"/>
      <c r="C368" s="106"/>
      <c r="D368" s="111"/>
      <c r="E368" s="114"/>
      <c r="F368" s="114"/>
      <c r="G368" s="89"/>
      <c r="H368" s="11" t="s">
        <v>720</v>
      </c>
      <c r="I368" s="10">
        <v>661</v>
      </c>
      <c r="J368" s="16">
        <v>1</v>
      </c>
      <c r="K368" s="16">
        <v>13</v>
      </c>
      <c r="L368" s="95" t="s">
        <v>709</v>
      </c>
      <c r="M368" s="96" t="s">
        <v>560</v>
      </c>
      <c r="N368" s="96" t="s">
        <v>592</v>
      </c>
      <c r="O368" s="96" t="s">
        <v>345</v>
      </c>
      <c r="P368" s="10">
        <v>240</v>
      </c>
      <c r="Q368" s="221">
        <v>2149.7</v>
      </c>
      <c r="R368" s="240">
        <v>2149.7</v>
      </c>
    </row>
    <row r="369" spans="1:18" ht="30" customHeight="1">
      <c r="A369" s="97"/>
      <c r="B369" s="98"/>
      <c r="C369" s="106"/>
      <c r="D369" s="111"/>
      <c r="E369" s="114"/>
      <c r="F369" s="114"/>
      <c r="G369" s="89"/>
      <c r="H369" s="11" t="s">
        <v>721</v>
      </c>
      <c r="I369" s="10">
        <v>661</v>
      </c>
      <c r="J369" s="16">
        <v>1</v>
      </c>
      <c r="K369" s="16">
        <v>13</v>
      </c>
      <c r="L369" s="95" t="s">
        <v>709</v>
      </c>
      <c r="M369" s="96" t="s">
        <v>560</v>
      </c>
      <c r="N369" s="96" t="s">
        <v>592</v>
      </c>
      <c r="O369" s="96" t="s">
        <v>345</v>
      </c>
      <c r="P369" s="10">
        <v>850</v>
      </c>
      <c r="Q369" s="221">
        <v>1</v>
      </c>
      <c r="R369" s="240">
        <v>1</v>
      </c>
    </row>
    <row r="370" spans="1:18" ht="33.75" customHeight="1" hidden="1">
      <c r="A370" s="97"/>
      <c r="B370" s="98"/>
      <c r="C370" s="106"/>
      <c r="D370" s="111"/>
      <c r="E370" s="114"/>
      <c r="F370" s="114"/>
      <c r="G370" s="89"/>
      <c r="H370" s="11" t="s">
        <v>760</v>
      </c>
      <c r="I370" s="10">
        <v>661</v>
      </c>
      <c r="J370" s="16">
        <v>1</v>
      </c>
      <c r="K370" s="16">
        <v>13</v>
      </c>
      <c r="L370" s="95" t="s">
        <v>709</v>
      </c>
      <c r="M370" s="96" t="s">
        <v>560</v>
      </c>
      <c r="N370" s="96" t="s">
        <v>592</v>
      </c>
      <c r="O370" s="96" t="s">
        <v>759</v>
      </c>
      <c r="P370" s="10"/>
      <c r="Q370" s="214">
        <f>SUM(Q371:Q372)</f>
        <v>0</v>
      </c>
      <c r="R370" s="214">
        <f>SUM(R371:R372)</f>
        <v>0</v>
      </c>
    </row>
    <row r="371" spans="1:18" ht="33.75" customHeight="1" hidden="1">
      <c r="A371" s="97"/>
      <c r="B371" s="98"/>
      <c r="C371" s="106"/>
      <c r="D371" s="111"/>
      <c r="E371" s="114"/>
      <c r="F371" s="114"/>
      <c r="G371" s="89"/>
      <c r="H371" s="11" t="s">
        <v>723</v>
      </c>
      <c r="I371" s="10">
        <v>661</v>
      </c>
      <c r="J371" s="16">
        <v>1</v>
      </c>
      <c r="K371" s="16">
        <v>13</v>
      </c>
      <c r="L371" s="95" t="s">
        <v>709</v>
      </c>
      <c r="M371" s="96" t="s">
        <v>560</v>
      </c>
      <c r="N371" s="96" t="s">
        <v>592</v>
      </c>
      <c r="O371" s="96" t="s">
        <v>759</v>
      </c>
      <c r="P371" s="10">
        <v>110</v>
      </c>
      <c r="Q371" s="214"/>
      <c r="R371" s="214"/>
    </row>
    <row r="372" spans="1:18" ht="33.75" customHeight="1" hidden="1">
      <c r="A372" s="97"/>
      <c r="B372" s="98"/>
      <c r="C372" s="106"/>
      <c r="D372" s="111"/>
      <c r="E372" s="114"/>
      <c r="F372" s="114"/>
      <c r="G372" s="89"/>
      <c r="H372" s="11" t="s">
        <v>720</v>
      </c>
      <c r="I372" s="10">
        <v>661</v>
      </c>
      <c r="J372" s="16">
        <v>1</v>
      </c>
      <c r="K372" s="16">
        <v>13</v>
      </c>
      <c r="L372" s="95" t="s">
        <v>709</v>
      </c>
      <c r="M372" s="96" t="s">
        <v>560</v>
      </c>
      <c r="N372" s="96" t="s">
        <v>592</v>
      </c>
      <c r="O372" s="96" t="s">
        <v>759</v>
      </c>
      <c r="P372" s="10">
        <v>240</v>
      </c>
      <c r="Q372" s="214"/>
      <c r="R372" s="214"/>
    </row>
    <row r="373" spans="1:18" s="179" customFormat="1" ht="24" customHeight="1" hidden="1">
      <c r="A373" s="142"/>
      <c r="B373" s="143"/>
      <c r="C373" s="157"/>
      <c r="D373" s="170"/>
      <c r="E373" s="145"/>
      <c r="F373" s="145"/>
      <c r="G373" s="155"/>
      <c r="H373" s="137" t="s">
        <v>553</v>
      </c>
      <c r="I373" s="138">
        <v>661</v>
      </c>
      <c r="J373" s="139">
        <v>13</v>
      </c>
      <c r="K373" s="139" t="s">
        <v>621</v>
      </c>
      <c r="L373" s="140" t="s">
        <v>534</v>
      </c>
      <c r="M373" s="141" t="s">
        <v>534</v>
      </c>
      <c r="N373" s="141"/>
      <c r="O373" s="141" t="s">
        <v>534</v>
      </c>
      <c r="P373" s="146" t="s">
        <v>534</v>
      </c>
      <c r="Q373" s="217"/>
      <c r="R373" s="217"/>
    </row>
    <row r="374" spans="1:18" s="179" customFormat="1" ht="24" customHeight="1" hidden="1">
      <c r="A374" s="142"/>
      <c r="B374" s="143"/>
      <c r="C374" s="157"/>
      <c r="D374" s="170"/>
      <c r="E374" s="145"/>
      <c r="F374" s="145"/>
      <c r="G374" s="155"/>
      <c r="H374" s="137" t="s">
        <v>554</v>
      </c>
      <c r="I374" s="138">
        <v>661</v>
      </c>
      <c r="J374" s="139">
        <v>13</v>
      </c>
      <c r="K374" s="139">
        <v>1</v>
      </c>
      <c r="L374" s="140" t="s">
        <v>534</v>
      </c>
      <c r="M374" s="141" t="s">
        <v>534</v>
      </c>
      <c r="N374" s="141"/>
      <c r="O374" s="141" t="s">
        <v>534</v>
      </c>
      <c r="P374" s="146" t="s">
        <v>534</v>
      </c>
      <c r="Q374" s="217"/>
      <c r="R374" s="217"/>
    </row>
    <row r="375" spans="1:18" ht="36.75" customHeight="1" hidden="1">
      <c r="A375" s="97"/>
      <c r="B375" s="98"/>
      <c r="C375" s="103"/>
      <c r="D375" s="101"/>
      <c r="E375" s="104"/>
      <c r="F375" s="104"/>
      <c r="G375" s="89"/>
      <c r="H375" s="11" t="s">
        <v>35</v>
      </c>
      <c r="I375" s="10">
        <v>661</v>
      </c>
      <c r="J375" s="16">
        <v>13</v>
      </c>
      <c r="K375" s="16">
        <v>1</v>
      </c>
      <c r="L375" s="95" t="s">
        <v>709</v>
      </c>
      <c r="M375" s="96" t="s">
        <v>563</v>
      </c>
      <c r="N375" s="96" t="s">
        <v>583</v>
      </c>
      <c r="O375" s="96" t="s">
        <v>620</v>
      </c>
      <c r="P375" s="6"/>
      <c r="Q375" s="216"/>
      <c r="R375" s="216"/>
    </row>
    <row r="376" spans="1:18" ht="24" customHeight="1" hidden="1">
      <c r="A376" s="97"/>
      <c r="B376" s="98"/>
      <c r="C376" s="106"/>
      <c r="D376" s="107"/>
      <c r="E376" s="104"/>
      <c r="F376" s="104"/>
      <c r="G376" s="105"/>
      <c r="H376" s="11" t="s">
        <v>40</v>
      </c>
      <c r="I376" s="10">
        <v>661</v>
      </c>
      <c r="J376" s="16">
        <v>13</v>
      </c>
      <c r="K376" s="16">
        <v>1</v>
      </c>
      <c r="L376" s="95" t="s">
        <v>709</v>
      </c>
      <c r="M376" s="96" t="s">
        <v>38</v>
      </c>
      <c r="N376" s="96" t="s">
        <v>583</v>
      </c>
      <c r="O376" s="96" t="s">
        <v>620</v>
      </c>
      <c r="P376" s="6"/>
      <c r="Q376" s="216"/>
      <c r="R376" s="216"/>
    </row>
    <row r="377" spans="1:18" ht="24" customHeight="1" hidden="1">
      <c r="A377" s="97"/>
      <c r="B377" s="98"/>
      <c r="C377" s="106"/>
      <c r="D377" s="107"/>
      <c r="E377" s="104"/>
      <c r="F377" s="104"/>
      <c r="G377" s="105"/>
      <c r="H377" s="11" t="s">
        <v>39</v>
      </c>
      <c r="I377" s="10">
        <v>661</v>
      </c>
      <c r="J377" s="16">
        <v>13</v>
      </c>
      <c r="K377" s="16">
        <v>1</v>
      </c>
      <c r="L377" s="95" t="s">
        <v>709</v>
      </c>
      <c r="M377" s="96" t="s">
        <v>38</v>
      </c>
      <c r="N377" s="96" t="s">
        <v>564</v>
      </c>
      <c r="O377" s="96" t="s">
        <v>620</v>
      </c>
      <c r="P377" s="6"/>
      <c r="Q377" s="216"/>
      <c r="R377" s="216"/>
    </row>
    <row r="378" spans="1:18" ht="27" customHeight="1" hidden="1">
      <c r="A378" s="99"/>
      <c r="B378" s="98"/>
      <c r="C378" s="106"/>
      <c r="D378" s="107"/>
      <c r="E378" s="104"/>
      <c r="F378" s="104"/>
      <c r="G378" s="105"/>
      <c r="H378" s="11" t="s">
        <v>317</v>
      </c>
      <c r="I378" s="10">
        <v>661</v>
      </c>
      <c r="J378" s="16">
        <v>13</v>
      </c>
      <c r="K378" s="16">
        <v>1</v>
      </c>
      <c r="L378" s="95" t="s">
        <v>709</v>
      </c>
      <c r="M378" s="96" t="s">
        <v>38</v>
      </c>
      <c r="N378" s="96" t="s">
        <v>564</v>
      </c>
      <c r="O378" s="96" t="s">
        <v>316</v>
      </c>
      <c r="P378" s="6" t="s">
        <v>534</v>
      </c>
      <c r="Q378" s="216"/>
      <c r="R378" s="216"/>
    </row>
    <row r="379" spans="1:18" ht="28.5" customHeight="1" hidden="1">
      <c r="A379" s="99"/>
      <c r="B379" s="98"/>
      <c r="C379" s="106"/>
      <c r="D379" s="107"/>
      <c r="E379" s="104"/>
      <c r="F379" s="104"/>
      <c r="G379" s="105"/>
      <c r="H379" s="5" t="s">
        <v>614</v>
      </c>
      <c r="I379" s="8">
        <v>661</v>
      </c>
      <c r="J379" s="21">
        <v>13</v>
      </c>
      <c r="K379" s="16">
        <v>1</v>
      </c>
      <c r="L379" s="95" t="s">
        <v>709</v>
      </c>
      <c r="M379" s="96" t="s">
        <v>38</v>
      </c>
      <c r="N379" s="96" t="s">
        <v>564</v>
      </c>
      <c r="O379" s="96" t="s">
        <v>316</v>
      </c>
      <c r="P379" s="6">
        <v>730</v>
      </c>
      <c r="Q379" s="216"/>
      <c r="R379" s="216"/>
    </row>
    <row r="380" spans="1:18" s="179" customFormat="1" ht="30.75" customHeight="1">
      <c r="A380" s="142"/>
      <c r="B380" s="143"/>
      <c r="C380" s="157"/>
      <c r="D380" s="170"/>
      <c r="E380" s="145"/>
      <c r="F380" s="145"/>
      <c r="G380" s="155"/>
      <c r="H380" s="137" t="s">
        <v>340</v>
      </c>
      <c r="I380" s="146">
        <v>661</v>
      </c>
      <c r="J380" s="139">
        <v>14</v>
      </c>
      <c r="K380" s="139" t="s">
        <v>534</v>
      </c>
      <c r="L380" s="139" t="s">
        <v>534</v>
      </c>
      <c r="M380" s="141" t="s">
        <v>534</v>
      </c>
      <c r="N380" s="141"/>
      <c r="O380" s="141" t="s">
        <v>534</v>
      </c>
      <c r="P380" s="146" t="s">
        <v>534</v>
      </c>
      <c r="Q380" s="217">
        <f>Q381+Q389</f>
        <v>17823.8</v>
      </c>
      <c r="R380" s="217">
        <f>R381+R389</f>
        <v>17916.8</v>
      </c>
    </row>
    <row r="381" spans="1:18" s="179" customFormat="1" ht="30.75" customHeight="1">
      <c r="A381" s="142"/>
      <c r="B381" s="143"/>
      <c r="C381" s="157"/>
      <c r="D381" s="170"/>
      <c r="E381" s="145"/>
      <c r="F381" s="145"/>
      <c r="G381" s="155"/>
      <c r="H381" s="137" t="s">
        <v>587</v>
      </c>
      <c r="I381" s="146">
        <v>661</v>
      </c>
      <c r="J381" s="139">
        <v>14</v>
      </c>
      <c r="K381" s="139">
        <v>1</v>
      </c>
      <c r="L381" s="139" t="s">
        <v>534</v>
      </c>
      <c r="M381" s="141" t="s">
        <v>534</v>
      </c>
      <c r="N381" s="141"/>
      <c r="O381" s="141" t="s">
        <v>534</v>
      </c>
      <c r="P381" s="146" t="s">
        <v>534</v>
      </c>
      <c r="Q381" s="217">
        <f aca="true" t="shared" si="11" ref="Q381:R383">Q382</f>
        <v>5252.3</v>
      </c>
      <c r="R381" s="217">
        <f t="shared" si="11"/>
        <v>5735.7</v>
      </c>
    </row>
    <row r="382" spans="1:18" ht="36.75" customHeight="1">
      <c r="A382" s="97"/>
      <c r="B382" s="98"/>
      <c r="C382" s="103"/>
      <c r="D382" s="101"/>
      <c r="E382" s="104"/>
      <c r="F382" s="104"/>
      <c r="G382" s="89"/>
      <c r="H382" s="11" t="s">
        <v>708</v>
      </c>
      <c r="I382" s="10">
        <v>661</v>
      </c>
      <c r="J382" s="16">
        <v>14</v>
      </c>
      <c r="K382" s="16">
        <v>1</v>
      </c>
      <c r="L382" s="95" t="s">
        <v>709</v>
      </c>
      <c r="M382" s="96" t="s">
        <v>563</v>
      </c>
      <c r="N382" s="96" t="s">
        <v>583</v>
      </c>
      <c r="O382" s="96" t="s">
        <v>620</v>
      </c>
      <c r="P382" s="6"/>
      <c r="Q382" s="216">
        <f t="shared" si="11"/>
        <v>5252.3</v>
      </c>
      <c r="R382" s="216">
        <f t="shared" si="11"/>
        <v>5735.7</v>
      </c>
    </row>
    <row r="383" spans="1:18" ht="36.75" customHeight="1">
      <c r="A383" s="97"/>
      <c r="B383" s="98"/>
      <c r="C383" s="106"/>
      <c r="D383" s="107"/>
      <c r="E383" s="104"/>
      <c r="F383" s="104"/>
      <c r="G383" s="89"/>
      <c r="H383" s="11" t="s">
        <v>714</v>
      </c>
      <c r="I383" s="10">
        <v>661</v>
      </c>
      <c r="J383" s="16">
        <v>14</v>
      </c>
      <c r="K383" s="16">
        <v>1</v>
      </c>
      <c r="L383" s="95" t="s">
        <v>709</v>
      </c>
      <c r="M383" s="96" t="s">
        <v>559</v>
      </c>
      <c r="N383" s="96" t="s">
        <v>583</v>
      </c>
      <c r="O383" s="96" t="s">
        <v>620</v>
      </c>
      <c r="P383" s="6"/>
      <c r="Q383" s="216">
        <f t="shared" si="11"/>
        <v>5252.3</v>
      </c>
      <c r="R383" s="216">
        <f t="shared" si="11"/>
        <v>5735.7</v>
      </c>
    </row>
    <row r="384" spans="1:18" ht="22.5" customHeight="1">
      <c r="A384" s="99"/>
      <c r="B384" s="98"/>
      <c r="C384" s="106"/>
      <c r="D384" s="107"/>
      <c r="E384" s="104"/>
      <c r="F384" s="104"/>
      <c r="G384" s="105"/>
      <c r="H384" s="11" t="s">
        <v>41</v>
      </c>
      <c r="I384" s="6">
        <v>661</v>
      </c>
      <c r="J384" s="16">
        <v>14</v>
      </c>
      <c r="K384" s="16">
        <v>1</v>
      </c>
      <c r="L384" s="16">
        <v>33</v>
      </c>
      <c r="M384" s="96" t="s">
        <v>559</v>
      </c>
      <c r="N384" s="96" t="s">
        <v>564</v>
      </c>
      <c r="O384" s="96" t="s">
        <v>620</v>
      </c>
      <c r="P384" s="6" t="s">
        <v>534</v>
      </c>
      <c r="Q384" s="216">
        <f>Q385+Q387</f>
        <v>5252.3</v>
      </c>
      <c r="R384" s="216">
        <f>R385+R387</f>
        <v>5735.7</v>
      </c>
    </row>
    <row r="385" spans="1:18" ht="63.75" customHeight="1">
      <c r="A385" s="99"/>
      <c r="B385" s="98"/>
      <c r="C385" s="106"/>
      <c r="D385" s="107"/>
      <c r="E385" s="104"/>
      <c r="F385" s="104"/>
      <c r="G385" s="105"/>
      <c r="H385" s="11" t="s">
        <v>53</v>
      </c>
      <c r="I385" s="6">
        <v>661</v>
      </c>
      <c r="J385" s="19">
        <v>14</v>
      </c>
      <c r="K385" s="16">
        <v>1</v>
      </c>
      <c r="L385" s="16">
        <v>33</v>
      </c>
      <c r="M385" s="96" t="s">
        <v>559</v>
      </c>
      <c r="N385" s="96" t="s">
        <v>564</v>
      </c>
      <c r="O385" s="96" t="s">
        <v>653</v>
      </c>
      <c r="P385" s="6"/>
      <c r="Q385" s="214">
        <f>Q386</f>
        <v>2747.9</v>
      </c>
      <c r="R385" s="214">
        <f>R386</f>
        <v>2974.6</v>
      </c>
    </row>
    <row r="386" spans="1:18" ht="24.75" customHeight="1">
      <c r="A386" s="99"/>
      <c r="B386" s="98"/>
      <c r="C386" s="106"/>
      <c r="D386" s="107"/>
      <c r="E386" s="104"/>
      <c r="F386" s="104"/>
      <c r="G386" s="105"/>
      <c r="H386" s="11" t="s">
        <v>726</v>
      </c>
      <c r="I386" s="6">
        <v>661</v>
      </c>
      <c r="J386" s="19">
        <v>14</v>
      </c>
      <c r="K386" s="16">
        <v>1</v>
      </c>
      <c r="L386" s="16">
        <v>33</v>
      </c>
      <c r="M386" s="96" t="s">
        <v>559</v>
      </c>
      <c r="N386" s="96" t="s">
        <v>564</v>
      </c>
      <c r="O386" s="96" t="s">
        <v>653</v>
      </c>
      <c r="P386" s="6">
        <v>510</v>
      </c>
      <c r="Q386" s="214">
        <v>2747.9</v>
      </c>
      <c r="R386" s="214">
        <v>2974.6</v>
      </c>
    </row>
    <row r="387" spans="1:18" ht="21" customHeight="1">
      <c r="A387" s="99"/>
      <c r="B387" s="98"/>
      <c r="C387" s="106"/>
      <c r="D387" s="107"/>
      <c r="E387" s="104"/>
      <c r="F387" s="104"/>
      <c r="G387" s="105"/>
      <c r="H387" s="11" t="s">
        <v>55</v>
      </c>
      <c r="I387" s="6">
        <v>661</v>
      </c>
      <c r="J387" s="16">
        <v>14</v>
      </c>
      <c r="K387" s="16">
        <v>1</v>
      </c>
      <c r="L387" s="16">
        <v>33</v>
      </c>
      <c r="M387" s="96" t="s">
        <v>559</v>
      </c>
      <c r="N387" s="96" t="s">
        <v>564</v>
      </c>
      <c r="O387" s="96" t="s">
        <v>86</v>
      </c>
      <c r="P387" s="6" t="s">
        <v>534</v>
      </c>
      <c r="Q387" s="216">
        <f>Q388</f>
        <v>2504.4</v>
      </c>
      <c r="R387" s="216">
        <f>R388</f>
        <v>2761.1</v>
      </c>
    </row>
    <row r="388" spans="1:18" ht="23.25" customHeight="1">
      <c r="A388" s="99"/>
      <c r="B388" s="98"/>
      <c r="C388" s="106"/>
      <c r="D388" s="107"/>
      <c r="E388" s="104"/>
      <c r="F388" s="104"/>
      <c r="G388" s="105"/>
      <c r="H388" s="11" t="s">
        <v>726</v>
      </c>
      <c r="I388" s="6">
        <v>661</v>
      </c>
      <c r="J388" s="19">
        <v>14</v>
      </c>
      <c r="K388" s="16">
        <v>1</v>
      </c>
      <c r="L388" s="16">
        <v>33</v>
      </c>
      <c r="M388" s="96" t="s">
        <v>559</v>
      </c>
      <c r="N388" s="96" t="s">
        <v>564</v>
      </c>
      <c r="O388" s="96" t="s">
        <v>86</v>
      </c>
      <c r="P388" s="6">
        <v>510</v>
      </c>
      <c r="Q388" s="216">
        <v>2504.4</v>
      </c>
      <c r="R388" s="216">
        <v>2761.1</v>
      </c>
    </row>
    <row r="389" spans="1:18" s="179" customFormat="1" ht="22.5" customHeight="1">
      <c r="A389" s="142"/>
      <c r="B389" s="143"/>
      <c r="C389" s="157"/>
      <c r="D389" s="170"/>
      <c r="E389" s="145"/>
      <c r="F389" s="145"/>
      <c r="G389" s="155"/>
      <c r="H389" s="137" t="s">
        <v>645</v>
      </c>
      <c r="I389" s="146">
        <v>661</v>
      </c>
      <c r="J389" s="139">
        <v>14</v>
      </c>
      <c r="K389" s="139">
        <v>2</v>
      </c>
      <c r="L389" s="139" t="s">
        <v>534</v>
      </c>
      <c r="M389" s="141" t="s">
        <v>534</v>
      </c>
      <c r="N389" s="141"/>
      <c r="O389" s="141" t="s">
        <v>534</v>
      </c>
      <c r="P389" s="146" t="s">
        <v>534</v>
      </c>
      <c r="Q389" s="217">
        <f aca="true" t="shared" si="12" ref="Q389:R393">Q390</f>
        <v>12571.5</v>
      </c>
      <c r="R389" s="217">
        <f t="shared" si="12"/>
        <v>12181.1</v>
      </c>
    </row>
    <row r="390" spans="1:18" ht="36.75" customHeight="1">
      <c r="A390" s="97"/>
      <c r="B390" s="98"/>
      <c r="C390" s="103"/>
      <c r="D390" s="101"/>
      <c r="E390" s="104"/>
      <c r="F390" s="104"/>
      <c r="G390" s="89"/>
      <c r="H390" s="11" t="s">
        <v>708</v>
      </c>
      <c r="I390" s="10">
        <v>661</v>
      </c>
      <c r="J390" s="16">
        <v>14</v>
      </c>
      <c r="K390" s="16">
        <v>2</v>
      </c>
      <c r="L390" s="95" t="s">
        <v>709</v>
      </c>
      <c r="M390" s="96" t="s">
        <v>563</v>
      </c>
      <c r="N390" s="96" t="s">
        <v>583</v>
      </c>
      <c r="O390" s="96" t="s">
        <v>620</v>
      </c>
      <c r="P390" s="6"/>
      <c r="Q390" s="216">
        <f t="shared" si="12"/>
        <v>12571.5</v>
      </c>
      <c r="R390" s="216">
        <f t="shared" si="12"/>
        <v>12181.1</v>
      </c>
    </row>
    <row r="391" spans="1:18" ht="36.75" customHeight="1">
      <c r="A391" s="97"/>
      <c r="B391" s="98"/>
      <c r="C391" s="106"/>
      <c r="D391" s="107"/>
      <c r="E391" s="104"/>
      <c r="F391" s="104"/>
      <c r="G391" s="89"/>
      <c r="H391" s="11" t="s">
        <v>714</v>
      </c>
      <c r="I391" s="10">
        <v>661</v>
      </c>
      <c r="J391" s="16">
        <v>14</v>
      </c>
      <c r="K391" s="16">
        <v>2</v>
      </c>
      <c r="L391" s="95" t="s">
        <v>709</v>
      </c>
      <c r="M391" s="96" t="s">
        <v>559</v>
      </c>
      <c r="N391" s="96" t="s">
        <v>583</v>
      </c>
      <c r="O391" s="96" t="s">
        <v>620</v>
      </c>
      <c r="P391" s="6"/>
      <c r="Q391" s="216">
        <f t="shared" si="12"/>
        <v>12571.5</v>
      </c>
      <c r="R391" s="216">
        <f t="shared" si="12"/>
        <v>12181.1</v>
      </c>
    </row>
    <row r="392" spans="1:18" ht="18.75" customHeight="1">
      <c r="A392" s="97"/>
      <c r="B392" s="98"/>
      <c r="C392" s="106"/>
      <c r="D392" s="107"/>
      <c r="E392" s="104"/>
      <c r="F392" s="104"/>
      <c r="G392" s="105"/>
      <c r="H392" s="11" t="s">
        <v>44</v>
      </c>
      <c r="I392" s="6">
        <v>661</v>
      </c>
      <c r="J392" s="16">
        <v>14</v>
      </c>
      <c r="K392" s="16">
        <v>2</v>
      </c>
      <c r="L392" s="16">
        <v>33</v>
      </c>
      <c r="M392" s="96" t="s">
        <v>559</v>
      </c>
      <c r="N392" s="96" t="s">
        <v>592</v>
      </c>
      <c r="O392" s="96" t="s">
        <v>620</v>
      </c>
      <c r="P392" s="6"/>
      <c r="Q392" s="216">
        <f t="shared" si="12"/>
        <v>12571.5</v>
      </c>
      <c r="R392" s="216">
        <f t="shared" si="12"/>
        <v>12181.1</v>
      </c>
    </row>
    <row r="393" spans="1:18" ht="23.25" customHeight="1">
      <c r="A393" s="99"/>
      <c r="B393" s="98"/>
      <c r="C393" s="106"/>
      <c r="D393" s="107"/>
      <c r="E393" s="104"/>
      <c r="F393" s="104"/>
      <c r="G393" s="105"/>
      <c r="H393" s="11" t="s">
        <v>42</v>
      </c>
      <c r="I393" s="6">
        <v>661</v>
      </c>
      <c r="J393" s="16">
        <v>14</v>
      </c>
      <c r="K393" s="16">
        <v>2</v>
      </c>
      <c r="L393" s="16">
        <v>33</v>
      </c>
      <c r="M393" s="96" t="s">
        <v>559</v>
      </c>
      <c r="N393" s="96" t="s">
        <v>592</v>
      </c>
      <c r="O393" s="96" t="s">
        <v>87</v>
      </c>
      <c r="P393" s="6" t="s">
        <v>534</v>
      </c>
      <c r="Q393" s="216">
        <f t="shared" si="12"/>
        <v>12571.5</v>
      </c>
      <c r="R393" s="216">
        <f t="shared" si="12"/>
        <v>12181.1</v>
      </c>
    </row>
    <row r="394" spans="1:18" ht="20.25" customHeight="1">
      <c r="A394" s="99"/>
      <c r="B394" s="98"/>
      <c r="C394" s="106"/>
      <c r="D394" s="107"/>
      <c r="E394" s="104"/>
      <c r="F394" s="104"/>
      <c r="G394" s="105"/>
      <c r="H394" s="11" t="s">
        <v>726</v>
      </c>
      <c r="I394" s="6">
        <v>661</v>
      </c>
      <c r="J394" s="19">
        <v>14</v>
      </c>
      <c r="K394" s="16">
        <v>2</v>
      </c>
      <c r="L394" s="16">
        <v>33</v>
      </c>
      <c r="M394" s="96" t="s">
        <v>559</v>
      </c>
      <c r="N394" s="96" t="s">
        <v>592</v>
      </c>
      <c r="O394" s="96" t="s">
        <v>87</v>
      </c>
      <c r="P394" s="6">
        <v>510</v>
      </c>
      <c r="Q394" s="216">
        <v>12571.5</v>
      </c>
      <c r="R394" s="216">
        <v>12181.1</v>
      </c>
    </row>
    <row r="395" spans="1:18" s="319" customFormat="1" ht="28.5" customHeight="1">
      <c r="A395" s="158"/>
      <c r="B395" s="159"/>
      <c r="C395" s="160"/>
      <c r="D395" s="168"/>
      <c r="E395" s="169"/>
      <c r="F395" s="169"/>
      <c r="G395" s="163">
        <v>521</v>
      </c>
      <c r="H395" s="33" t="s">
        <v>375</v>
      </c>
      <c r="I395" s="14">
        <v>663</v>
      </c>
      <c r="J395" s="15" t="s">
        <v>534</v>
      </c>
      <c r="K395" s="15" t="s">
        <v>534</v>
      </c>
      <c r="L395" s="133" t="s">
        <v>534</v>
      </c>
      <c r="M395" s="134" t="s">
        <v>534</v>
      </c>
      <c r="N395" s="134"/>
      <c r="O395" s="134" t="s">
        <v>534</v>
      </c>
      <c r="P395" s="171"/>
      <c r="Q395" s="220">
        <f>Q396+Q535</f>
        <v>265095.10000000003</v>
      </c>
      <c r="R395" s="220">
        <f>R396+R535</f>
        <v>285298.5</v>
      </c>
    </row>
    <row r="396" spans="1:18" s="179" customFormat="1" ht="18" customHeight="1">
      <c r="A396" s="142"/>
      <c r="B396" s="143"/>
      <c r="C396" s="142"/>
      <c r="D396" s="380">
        <v>5550000</v>
      </c>
      <c r="E396" s="381"/>
      <c r="F396" s="381"/>
      <c r="G396" s="136">
        <v>314</v>
      </c>
      <c r="H396" s="137" t="s">
        <v>545</v>
      </c>
      <c r="I396" s="138">
        <v>663</v>
      </c>
      <c r="J396" s="139">
        <v>7</v>
      </c>
      <c r="K396" s="139" t="s">
        <v>621</v>
      </c>
      <c r="L396" s="140" t="s">
        <v>534</v>
      </c>
      <c r="M396" s="141" t="s">
        <v>534</v>
      </c>
      <c r="N396" s="141"/>
      <c r="O396" s="141" t="s">
        <v>534</v>
      </c>
      <c r="P396" s="138"/>
      <c r="Q396" s="213">
        <f>Q397+Q424+Q466+Q476</f>
        <v>261640.00000000006</v>
      </c>
      <c r="R396" s="213">
        <f>R397+R424+R466+R476</f>
        <v>281843.4</v>
      </c>
    </row>
    <row r="397" spans="1:18" s="179" customFormat="1" ht="18.75" customHeight="1">
      <c r="A397" s="142"/>
      <c r="B397" s="143"/>
      <c r="C397" s="153"/>
      <c r="D397" s="150"/>
      <c r="E397" s="379">
        <v>5551700</v>
      </c>
      <c r="F397" s="379"/>
      <c r="G397" s="136">
        <v>314</v>
      </c>
      <c r="H397" s="137" t="s">
        <v>376</v>
      </c>
      <c r="I397" s="138">
        <v>663</v>
      </c>
      <c r="J397" s="139">
        <v>7</v>
      </c>
      <c r="K397" s="139">
        <v>1</v>
      </c>
      <c r="L397" s="140" t="s">
        <v>534</v>
      </c>
      <c r="M397" s="141" t="s">
        <v>534</v>
      </c>
      <c r="N397" s="141"/>
      <c r="O397" s="141" t="s">
        <v>534</v>
      </c>
      <c r="P397" s="138"/>
      <c r="Q397" s="213">
        <f>Q398+Q407+Q417</f>
        <v>78520.2</v>
      </c>
      <c r="R397" s="213">
        <f>R398+R407+R417</f>
        <v>81322.4</v>
      </c>
    </row>
    <row r="398" spans="1:18" ht="41.25" customHeight="1" hidden="1">
      <c r="A398" s="99"/>
      <c r="B398" s="98"/>
      <c r="C398" s="103"/>
      <c r="D398" s="101"/>
      <c r="E398" s="104"/>
      <c r="F398" s="104"/>
      <c r="G398" s="89"/>
      <c r="H398" s="253" t="s">
        <v>271</v>
      </c>
      <c r="I398" s="10">
        <v>663</v>
      </c>
      <c r="J398" s="16">
        <v>7</v>
      </c>
      <c r="K398" s="16">
        <v>1</v>
      </c>
      <c r="L398" s="95" t="s">
        <v>595</v>
      </c>
      <c r="M398" s="96" t="s">
        <v>563</v>
      </c>
      <c r="N398" s="96" t="s">
        <v>583</v>
      </c>
      <c r="O398" s="96" t="s">
        <v>620</v>
      </c>
      <c r="P398" s="10"/>
      <c r="Q398" s="214"/>
      <c r="R398" s="214"/>
    </row>
    <row r="399" spans="1:18" ht="27" customHeight="1" hidden="1">
      <c r="A399" s="99"/>
      <c r="B399" s="98"/>
      <c r="C399" s="103"/>
      <c r="D399" s="101"/>
      <c r="E399" s="104"/>
      <c r="F399" s="104"/>
      <c r="G399" s="89"/>
      <c r="H399" s="254" t="s">
        <v>656</v>
      </c>
      <c r="I399" s="10">
        <v>663</v>
      </c>
      <c r="J399" s="16">
        <v>7</v>
      </c>
      <c r="K399" s="16">
        <v>1</v>
      </c>
      <c r="L399" s="95" t="s">
        <v>595</v>
      </c>
      <c r="M399" s="96" t="s">
        <v>563</v>
      </c>
      <c r="N399" s="96" t="s">
        <v>564</v>
      </c>
      <c r="O399" s="96" t="s">
        <v>620</v>
      </c>
      <c r="P399" s="10"/>
      <c r="Q399" s="214"/>
      <c r="R399" s="214"/>
    </row>
    <row r="400" spans="1:18" ht="24.75" customHeight="1" hidden="1">
      <c r="A400" s="99"/>
      <c r="B400" s="98"/>
      <c r="C400" s="103"/>
      <c r="D400" s="101"/>
      <c r="E400" s="104"/>
      <c r="F400" s="104"/>
      <c r="G400" s="89"/>
      <c r="H400" s="3" t="s">
        <v>331</v>
      </c>
      <c r="I400" s="10">
        <v>663</v>
      </c>
      <c r="J400" s="16">
        <v>7</v>
      </c>
      <c r="K400" s="16">
        <v>1</v>
      </c>
      <c r="L400" s="95" t="s">
        <v>595</v>
      </c>
      <c r="M400" s="96" t="s">
        <v>563</v>
      </c>
      <c r="N400" s="96" t="s">
        <v>564</v>
      </c>
      <c r="O400" s="96" t="s">
        <v>321</v>
      </c>
      <c r="P400" s="10"/>
      <c r="Q400" s="214"/>
      <c r="R400" s="214"/>
    </row>
    <row r="401" spans="1:18" ht="24.75" customHeight="1" hidden="1">
      <c r="A401" s="99"/>
      <c r="B401" s="98"/>
      <c r="C401" s="103"/>
      <c r="D401" s="101"/>
      <c r="E401" s="104"/>
      <c r="F401" s="104"/>
      <c r="G401" s="89"/>
      <c r="H401" s="3" t="s">
        <v>722</v>
      </c>
      <c r="I401" s="10">
        <v>663</v>
      </c>
      <c r="J401" s="16">
        <v>7</v>
      </c>
      <c r="K401" s="16">
        <v>1</v>
      </c>
      <c r="L401" s="95" t="s">
        <v>595</v>
      </c>
      <c r="M401" s="96" t="s">
        <v>563</v>
      </c>
      <c r="N401" s="96" t="s">
        <v>564</v>
      </c>
      <c r="O401" s="96" t="s">
        <v>321</v>
      </c>
      <c r="P401" s="10">
        <v>610</v>
      </c>
      <c r="Q401" s="214"/>
      <c r="R401" s="214"/>
    </row>
    <row r="402" spans="1:18" ht="39" customHeight="1" hidden="1">
      <c r="A402" s="99"/>
      <c r="B402" s="98"/>
      <c r="C402" s="103"/>
      <c r="D402" s="101"/>
      <c r="E402" s="104"/>
      <c r="F402" s="104"/>
      <c r="G402" s="89"/>
      <c r="H402" s="255" t="s">
        <v>333</v>
      </c>
      <c r="I402" s="10">
        <v>663</v>
      </c>
      <c r="J402" s="16">
        <v>7</v>
      </c>
      <c r="K402" s="16">
        <v>1</v>
      </c>
      <c r="L402" s="95" t="s">
        <v>595</v>
      </c>
      <c r="M402" s="96" t="s">
        <v>563</v>
      </c>
      <c r="N402" s="96" t="s">
        <v>564</v>
      </c>
      <c r="O402" s="96" t="s">
        <v>332</v>
      </c>
      <c r="P402" s="10"/>
      <c r="Q402" s="214"/>
      <c r="R402" s="214"/>
    </row>
    <row r="403" spans="1:18" ht="23.25" customHeight="1" hidden="1">
      <c r="A403" s="99"/>
      <c r="B403" s="98"/>
      <c r="C403" s="103"/>
      <c r="D403" s="101"/>
      <c r="E403" s="104"/>
      <c r="F403" s="104"/>
      <c r="G403" s="89"/>
      <c r="H403" s="255" t="s">
        <v>722</v>
      </c>
      <c r="I403" s="10">
        <v>663</v>
      </c>
      <c r="J403" s="16">
        <v>7</v>
      </c>
      <c r="K403" s="16">
        <v>1</v>
      </c>
      <c r="L403" s="95" t="s">
        <v>595</v>
      </c>
      <c r="M403" s="96" t="s">
        <v>563</v>
      </c>
      <c r="N403" s="96" t="s">
        <v>564</v>
      </c>
      <c r="O403" s="96" t="s">
        <v>332</v>
      </c>
      <c r="P403" s="10">
        <v>610</v>
      </c>
      <c r="Q403" s="214"/>
      <c r="R403" s="214"/>
    </row>
    <row r="404" spans="1:18" ht="23.25" customHeight="1" hidden="1">
      <c r="A404" s="99"/>
      <c r="B404" s="98"/>
      <c r="C404" s="103"/>
      <c r="D404" s="101"/>
      <c r="E404" s="104"/>
      <c r="F404" s="104"/>
      <c r="G404" s="89"/>
      <c r="H404" s="3" t="s">
        <v>793</v>
      </c>
      <c r="I404" s="10">
        <v>663</v>
      </c>
      <c r="J404" s="16">
        <v>7</v>
      </c>
      <c r="K404" s="16">
        <v>1</v>
      </c>
      <c r="L404" s="95" t="s">
        <v>595</v>
      </c>
      <c r="M404" s="96" t="s">
        <v>563</v>
      </c>
      <c r="N404" s="96" t="s">
        <v>566</v>
      </c>
      <c r="O404" s="96" t="s">
        <v>620</v>
      </c>
      <c r="P404" s="10"/>
      <c r="Q404" s="214"/>
      <c r="R404" s="214"/>
    </row>
    <row r="405" spans="1:18" ht="30.75" customHeight="1" hidden="1">
      <c r="A405" s="99"/>
      <c r="B405" s="98"/>
      <c r="C405" s="103"/>
      <c r="D405" s="101"/>
      <c r="E405" s="104"/>
      <c r="F405" s="104"/>
      <c r="G405" s="89"/>
      <c r="H405" s="3" t="s">
        <v>331</v>
      </c>
      <c r="I405" s="10">
        <v>663</v>
      </c>
      <c r="J405" s="16">
        <v>7</v>
      </c>
      <c r="K405" s="16">
        <v>1</v>
      </c>
      <c r="L405" s="95" t="s">
        <v>595</v>
      </c>
      <c r="M405" s="96" t="s">
        <v>563</v>
      </c>
      <c r="N405" s="96" t="s">
        <v>566</v>
      </c>
      <c r="O405" s="96" t="s">
        <v>321</v>
      </c>
      <c r="P405" s="10"/>
      <c r="Q405" s="214"/>
      <c r="R405" s="214"/>
    </row>
    <row r="406" spans="1:18" ht="27.75" customHeight="1" hidden="1">
      <c r="A406" s="99"/>
      <c r="B406" s="98"/>
      <c r="C406" s="103"/>
      <c r="D406" s="101"/>
      <c r="E406" s="104"/>
      <c r="F406" s="104"/>
      <c r="G406" s="89"/>
      <c r="H406" s="3" t="s">
        <v>722</v>
      </c>
      <c r="I406" s="10">
        <v>663</v>
      </c>
      <c r="J406" s="16">
        <v>7</v>
      </c>
      <c r="K406" s="16">
        <v>1</v>
      </c>
      <c r="L406" s="95" t="s">
        <v>595</v>
      </c>
      <c r="M406" s="96" t="s">
        <v>563</v>
      </c>
      <c r="N406" s="96" t="s">
        <v>566</v>
      </c>
      <c r="O406" s="96" t="s">
        <v>321</v>
      </c>
      <c r="P406" s="10">
        <v>610</v>
      </c>
      <c r="Q406" s="214"/>
      <c r="R406" s="214"/>
    </row>
    <row r="407" spans="1:18" ht="33" customHeight="1">
      <c r="A407" s="99"/>
      <c r="B407" s="98"/>
      <c r="C407" s="103"/>
      <c r="D407" s="101"/>
      <c r="E407" s="104"/>
      <c r="F407" s="104"/>
      <c r="G407" s="89"/>
      <c r="H407" s="5" t="s">
        <v>687</v>
      </c>
      <c r="I407" s="10">
        <v>663</v>
      </c>
      <c r="J407" s="16">
        <v>7</v>
      </c>
      <c r="K407" s="16">
        <v>1</v>
      </c>
      <c r="L407" s="95" t="s">
        <v>688</v>
      </c>
      <c r="M407" s="96" t="s">
        <v>563</v>
      </c>
      <c r="N407" s="96" t="s">
        <v>583</v>
      </c>
      <c r="O407" s="96" t="s">
        <v>620</v>
      </c>
      <c r="P407" s="10"/>
      <c r="Q407" s="214">
        <f>Q408+Q411+Q414</f>
        <v>149</v>
      </c>
      <c r="R407" s="214">
        <f>R408+R411+R414</f>
        <v>149</v>
      </c>
    </row>
    <row r="408" spans="1:18" ht="33" customHeight="1">
      <c r="A408" s="99"/>
      <c r="B408" s="98"/>
      <c r="C408" s="103"/>
      <c r="D408" s="101"/>
      <c r="E408" s="104"/>
      <c r="F408" s="104"/>
      <c r="G408" s="89"/>
      <c r="H408" s="5" t="s">
        <v>324</v>
      </c>
      <c r="I408" s="10">
        <v>663</v>
      </c>
      <c r="J408" s="16">
        <v>7</v>
      </c>
      <c r="K408" s="16">
        <v>1</v>
      </c>
      <c r="L408" s="95" t="s">
        <v>688</v>
      </c>
      <c r="M408" s="96" t="s">
        <v>563</v>
      </c>
      <c r="N408" s="96" t="s">
        <v>592</v>
      </c>
      <c r="O408" s="96" t="s">
        <v>620</v>
      </c>
      <c r="P408" s="10"/>
      <c r="Q408" s="214">
        <f>Q409</f>
        <v>131</v>
      </c>
      <c r="R408" s="214">
        <f>R409</f>
        <v>131</v>
      </c>
    </row>
    <row r="409" spans="1:18" ht="24" customHeight="1">
      <c r="A409" s="99"/>
      <c r="B409" s="98"/>
      <c r="C409" s="103"/>
      <c r="D409" s="101"/>
      <c r="E409" s="104"/>
      <c r="F409" s="104"/>
      <c r="G409" s="89"/>
      <c r="H409" s="5" t="s">
        <v>331</v>
      </c>
      <c r="I409" s="10">
        <v>663</v>
      </c>
      <c r="J409" s="16">
        <v>7</v>
      </c>
      <c r="K409" s="16">
        <v>1</v>
      </c>
      <c r="L409" s="95" t="s">
        <v>688</v>
      </c>
      <c r="M409" s="96" t="s">
        <v>563</v>
      </c>
      <c r="N409" s="96" t="s">
        <v>592</v>
      </c>
      <c r="O409" s="96" t="s">
        <v>321</v>
      </c>
      <c r="P409" s="10"/>
      <c r="Q409" s="214">
        <f>Q410</f>
        <v>131</v>
      </c>
      <c r="R409" s="214">
        <f>R410</f>
        <v>131</v>
      </c>
    </row>
    <row r="410" spans="1:18" ht="24" customHeight="1">
      <c r="A410" s="99"/>
      <c r="B410" s="98"/>
      <c r="C410" s="103"/>
      <c r="D410" s="101"/>
      <c r="E410" s="104"/>
      <c r="F410" s="104"/>
      <c r="G410" s="89"/>
      <c r="H410" s="5" t="s">
        <v>722</v>
      </c>
      <c r="I410" s="10">
        <v>663</v>
      </c>
      <c r="J410" s="16">
        <v>7</v>
      </c>
      <c r="K410" s="16">
        <v>1</v>
      </c>
      <c r="L410" s="95" t="s">
        <v>688</v>
      </c>
      <c r="M410" s="96" t="s">
        <v>563</v>
      </c>
      <c r="N410" s="96" t="s">
        <v>592</v>
      </c>
      <c r="O410" s="96" t="s">
        <v>321</v>
      </c>
      <c r="P410" s="10">
        <v>610</v>
      </c>
      <c r="Q410" s="214">
        <v>131</v>
      </c>
      <c r="R410" s="214">
        <v>131</v>
      </c>
    </row>
    <row r="411" spans="1:18" ht="26.25" customHeight="1">
      <c r="A411" s="99"/>
      <c r="B411" s="98"/>
      <c r="C411" s="103"/>
      <c r="D411" s="101"/>
      <c r="E411" s="104"/>
      <c r="F411" s="104"/>
      <c r="G411" s="89"/>
      <c r="H411" s="200" t="s">
        <v>320</v>
      </c>
      <c r="I411" s="10">
        <v>663</v>
      </c>
      <c r="J411" s="16">
        <v>7</v>
      </c>
      <c r="K411" s="16">
        <v>1</v>
      </c>
      <c r="L411" s="95" t="s">
        <v>688</v>
      </c>
      <c r="M411" s="96" t="s">
        <v>563</v>
      </c>
      <c r="N411" s="96" t="s">
        <v>593</v>
      </c>
      <c r="O411" s="96" t="s">
        <v>620</v>
      </c>
      <c r="P411" s="10"/>
      <c r="Q411" s="214">
        <f>Q412</f>
        <v>9</v>
      </c>
      <c r="R411" s="214">
        <f>R412</f>
        <v>9</v>
      </c>
    </row>
    <row r="412" spans="1:18" ht="22.5" customHeight="1">
      <c r="A412" s="99"/>
      <c r="B412" s="98"/>
      <c r="C412" s="103"/>
      <c r="D412" s="101"/>
      <c r="E412" s="104"/>
      <c r="F412" s="104"/>
      <c r="G412" s="89"/>
      <c r="H412" s="18" t="s">
        <v>322</v>
      </c>
      <c r="I412" s="10">
        <v>663</v>
      </c>
      <c r="J412" s="16">
        <v>7</v>
      </c>
      <c r="K412" s="16">
        <v>1</v>
      </c>
      <c r="L412" s="95" t="s">
        <v>688</v>
      </c>
      <c r="M412" s="96" t="s">
        <v>563</v>
      </c>
      <c r="N412" s="96" t="s">
        <v>593</v>
      </c>
      <c r="O412" s="96" t="s">
        <v>321</v>
      </c>
      <c r="P412" s="10"/>
      <c r="Q412" s="214">
        <f>Q413</f>
        <v>9</v>
      </c>
      <c r="R412" s="214">
        <f>R413</f>
        <v>9</v>
      </c>
    </row>
    <row r="413" spans="1:18" ht="22.5" customHeight="1">
      <c r="A413" s="99"/>
      <c r="B413" s="98"/>
      <c r="C413" s="103"/>
      <c r="D413" s="101"/>
      <c r="E413" s="104"/>
      <c r="F413" s="104"/>
      <c r="G413" s="89"/>
      <c r="H413" s="18" t="s">
        <v>722</v>
      </c>
      <c r="I413" s="10">
        <v>663</v>
      </c>
      <c r="J413" s="16">
        <v>7</v>
      </c>
      <c r="K413" s="16">
        <v>1</v>
      </c>
      <c r="L413" s="95" t="s">
        <v>688</v>
      </c>
      <c r="M413" s="96" t="s">
        <v>563</v>
      </c>
      <c r="N413" s="96" t="s">
        <v>593</v>
      </c>
      <c r="O413" s="96" t="s">
        <v>321</v>
      </c>
      <c r="P413" s="10">
        <v>610</v>
      </c>
      <c r="Q413" s="214">
        <v>9</v>
      </c>
      <c r="R413" s="214">
        <v>9</v>
      </c>
    </row>
    <row r="414" spans="1:18" ht="37.5" customHeight="1">
      <c r="A414" s="99"/>
      <c r="B414" s="98"/>
      <c r="C414" s="103"/>
      <c r="D414" s="101"/>
      <c r="E414" s="104"/>
      <c r="F414" s="104"/>
      <c r="G414" s="89"/>
      <c r="H414" s="18" t="s">
        <v>686</v>
      </c>
      <c r="I414" s="10">
        <v>663</v>
      </c>
      <c r="J414" s="16">
        <v>7</v>
      </c>
      <c r="K414" s="16">
        <v>1</v>
      </c>
      <c r="L414" s="95" t="s">
        <v>688</v>
      </c>
      <c r="M414" s="96" t="s">
        <v>563</v>
      </c>
      <c r="N414" s="96" t="s">
        <v>588</v>
      </c>
      <c r="O414" s="96" t="s">
        <v>620</v>
      </c>
      <c r="P414" s="10"/>
      <c r="Q414" s="214">
        <f>Q415</f>
        <v>9</v>
      </c>
      <c r="R414" s="214">
        <f>R415</f>
        <v>9</v>
      </c>
    </row>
    <row r="415" spans="1:18" ht="29.25" customHeight="1">
      <c r="A415" s="99"/>
      <c r="B415" s="98"/>
      <c r="C415" s="103"/>
      <c r="D415" s="101"/>
      <c r="E415" s="104"/>
      <c r="F415" s="104"/>
      <c r="G415" s="89"/>
      <c r="H415" s="18" t="s">
        <v>331</v>
      </c>
      <c r="I415" s="10">
        <v>663</v>
      </c>
      <c r="J415" s="16">
        <v>7</v>
      </c>
      <c r="K415" s="16">
        <v>1</v>
      </c>
      <c r="L415" s="95" t="s">
        <v>688</v>
      </c>
      <c r="M415" s="96" t="s">
        <v>563</v>
      </c>
      <c r="N415" s="96" t="s">
        <v>588</v>
      </c>
      <c r="O415" s="96" t="s">
        <v>321</v>
      </c>
      <c r="P415" s="10"/>
      <c r="Q415" s="214">
        <f>Q416</f>
        <v>9</v>
      </c>
      <c r="R415" s="214">
        <f>R416</f>
        <v>9</v>
      </c>
    </row>
    <row r="416" spans="1:18" ht="32.25" customHeight="1">
      <c r="A416" s="99"/>
      <c r="B416" s="98"/>
      <c r="C416" s="103"/>
      <c r="D416" s="101"/>
      <c r="E416" s="104"/>
      <c r="F416" s="104"/>
      <c r="G416" s="89"/>
      <c r="H416" s="18" t="s">
        <v>722</v>
      </c>
      <c r="I416" s="10">
        <v>663</v>
      </c>
      <c r="J416" s="16">
        <v>7</v>
      </c>
      <c r="K416" s="16">
        <v>1</v>
      </c>
      <c r="L416" s="95" t="s">
        <v>688</v>
      </c>
      <c r="M416" s="96" t="s">
        <v>563</v>
      </c>
      <c r="N416" s="96" t="s">
        <v>588</v>
      </c>
      <c r="O416" s="96" t="s">
        <v>321</v>
      </c>
      <c r="P416" s="10">
        <v>610</v>
      </c>
      <c r="Q416" s="214">
        <v>9</v>
      </c>
      <c r="R416" s="214">
        <v>9</v>
      </c>
    </row>
    <row r="417" spans="1:18" ht="30" customHeight="1">
      <c r="A417" s="99"/>
      <c r="B417" s="98"/>
      <c r="C417" s="103"/>
      <c r="D417" s="101"/>
      <c r="E417" s="104"/>
      <c r="F417" s="104"/>
      <c r="G417" s="89"/>
      <c r="H417" s="3" t="s">
        <v>299</v>
      </c>
      <c r="I417" s="10">
        <v>663</v>
      </c>
      <c r="J417" s="16">
        <v>7</v>
      </c>
      <c r="K417" s="16">
        <v>1</v>
      </c>
      <c r="L417" s="95" t="s">
        <v>580</v>
      </c>
      <c r="M417" s="96" t="s">
        <v>563</v>
      </c>
      <c r="N417" s="96" t="s">
        <v>583</v>
      </c>
      <c r="O417" s="96" t="s">
        <v>620</v>
      </c>
      <c r="P417" s="10"/>
      <c r="Q417" s="260">
        <f>Q418+Q422+Q420</f>
        <v>78371.2</v>
      </c>
      <c r="R417" s="260">
        <f>R418+R422+R420</f>
        <v>81173.4</v>
      </c>
    </row>
    <row r="418" spans="1:18" ht="30" customHeight="1">
      <c r="A418" s="99"/>
      <c r="B418" s="98"/>
      <c r="C418" s="103"/>
      <c r="D418" s="101"/>
      <c r="E418" s="104"/>
      <c r="F418" s="104"/>
      <c r="G418" s="89"/>
      <c r="H418" s="3" t="s">
        <v>331</v>
      </c>
      <c r="I418" s="10">
        <v>663</v>
      </c>
      <c r="J418" s="16">
        <v>7</v>
      </c>
      <c r="K418" s="16">
        <v>1</v>
      </c>
      <c r="L418" s="95" t="s">
        <v>580</v>
      </c>
      <c r="M418" s="96" t="s">
        <v>563</v>
      </c>
      <c r="N418" s="96" t="s">
        <v>583</v>
      </c>
      <c r="O418" s="96" t="s">
        <v>321</v>
      </c>
      <c r="P418" s="10"/>
      <c r="Q418" s="260">
        <f>Q419</f>
        <v>15039.5</v>
      </c>
      <c r="R418" s="260">
        <f>R419</f>
        <v>15039.5</v>
      </c>
    </row>
    <row r="419" spans="1:18" ht="30" customHeight="1">
      <c r="A419" s="99"/>
      <c r="B419" s="98"/>
      <c r="C419" s="103"/>
      <c r="D419" s="101"/>
      <c r="E419" s="104"/>
      <c r="F419" s="104"/>
      <c r="G419" s="89"/>
      <c r="H419" s="3" t="s">
        <v>722</v>
      </c>
      <c r="I419" s="10">
        <v>663</v>
      </c>
      <c r="J419" s="16">
        <v>7</v>
      </c>
      <c r="K419" s="16">
        <v>1</v>
      </c>
      <c r="L419" s="95" t="s">
        <v>580</v>
      </c>
      <c r="M419" s="96" t="s">
        <v>563</v>
      </c>
      <c r="N419" s="96" t="s">
        <v>583</v>
      </c>
      <c r="O419" s="96" t="s">
        <v>321</v>
      </c>
      <c r="P419" s="10">
        <v>610</v>
      </c>
      <c r="Q419" s="214">
        <v>15039.5</v>
      </c>
      <c r="R419" s="214">
        <v>15039.5</v>
      </c>
    </row>
    <row r="420" spans="1:18" ht="32.25" customHeight="1">
      <c r="A420" s="99"/>
      <c r="B420" s="98"/>
      <c r="C420" s="103"/>
      <c r="D420" s="101"/>
      <c r="E420" s="104"/>
      <c r="F420" s="104"/>
      <c r="G420" s="89"/>
      <c r="H420" s="3" t="s">
        <v>61</v>
      </c>
      <c r="I420" s="10">
        <v>663</v>
      </c>
      <c r="J420" s="16">
        <v>7</v>
      </c>
      <c r="K420" s="16">
        <v>1</v>
      </c>
      <c r="L420" s="95" t="s">
        <v>580</v>
      </c>
      <c r="M420" s="96" t="s">
        <v>563</v>
      </c>
      <c r="N420" s="96" t="s">
        <v>583</v>
      </c>
      <c r="O420" s="96" t="s">
        <v>60</v>
      </c>
      <c r="P420" s="10"/>
      <c r="Q420" s="214">
        <f>Q421</f>
        <v>3304</v>
      </c>
      <c r="R420" s="214">
        <f>R421</f>
        <v>3304</v>
      </c>
    </row>
    <row r="421" spans="1:18" ht="30" customHeight="1">
      <c r="A421" s="99"/>
      <c r="B421" s="98"/>
      <c r="C421" s="103"/>
      <c r="D421" s="101"/>
      <c r="E421" s="104"/>
      <c r="F421" s="104"/>
      <c r="G421" s="89"/>
      <c r="H421" s="3" t="s">
        <v>722</v>
      </c>
      <c r="I421" s="10">
        <v>663</v>
      </c>
      <c r="J421" s="16">
        <v>7</v>
      </c>
      <c r="K421" s="16">
        <v>1</v>
      </c>
      <c r="L421" s="95" t="s">
        <v>580</v>
      </c>
      <c r="M421" s="96" t="s">
        <v>563</v>
      </c>
      <c r="N421" s="96" t="s">
        <v>583</v>
      </c>
      <c r="O421" s="96" t="s">
        <v>60</v>
      </c>
      <c r="P421" s="10">
        <v>610</v>
      </c>
      <c r="Q421" s="214">
        <v>3304</v>
      </c>
      <c r="R421" s="214">
        <v>3304</v>
      </c>
    </row>
    <row r="422" spans="1:18" ht="36" customHeight="1">
      <c r="A422" s="99"/>
      <c r="B422" s="98"/>
      <c r="C422" s="103"/>
      <c r="D422" s="101"/>
      <c r="E422" s="104"/>
      <c r="F422" s="104"/>
      <c r="G422" s="89"/>
      <c r="H422" s="3" t="s">
        <v>333</v>
      </c>
      <c r="I422" s="10">
        <v>663</v>
      </c>
      <c r="J422" s="16">
        <v>7</v>
      </c>
      <c r="K422" s="16">
        <v>1</v>
      </c>
      <c r="L422" s="95" t="s">
        <v>580</v>
      </c>
      <c r="M422" s="96" t="s">
        <v>563</v>
      </c>
      <c r="N422" s="96" t="s">
        <v>583</v>
      </c>
      <c r="O422" s="96" t="s">
        <v>332</v>
      </c>
      <c r="P422" s="10"/>
      <c r="Q422" s="260">
        <f>Q423</f>
        <v>60027.7</v>
      </c>
      <c r="R422" s="260">
        <f>R423</f>
        <v>62829.9</v>
      </c>
    </row>
    <row r="423" spans="1:18" ht="30" customHeight="1">
      <c r="A423" s="99"/>
      <c r="B423" s="98"/>
      <c r="C423" s="103"/>
      <c r="D423" s="101"/>
      <c r="E423" s="104"/>
      <c r="F423" s="104"/>
      <c r="G423" s="89"/>
      <c r="H423" s="3" t="s">
        <v>722</v>
      </c>
      <c r="I423" s="10">
        <v>663</v>
      </c>
      <c r="J423" s="16">
        <v>7</v>
      </c>
      <c r="K423" s="16">
        <v>1</v>
      </c>
      <c r="L423" s="95" t="s">
        <v>580</v>
      </c>
      <c r="M423" s="96" t="s">
        <v>563</v>
      </c>
      <c r="N423" s="96" t="s">
        <v>583</v>
      </c>
      <c r="O423" s="96" t="s">
        <v>332</v>
      </c>
      <c r="P423" s="10">
        <v>610</v>
      </c>
      <c r="Q423" s="214">
        <v>60027.7</v>
      </c>
      <c r="R423" s="214">
        <v>62829.9</v>
      </c>
    </row>
    <row r="424" spans="1:18" s="179" customFormat="1" ht="27" customHeight="1">
      <c r="A424" s="142"/>
      <c r="B424" s="143"/>
      <c r="C424" s="153"/>
      <c r="D424" s="150"/>
      <c r="E424" s="145"/>
      <c r="F424" s="145"/>
      <c r="G424" s="136"/>
      <c r="H424" s="149" t="s">
        <v>544</v>
      </c>
      <c r="I424" s="138">
        <v>663</v>
      </c>
      <c r="J424" s="139">
        <v>7</v>
      </c>
      <c r="K424" s="139">
        <v>2</v>
      </c>
      <c r="L424" s="139"/>
      <c r="M424" s="141" t="s">
        <v>621</v>
      </c>
      <c r="N424" s="141"/>
      <c r="O424" s="141"/>
      <c r="P424" s="138"/>
      <c r="Q424" s="256">
        <f>Q425+Q443+Q456</f>
        <v>158333.90000000002</v>
      </c>
      <c r="R424" s="256">
        <f>R425+R443+R456</f>
        <v>164603.90000000002</v>
      </c>
    </row>
    <row r="425" spans="1:18" ht="30" customHeight="1" hidden="1">
      <c r="A425" s="99"/>
      <c r="B425" s="98"/>
      <c r="C425" s="103"/>
      <c r="D425" s="101"/>
      <c r="E425" s="104"/>
      <c r="F425" s="104"/>
      <c r="G425" s="89"/>
      <c r="H425" s="253" t="s">
        <v>271</v>
      </c>
      <c r="I425" s="10">
        <v>663</v>
      </c>
      <c r="J425" s="16">
        <v>7</v>
      </c>
      <c r="K425" s="16">
        <v>2</v>
      </c>
      <c r="L425" s="95" t="s">
        <v>595</v>
      </c>
      <c r="M425" s="96" t="s">
        <v>563</v>
      </c>
      <c r="N425" s="96" t="s">
        <v>583</v>
      </c>
      <c r="O425" s="96" t="s">
        <v>620</v>
      </c>
      <c r="P425" s="10"/>
      <c r="Q425" s="214"/>
      <c r="R425" s="214"/>
    </row>
    <row r="426" spans="1:18" ht="30" customHeight="1" hidden="1">
      <c r="A426" s="99"/>
      <c r="B426" s="98"/>
      <c r="C426" s="103"/>
      <c r="D426" s="101"/>
      <c r="E426" s="104"/>
      <c r="F426" s="104"/>
      <c r="G426" s="89"/>
      <c r="H426" s="55" t="s">
        <v>656</v>
      </c>
      <c r="I426" s="10">
        <v>663</v>
      </c>
      <c r="J426" s="16">
        <v>7</v>
      </c>
      <c r="K426" s="16">
        <v>2</v>
      </c>
      <c r="L426" s="95" t="s">
        <v>595</v>
      </c>
      <c r="M426" s="96" t="s">
        <v>563</v>
      </c>
      <c r="N426" s="96" t="s">
        <v>564</v>
      </c>
      <c r="O426" s="96" t="s">
        <v>620</v>
      </c>
      <c r="P426" s="10"/>
      <c r="Q426" s="214"/>
      <c r="R426" s="214"/>
    </row>
    <row r="427" spans="1:18" ht="24.75" customHeight="1" hidden="1">
      <c r="A427" s="99"/>
      <c r="B427" s="98"/>
      <c r="C427" s="103"/>
      <c r="D427" s="101"/>
      <c r="E427" s="104"/>
      <c r="F427" s="104"/>
      <c r="G427" s="89"/>
      <c r="H427" s="254" t="s">
        <v>334</v>
      </c>
      <c r="I427" s="10">
        <v>663</v>
      </c>
      <c r="J427" s="16">
        <v>7</v>
      </c>
      <c r="K427" s="16">
        <v>2</v>
      </c>
      <c r="L427" s="95" t="s">
        <v>595</v>
      </c>
      <c r="M427" s="96" t="s">
        <v>563</v>
      </c>
      <c r="N427" s="96" t="s">
        <v>564</v>
      </c>
      <c r="O427" s="96" t="s">
        <v>323</v>
      </c>
      <c r="P427" s="10"/>
      <c r="Q427" s="214"/>
      <c r="R427" s="214"/>
    </row>
    <row r="428" spans="1:18" ht="24.75" customHeight="1" hidden="1">
      <c r="A428" s="99"/>
      <c r="B428" s="98"/>
      <c r="C428" s="103"/>
      <c r="D428" s="101"/>
      <c r="E428" s="104"/>
      <c r="F428" s="104"/>
      <c r="G428" s="89"/>
      <c r="H428" s="254" t="s">
        <v>722</v>
      </c>
      <c r="I428" s="10">
        <v>663</v>
      </c>
      <c r="J428" s="16">
        <v>7</v>
      </c>
      <c r="K428" s="16">
        <v>2</v>
      </c>
      <c r="L428" s="95" t="s">
        <v>595</v>
      </c>
      <c r="M428" s="96" t="s">
        <v>563</v>
      </c>
      <c r="N428" s="96" t="s">
        <v>564</v>
      </c>
      <c r="O428" s="96" t="s">
        <v>323</v>
      </c>
      <c r="P428" s="10">
        <v>610</v>
      </c>
      <c r="Q428" s="214"/>
      <c r="R428" s="214"/>
    </row>
    <row r="429" spans="1:18" ht="27" customHeight="1" hidden="1">
      <c r="A429" s="99"/>
      <c r="B429" s="98"/>
      <c r="C429" s="103"/>
      <c r="D429" s="101"/>
      <c r="E429" s="104"/>
      <c r="F429" s="104"/>
      <c r="G429" s="89"/>
      <c r="H429" s="18" t="s">
        <v>657</v>
      </c>
      <c r="I429" s="6">
        <v>663</v>
      </c>
      <c r="J429" s="19">
        <v>7</v>
      </c>
      <c r="K429" s="16">
        <v>2</v>
      </c>
      <c r="L429" s="95" t="s">
        <v>595</v>
      </c>
      <c r="M429" s="96" t="s">
        <v>563</v>
      </c>
      <c r="N429" s="96" t="s">
        <v>592</v>
      </c>
      <c r="O429" s="96" t="s">
        <v>620</v>
      </c>
      <c r="P429" s="6"/>
      <c r="Q429" s="216"/>
      <c r="R429" s="216"/>
    </row>
    <row r="430" spans="1:18" ht="27" customHeight="1" hidden="1">
      <c r="A430" s="99"/>
      <c r="B430" s="98"/>
      <c r="C430" s="103"/>
      <c r="D430" s="101"/>
      <c r="E430" s="104"/>
      <c r="F430" s="104"/>
      <c r="G430" s="89"/>
      <c r="H430" s="20" t="s">
        <v>334</v>
      </c>
      <c r="I430" s="6">
        <v>663</v>
      </c>
      <c r="J430" s="19">
        <v>7</v>
      </c>
      <c r="K430" s="16">
        <v>2</v>
      </c>
      <c r="L430" s="95" t="s">
        <v>595</v>
      </c>
      <c r="M430" s="96" t="s">
        <v>563</v>
      </c>
      <c r="N430" s="96" t="s">
        <v>592</v>
      </c>
      <c r="O430" s="96" t="s">
        <v>323</v>
      </c>
      <c r="P430" s="6"/>
      <c r="Q430" s="216"/>
      <c r="R430" s="216"/>
    </row>
    <row r="431" spans="1:18" ht="27" customHeight="1" hidden="1">
      <c r="A431" s="99"/>
      <c r="B431" s="98"/>
      <c r="C431" s="103"/>
      <c r="D431" s="101"/>
      <c r="E431" s="104"/>
      <c r="F431" s="104"/>
      <c r="G431" s="89"/>
      <c r="H431" s="5" t="s">
        <v>720</v>
      </c>
      <c r="I431" s="6">
        <v>663</v>
      </c>
      <c r="J431" s="19">
        <v>7</v>
      </c>
      <c r="K431" s="16">
        <v>2</v>
      </c>
      <c r="L431" s="95" t="s">
        <v>595</v>
      </c>
      <c r="M431" s="96" t="s">
        <v>563</v>
      </c>
      <c r="N431" s="96" t="s">
        <v>592</v>
      </c>
      <c r="O431" s="96" t="s">
        <v>323</v>
      </c>
      <c r="P431" s="6">
        <v>240</v>
      </c>
      <c r="Q431" s="216"/>
      <c r="R431" s="216"/>
    </row>
    <row r="432" spans="1:18" ht="27" customHeight="1" hidden="1">
      <c r="A432" s="99"/>
      <c r="B432" s="98"/>
      <c r="C432" s="103"/>
      <c r="D432" s="101"/>
      <c r="E432" s="104"/>
      <c r="F432" s="104"/>
      <c r="G432" s="89"/>
      <c r="H432" s="20" t="s">
        <v>722</v>
      </c>
      <c r="I432" s="6">
        <v>663</v>
      </c>
      <c r="J432" s="19">
        <v>7</v>
      </c>
      <c r="K432" s="16">
        <v>2</v>
      </c>
      <c r="L432" s="95" t="s">
        <v>595</v>
      </c>
      <c r="M432" s="96" t="s">
        <v>563</v>
      </c>
      <c r="N432" s="96" t="s">
        <v>592</v>
      </c>
      <c r="O432" s="96" t="s">
        <v>323</v>
      </c>
      <c r="P432" s="6">
        <v>610</v>
      </c>
      <c r="Q432" s="216"/>
      <c r="R432" s="216"/>
    </row>
    <row r="433" spans="1:18" ht="40.5" customHeight="1" hidden="1">
      <c r="A433" s="99"/>
      <c r="B433" s="98"/>
      <c r="C433" s="103"/>
      <c r="D433" s="101"/>
      <c r="E433" s="104"/>
      <c r="F433" s="104"/>
      <c r="G433" s="89"/>
      <c r="H433" s="20" t="s">
        <v>333</v>
      </c>
      <c r="I433" s="6">
        <v>663</v>
      </c>
      <c r="J433" s="19">
        <v>7</v>
      </c>
      <c r="K433" s="16">
        <v>2</v>
      </c>
      <c r="L433" s="95" t="s">
        <v>595</v>
      </c>
      <c r="M433" s="96" t="s">
        <v>563</v>
      </c>
      <c r="N433" s="96" t="s">
        <v>592</v>
      </c>
      <c r="O433" s="96" t="s">
        <v>332</v>
      </c>
      <c r="P433" s="6"/>
      <c r="Q433" s="216"/>
      <c r="R433" s="216"/>
    </row>
    <row r="434" spans="1:18" ht="27" customHeight="1" hidden="1">
      <c r="A434" s="99"/>
      <c r="B434" s="98"/>
      <c r="C434" s="103"/>
      <c r="D434" s="101"/>
      <c r="E434" s="104"/>
      <c r="F434" s="104"/>
      <c r="G434" s="89"/>
      <c r="H434" s="20" t="s">
        <v>722</v>
      </c>
      <c r="I434" s="6">
        <v>663</v>
      </c>
      <c r="J434" s="19">
        <v>7</v>
      </c>
      <c r="K434" s="16">
        <v>2</v>
      </c>
      <c r="L434" s="95" t="s">
        <v>595</v>
      </c>
      <c r="M434" s="96" t="s">
        <v>563</v>
      </c>
      <c r="N434" s="96" t="s">
        <v>592</v>
      </c>
      <c r="O434" s="96" t="s">
        <v>332</v>
      </c>
      <c r="P434" s="6">
        <v>610</v>
      </c>
      <c r="Q434" s="216"/>
      <c r="R434" s="216"/>
    </row>
    <row r="435" spans="1:18" ht="24" customHeight="1" hidden="1">
      <c r="A435" s="99"/>
      <c r="B435" s="98"/>
      <c r="C435" s="103"/>
      <c r="D435" s="101"/>
      <c r="E435" s="104"/>
      <c r="F435" s="104"/>
      <c r="G435" s="89"/>
      <c r="H435" s="3" t="s">
        <v>792</v>
      </c>
      <c r="I435" s="8">
        <v>663</v>
      </c>
      <c r="J435" s="19">
        <v>7</v>
      </c>
      <c r="K435" s="16">
        <v>2</v>
      </c>
      <c r="L435" s="95" t="s">
        <v>595</v>
      </c>
      <c r="M435" s="96" t="s">
        <v>563</v>
      </c>
      <c r="N435" s="96" t="s">
        <v>593</v>
      </c>
      <c r="O435" s="96" t="s">
        <v>620</v>
      </c>
      <c r="P435" s="6"/>
      <c r="Q435" s="216"/>
      <c r="R435" s="216"/>
    </row>
    <row r="436" spans="1:18" ht="24" customHeight="1" hidden="1">
      <c r="A436" s="99"/>
      <c r="B436" s="98"/>
      <c r="C436" s="103"/>
      <c r="D436" s="101"/>
      <c r="E436" s="104"/>
      <c r="F436" s="104"/>
      <c r="G436" s="89"/>
      <c r="H436" s="3" t="s">
        <v>334</v>
      </c>
      <c r="I436" s="8">
        <v>663</v>
      </c>
      <c r="J436" s="19">
        <v>7</v>
      </c>
      <c r="K436" s="16">
        <v>2</v>
      </c>
      <c r="L436" s="95" t="s">
        <v>595</v>
      </c>
      <c r="M436" s="96" t="s">
        <v>563</v>
      </c>
      <c r="N436" s="96" t="s">
        <v>593</v>
      </c>
      <c r="O436" s="96" t="s">
        <v>323</v>
      </c>
      <c r="P436" s="6"/>
      <c r="Q436" s="216"/>
      <c r="R436" s="216"/>
    </row>
    <row r="437" spans="1:18" ht="24" customHeight="1" hidden="1">
      <c r="A437" s="99"/>
      <c r="B437" s="98"/>
      <c r="C437" s="103"/>
      <c r="D437" s="101"/>
      <c r="E437" s="104"/>
      <c r="F437" s="104"/>
      <c r="G437" s="89"/>
      <c r="H437" s="3" t="s">
        <v>722</v>
      </c>
      <c r="I437" s="8">
        <v>663</v>
      </c>
      <c r="J437" s="19">
        <v>7</v>
      </c>
      <c r="K437" s="16">
        <v>2</v>
      </c>
      <c r="L437" s="95" t="s">
        <v>595</v>
      </c>
      <c r="M437" s="96" t="s">
        <v>563</v>
      </c>
      <c r="N437" s="96" t="s">
        <v>593</v>
      </c>
      <c r="O437" s="96" t="s">
        <v>323</v>
      </c>
      <c r="P437" s="6">
        <v>610</v>
      </c>
      <c r="Q437" s="216"/>
      <c r="R437" s="216"/>
    </row>
    <row r="438" spans="1:18" ht="29.25" customHeight="1" hidden="1">
      <c r="A438" s="99"/>
      <c r="B438" s="98"/>
      <c r="C438" s="103"/>
      <c r="D438" s="101"/>
      <c r="E438" s="104"/>
      <c r="F438" s="104"/>
      <c r="G438" s="89"/>
      <c r="H438" s="3" t="s">
        <v>793</v>
      </c>
      <c r="I438" s="8">
        <v>663</v>
      </c>
      <c r="J438" s="19">
        <v>7</v>
      </c>
      <c r="K438" s="16">
        <v>2</v>
      </c>
      <c r="L438" s="95" t="s">
        <v>595</v>
      </c>
      <c r="M438" s="96" t="s">
        <v>563</v>
      </c>
      <c r="N438" s="96" t="s">
        <v>566</v>
      </c>
      <c r="O438" s="96" t="s">
        <v>620</v>
      </c>
      <c r="P438" s="6"/>
      <c r="Q438" s="216"/>
      <c r="R438" s="216"/>
    </row>
    <row r="439" spans="1:18" ht="22.5" customHeight="1" hidden="1">
      <c r="A439" s="99"/>
      <c r="B439" s="98"/>
      <c r="C439" s="103"/>
      <c r="D439" s="101"/>
      <c r="E439" s="104"/>
      <c r="F439" s="104"/>
      <c r="G439" s="89"/>
      <c r="H439" s="3" t="s">
        <v>334</v>
      </c>
      <c r="I439" s="8">
        <v>663</v>
      </c>
      <c r="J439" s="19">
        <v>7</v>
      </c>
      <c r="K439" s="16">
        <v>2</v>
      </c>
      <c r="L439" s="95" t="s">
        <v>595</v>
      </c>
      <c r="M439" s="96" t="s">
        <v>563</v>
      </c>
      <c r="N439" s="96" t="s">
        <v>566</v>
      </c>
      <c r="O439" s="96" t="s">
        <v>323</v>
      </c>
      <c r="P439" s="6"/>
      <c r="Q439" s="216"/>
      <c r="R439" s="216"/>
    </row>
    <row r="440" spans="1:18" ht="27.75" customHeight="1" hidden="1">
      <c r="A440" s="99"/>
      <c r="B440" s="98"/>
      <c r="C440" s="103"/>
      <c r="D440" s="101"/>
      <c r="E440" s="104"/>
      <c r="F440" s="104"/>
      <c r="G440" s="89"/>
      <c r="H440" s="3" t="s">
        <v>722</v>
      </c>
      <c r="I440" s="8">
        <v>663</v>
      </c>
      <c r="J440" s="19">
        <v>7</v>
      </c>
      <c r="K440" s="16">
        <v>2</v>
      </c>
      <c r="L440" s="95" t="s">
        <v>595</v>
      </c>
      <c r="M440" s="96" t="s">
        <v>563</v>
      </c>
      <c r="N440" s="96" t="s">
        <v>566</v>
      </c>
      <c r="O440" s="96" t="s">
        <v>323</v>
      </c>
      <c r="P440" s="10">
        <v>610</v>
      </c>
      <c r="Q440" s="214"/>
      <c r="R440" s="214"/>
    </row>
    <row r="441" spans="1:18" ht="36" customHeight="1" hidden="1">
      <c r="A441" s="99"/>
      <c r="B441" s="98"/>
      <c r="C441" s="103"/>
      <c r="D441" s="101"/>
      <c r="E441" s="113"/>
      <c r="F441" s="113"/>
      <c r="G441" s="89"/>
      <c r="H441" s="5" t="s">
        <v>294</v>
      </c>
      <c r="I441" s="8">
        <v>663</v>
      </c>
      <c r="J441" s="21">
        <v>7</v>
      </c>
      <c r="K441" s="16">
        <v>2</v>
      </c>
      <c r="L441" s="16">
        <v>6</v>
      </c>
      <c r="M441" s="96" t="s">
        <v>563</v>
      </c>
      <c r="N441" s="96" t="s">
        <v>566</v>
      </c>
      <c r="O441" s="96" t="s">
        <v>295</v>
      </c>
      <c r="P441" s="10"/>
      <c r="Q441" s="214"/>
      <c r="R441" s="214"/>
    </row>
    <row r="442" spans="1:18" ht="24.75" customHeight="1" hidden="1">
      <c r="A442" s="99"/>
      <c r="B442" s="98"/>
      <c r="C442" s="103"/>
      <c r="D442" s="101"/>
      <c r="E442" s="113"/>
      <c r="F442" s="113"/>
      <c r="G442" s="89"/>
      <c r="H442" s="5" t="s">
        <v>722</v>
      </c>
      <c r="I442" s="8">
        <v>663</v>
      </c>
      <c r="J442" s="21">
        <v>7</v>
      </c>
      <c r="K442" s="16">
        <v>2</v>
      </c>
      <c r="L442" s="16">
        <v>6</v>
      </c>
      <c r="M442" s="96" t="s">
        <v>563</v>
      </c>
      <c r="N442" s="96" t="s">
        <v>566</v>
      </c>
      <c r="O442" s="96" t="s">
        <v>295</v>
      </c>
      <c r="P442" s="10">
        <v>610</v>
      </c>
      <c r="Q442" s="214"/>
      <c r="R442" s="214"/>
    </row>
    <row r="443" spans="1:18" ht="30.75" customHeight="1">
      <c r="A443" s="99"/>
      <c r="B443" s="98"/>
      <c r="C443" s="103"/>
      <c r="D443" s="101"/>
      <c r="E443" s="104"/>
      <c r="F443" s="104"/>
      <c r="G443" s="89"/>
      <c r="H443" s="5" t="s">
        <v>687</v>
      </c>
      <c r="I443" s="10">
        <v>663</v>
      </c>
      <c r="J443" s="16">
        <v>7</v>
      </c>
      <c r="K443" s="16">
        <v>2</v>
      </c>
      <c r="L443" s="95" t="s">
        <v>688</v>
      </c>
      <c r="M443" s="96" t="s">
        <v>563</v>
      </c>
      <c r="N443" s="96" t="s">
        <v>583</v>
      </c>
      <c r="O443" s="96" t="s">
        <v>620</v>
      </c>
      <c r="P443" s="10"/>
      <c r="Q443" s="214">
        <f>Q444+Q447+Q450+Q453</f>
        <v>239</v>
      </c>
      <c r="R443" s="214">
        <f>R444+R447+R450+R453</f>
        <v>239</v>
      </c>
    </row>
    <row r="444" spans="1:18" ht="34.5" customHeight="1">
      <c r="A444" s="99"/>
      <c r="B444" s="98"/>
      <c r="C444" s="103"/>
      <c r="D444" s="101"/>
      <c r="E444" s="104"/>
      <c r="F444" s="104"/>
      <c r="G444" s="89"/>
      <c r="H444" s="18" t="s">
        <v>324</v>
      </c>
      <c r="I444" s="10">
        <v>663</v>
      </c>
      <c r="J444" s="16">
        <v>7</v>
      </c>
      <c r="K444" s="16">
        <v>2</v>
      </c>
      <c r="L444" s="95" t="s">
        <v>688</v>
      </c>
      <c r="M444" s="96" t="s">
        <v>563</v>
      </c>
      <c r="N444" s="96" t="s">
        <v>592</v>
      </c>
      <c r="O444" s="96" t="s">
        <v>620</v>
      </c>
      <c r="P444" s="10"/>
      <c r="Q444" s="214">
        <f>Q445</f>
        <v>9</v>
      </c>
      <c r="R444" s="214">
        <f>R445</f>
        <v>9</v>
      </c>
    </row>
    <row r="445" spans="1:18" ht="24.75" customHeight="1">
      <c r="A445" s="99"/>
      <c r="B445" s="98"/>
      <c r="C445" s="103"/>
      <c r="D445" s="101"/>
      <c r="E445" s="104"/>
      <c r="F445" s="104"/>
      <c r="G445" s="89"/>
      <c r="H445" s="18" t="s">
        <v>325</v>
      </c>
      <c r="I445" s="10">
        <v>663</v>
      </c>
      <c r="J445" s="16">
        <v>7</v>
      </c>
      <c r="K445" s="16">
        <v>2</v>
      </c>
      <c r="L445" s="95" t="s">
        <v>688</v>
      </c>
      <c r="M445" s="96" t="s">
        <v>563</v>
      </c>
      <c r="N445" s="96" t="s">
        <v>592</v>
      </c>
      <c r="O445" s="96" t="s">
        <v>323</v>
      </c>
      <c r="P445" s="10"/>
      <c r="Q445" s="214">
        <f>Q446</f>
        <v>9</v>
      </c>
      <c r="R445" s="214">
        <f>R446</f>
        <v>9</v>
      </c>
    </row>
    <row r="446" spans="1:18" ht="24.75" customHeight="1">
      <c r="A446" s="99"/>
      <c r="B446" s="98"/>
      <c r="C446" s="103"/>
      <c r="D446" s="101"/>
      <c r="E446" s="104"/>
      <c r="F446" s="104"/>
      <c r="G446" s="89"/>
      <c r="H446" s="18" t="s">
        <v>722</v>
      </c>
      <c r="I446" s="10">
        <v>663</v>
      </c>
      <c r="J446" s="16">
        <v>7</v>
      </c>
      <c r="K446" s="16">
        <v>2</v>
      </c>
      <c r="L446" s="95" t="s">
        <v>688</v>
      </c>
      <c r="M446" s="96" t="s">
        <v>563</v>
      </c>
      <c r="N446" s="96" t="s">
        <v>592</v>
      </c>
      <c r="O446" s="96" t="s">
        <v>323</v>
      </c>
      <c r="P446" s="10">
        <v>610</v>
      </c>
      <c r="Q446" s="214">
        <v>9</v>
      </c>
      <c r="R446" s="214">
        <v>9</v>
      </c>
    </row>
    <row r="447" spans="1:18" ht="30" customHeight="1">
      <c r="A447" s="99"/>
      <c r="B447" s="98"/>
      <c r="C447" s="103"/>
      <c r="D447" s="101"/>
      <c r="E447" s="104"/>
      <c r="F447" s="104"/>
      <c r="G447" s="89"/>
      <c r="H447" s="5" t="s">
        <v>326</v>
      </c>
      <c r="I447" s="10">
        <v>663</v>
      </c>
      <c r="J447" s="16">
        <v>7</v>
      </c>
      <c r="K447" s="16">
        <v>2</v>
      </c>
      <c r="L447" s="95" t="s">
        <v>688</v>
      </c>
      <c r="M447" s="96" t="s">
        <v>563</v>
      </c>
      <c r="N447" s="96" t="s">
        <v>593</v>
      </c>
      <c r="O447" s="96" t="s">
        <v>620</v>
      </c>
      <c r="P447" s="10"/>
      <c r="Q447" s="214">
        <f>Q448</f>
        <v>25</v>
      </c>
      <c r="R447" s="214">
        <f>R448</f>
        <v>25</v>
      </c>
    </row>
    <row r="448" spans="1:18" ht="30" customHeight="1">
      <c r="A448" s="99"/>
      <c r="B448" s="98"/>
      <c r="C448" s="103"/>
      <c r="D448" s="101"/>
      <c r="E448" s="104"/>
      <c r="F448" s="104"/>
      <c r="G448" s="89"/>
      <c r="H448" s="5" t="s">
        <v>325</v>
      </c>
      <c r="I448" s="10">
        <v>663</v>
      </c>
      <c r="J448" s="16">
        <v>7</v>
      </c>
      <c r="K448" s="16">
        <v>2</v>
      </c>
      <c r="L448" s="95" t="s">
        <v>688</v>
      </c>
      <c r="M448" s="96" t="s">
        <v>563</v>
      </c>
      <c r="N448" s="96" t="s">
        <v>593</v>
      </c>
      <c r="O448" s="96" t="s">
        <v>323</v>
      </c>
      <c r="P448" s="10"/>
      <c r="Q448" s="214">
        <f>Q449</f>
        <v>25</v>
      </c>
      <c r="R448" s="214">
        <f>R449</f>
        <v>25</v>
      </c>
    </row>
    <row r="449" spans="1:18" ht="30" customHeight="1">
      <c r="A449" s="99"/>
      <c r="B449" s="98"/>
      <c r="C449" s="103"/>
      <c r="D449" s="101"/>
      <c r="E449" s="104"/>
      <c r="F449" s="104"/>
      <c r="G449" s="89"/>
      <c r="H449" s="5" t="s">
        <v>722</v>
      </c>
      <c r="I449" s="10">
        <v>663</v>
      </c>
      <c r="J449" s="16">
        <v>7</v>
      </c>
      <c r="K449" s="16">
        <v>2</v>
      </c>
      <c r="L449" s="95" t="s">
        <v>688</v>
      </c>
      <c r="M449" s="96" t="s">
        <v>563</v>
      </c>
      <c r="N449" s="96" t="s">
        <v>593</v>
      </c>
      <c r="O449" s="96" t="s">
        <v>323</v>
      </c>
      <c r="P449" s="10">
        <v>610</v>
      </c>
      <c r="Q449" s="214">
        <v>25</v>
      </c>
      <c r="R449" s="214">
        <v>25</v>
      </c>
    </row>
    <row r="450" spans="1:18" ht="41.25" customHeight="1">
      <c r="A450" s="99"/>
      <c r="B450" s="98"/>
      <c r="C450" s="103"/>
      <c r="D450" s="101"/>
      <c r="E450" s="104"/>
      <c r="F450" s="104"/>
      <c r="G450" s="89"/>
      <c r="H450" s="5" t="s">
        <v>686</v>
      </c>
      <c r="I450" s="10">
        <v>663</v>
      </c>
      <c r="J450" s="16">
        <v>7</v>
      </c>
      <c r="K450" s="16">
        <v>2</v>
      </c>
      <c r="L450" s="95" t="s">
        <v>688</v>
      </c>
      <c r="M450" s="96" t="s">
        <v>563</v>
      </c>
      <c r="N450" s="96" t="s">
        <v>588</v>
      </c>
      <c r="O450" s="96" t="s">
        <v>620</v>
      </c>
      <c r="P450" s="10"/>
      <c r="Q450" s="214">
        <f>Q451</f>
        <v>80</v>
      </c>
      <c r="R450" s="214">
        <f>R451</f>
        <v>80</v>
      </c>
    </row>
    <row r="451" spans="1:18" ht="28.5" customHeight="1">
      <c r="A451" s="99"/>
      <c r="B451" s="98"/>
      <c r="C451" s="103"/>
      <c r="D451" s="101"/>
      <c r="E451" s="104"/>
      <c r="F451" s="104"/>
      <c r="G451" s="89"/>
      <c r="H451" s="5" t="s">
        <v>325</v>
      </c>
      <c r="I451" s="10">
        <v>663</v>
      </c>
      <c r="J451" s="16">
        <v>7</v>
      </c>
      <c r="K451" s="16">
        <v>2</v>
      </c>
      <c r="L451" s="95" t="s">
        <v>688</v>
      </c>
      <c r="M451" s="96" t="s">
        <v>563</v>
      </c>
      <c r="N451" s="96" t="s">
        <v>588</v>
      </c>
      <c r="O451" s="96" t="s">
        <v>323</v>
      </c>
      <c r="P451" s="10"/>
      <c r="Q451" s="214">
        <f>Q452</f>
        <v>80</v>
      </c>
      <c r="R451" s="214">
        <f>R452</f>
        <v>80</v>
      </c>
    </row>
    <row r="452" spans="1:18" ht="30" customHeight="1">
      <c r="A452" s="99"/>
      <c r="B452" s="98"/>
      <c r="C452" s="103"/>
      <c r="D452" s="101"/>
      <c r="E452" s="104"/>
      <c r="F452" s="104"/>
      <c r="G452" s="89"/>
      <c r="H452" s="5" t="s">
        <v>722</v>
      </c>
      <c r="I452" s="10">
        <v>663</v>
      </c>
      <c r="J452" s="16">
        <v>7</v>
      </c>
      <c r="K452" s="16">
        <v>2</v>
      </c>
      <c r="L452" s="95" t="s">
        <v>688</v>
      </c>
      <c r="M452" s="96" t="s">
        <v>563</v>
      </c>
      <c r="N452" s="96" t="s">
        <v>588</v>
      </c>
      <c r="O452" s="96" t="s">
        <v>323</v>
      </c>
      <c r="P452" s="10">
        <v>610</v>
      </c>
      <c r="Q452" s="214">
        <v>80</v>
      </c>
      <c r="R452" s="214">
        <v>80</v>
      </c>
    </row>
    <row r="453" spans="1:18" ht="41.25" customHeight="1">
      <c r="A453" s="99"/>
      <c r="B453" s="98"/>
      <c r="C453" s="103"/>
      <c r="D453" s="101"/>
      <c r="E453" s="104"/>
      <c r="F453" s="104"/>
      <c r="G453" s="89"/>
      <c r="H453" s="117" t="s">
        <v>253</v>
      </c>
      <c r="I453" s="10">
        <v>663</v>
      </c>
      <c r="J453" s="16">
        <v>7</v>
      </c>
      <c r="K453" s="16">
        <v>2</v>
      </c>
      <c r="L453" s="95" t="s">
        <v>688</v>
      </c>
      <c r="M453" s="96" t="s">
        <v>563</v>
      </c>
      <c r="N453" s="96" t="s">
        <v>566</v>
      </c>
      <c r="O453" s="96" t="s">
        <v>620</v>
      </c>
      <c r="P453" s="10"/>
      <c r="Q453" s="214">
        <f>Q454</f>
        <v>125</v>
      </c>
      <c r="R453" s="214">
        <f>R454</f>
        <v>125</v>
      </c>
    </row>
    <row r="454" spans="1:18" ht="25.5" customHeight="1">
      <c r="A454" s="99"/>
      <c r="B454" s="98"/>
      <c r="C454" s="103"/>
      <c r="D454" s="101"/>
      <c r="E454" s="104"/>
      <c r="F454" s="104"/>
      <c r="G454" s="89"/>
      <c r="H454" s="5" t="s">
        <v>325</v>
      </c>
      <c r="I454" s="10">
        <v>663</v>
      </c>
      <c r="J454" s="16">
        <v>7</v>
      </c>
      <c r="K454" s="16">
        <v>2</v>
      </c>
      <c r="L454" s="95" t="s">
        <v>688</v>
      </c>
      <c r="M454" s="96" t="s">
        <v>563</v>
      </c>
      <c r="N454" s="96" t="s">
        <v>566</v>
      </c>
      <c r="O454" s="96" t="s">
        <v>323</v>
      </c>
      <c r="P454" s="10"/>
      <c r="Q454" s="214">
        <f>Q455</f>
        <v>125</v>
      </c>
      <c r="R454" s="214">
        <f>R455</f>
        <v>125</v>
      </c>
    </row>
    <row r="455" spans="1:18" ht="27" customHeight="1">
      <c r="A455" s="99"/>
      <c r="B455" s="98"/>
      <c r="C455" s="103"/>
      <c r="D455" s="101"/>
      <c r="E455" s="104"/>
      <c r="F455" s="104"/>
      <c r="G455" s="89"/>
      <c r="H455" s="5" t="s">
        <v>722</v>
      </c>
      <c r="I455" s="10">
        <v>663</v>
      </c>
      <c r="J455" s="16">
        <v>7</v>
      </c>
      <c r="K455" s="16">
        <v>2</v>
      </c>
      <c r="L455" s="95" t="s">
        <v>688</v>
      </c>
      <c r="M455" s="96" t="s">
        <v>563</v>
      </c>
      <c r="N455" s="96" t="s">
        <v>566</v>
      </c>
      <c r="O455" s="96" t="s">
        <v>323</v>
      </c>
      <c r="P455" s="10">
        <v>610</v>
      </c>
      <c r="Q455" s="214">
        <v>125</v>
      </c>
      <c r="R455" s="214">
        <v>125</v>
      </c>
    </row>
    <row r="456" spans="1:18" ht="33" customHeight="1">
      <c r="A456" s="99"/>
      <c r="B456" s="98"/>
      <c r="C456" s="103"/>
      <c r="D456" s="101"/>
      <c r="E456" s="113"/>
      <c r="F456" s="113"/>
      <c r="G456" s="89"/>
      <c r="H456" s="5" t="s">
        <v>299</v>
      </c>
      <c r="I456" s="8">
        <v>663</v>
      </c>
      <c r="J456" s="21">
        <v>7</v>
      </c>
      <c r="K456" s="16">
        <v>2</v>
      </c>
      <c r="L456" s="16">
        <v>91</v>
      </c>
      <c r="M456" s="96" t="s">
        <v>563</v>
      </c>
      <c r="N456" s="96" t="s">
        <v>583</v>
      </c>
      <c r="O456" s="96" t="s">
        <v>620</v>
      </c>
      <c r="P456" s="10"/>
      <c r="Q456" s="214">
        <f>Q457+Q464+Q462+Q460</f>
        <v>158094.90000000002</v>
      </c>
      <c r="R456" s="214">
        <f>R457+R464+R462+R460</f>
        <v>164364.90000000002</v>
      </c>
    </row>
    <row r="457" spans="1:18" ht="33" customHeight="1">
      <c r="A457" s="99"/>
      <c r="B457" s="98"/>
      <c r="C457" s="103"/>
      <c r="D457" s="101"/>
      <c r="E457" s="113"/>
      <c r="F457" s="113"/>
      <c r="G457" s="89"/>
      <c r="H457" s="5" t="s">
        <v>334</v>
      </c>
      <c r="I457" s="8">
        <v>663</v>
      </c>
      <c r="J457" s="21">
        <v>7</v>
      </c>
      <c r="K457" s="16">
        <v>2</v>
      </c>
      <c r="L457" s="16">
        <v>91</v>
      </c>
      <c r="M457" s="96" t="s">
        <v>563</v>
      </c>
      <c r="N457" s="96" t="s">
        <v>583</v>
      </c>
      <c r="O457" s="96" t="s">
        <v>323</v>
      </c>
      <c r="P457" s="10"/>
      <c r="Q457" s="214">
        <f>SUM(Q458:Q459)</f>
        <v>34860.6</v>
      </c>
      <c r="R457" s="214">
        <f>SUM(R458:R459)</f>
        <v>34860.6</v>
      </c>
    </row>
    <row r="458" spans="1:18" ht="33" customHeight="1">
      <c r="A458" s="99"/>
      <c r="B458" s="98"/>
      <c r="C458" s="103"/>
      <c r="D458" s="101"/>
      <c r="E458" s="113"/>
      <c r="F458" s="113"/>
      <c r="G458" s="89"/>
      <c r="H458" s="5" t="s">
        <v>720</v>
      </c>
      <c r="I458" s="8">
        <v>663</v>
      </c>
      <c r="J458" s="21">
        <v>7</v>
      </c>
      <c r="K458" s="16">
        <v>2</v>
      </c>
      <c r="L458" s="16">
        <v>91</v>
      </c>
      <c r="M458" s="96" t="s">
        <v>563</v>
      </c>
      <c r="N458" s="96" t="s">
        <v>583</v>
      </c>
      <c r="O458" s="96" t="s">
        <v>323</v>
      </c>
      <c r="P458" s="10">
        <v>240</v>
      </c>
      <c r="Q458" s="214">
        <v>13.5</v>
      </c>
      <c r="R458" s="214">
        <v>13.5</v>
      </c>
    </row>
    <row r="459" spans="1:18" ht="33" customHeight="1">
      <c r="A459" s="99"/>
      <c r="B459" s="98"/>
      <c r="C459" s="103"/>
      <c r="D459" s="101"/>
      <c r="E459" s="113"/>
      <c r="F459" s="113"/>
      <c r="G459" s="89"/>
      <c r="H459" s="5" t="s">
        <v>722</v>
      </c>
      <c r="I459" s="8">
        <v>663</v>
      </c>
      <c r="J459" s="21">
        <v>7</v>
      </c>
      <c r="K459" s="16">
        <v>2</v>
      </c>
      <c r="L459" s="16">
        <v>91</v>
      </c>
      <c r="M459" s="96" t="s">
        <v>563</v>
      </c>
      <c r="N459" s="96" t="s">
        <v>583</v>
      </c>
      <c r="O459" s="96" t="s">
        <v>323</v>
      </c>
      <c r="P459" s="10">
        <v>610</v>
      </c>
      <c r="Q459" s="214">
        <v>34847.1</v>
      </c>
      <c r="R459" s="214">
        <v>34847.1</v>
      </c>
    </row>
    <row r="460" spans="1:18" ht="76.5" customHeight="1">
      <c r="A460" s="99"/>
      <c r="B460" s="98"/>
      <c r="C460" s="103"/>
      <c r="D460" s="101"/>
      <c r="E460" s="113"/>
      <c r="F460" s="113"/>
      <c r="G460" s="89"/>
      <c r="H460" s="20" t="s">
        <v>226</v>
      </c>
      <c r="I460" s="8">
        <v>663</v>
      </c>
      <c r="J460" s="21">
        <v>7</v>
      </c>
      <c r="K460" s="16">
        <v>2</v>
      </c>
      <c r="L460" s="16">
        <v>91</v>
      </c>
      <c r="M460" s="96" t="s">
        <v>563</v>
      </c>
      <c r="N460" s="96" t="s">
        <v>583</v>
      </c>
      <c r="O460" s="96" t="s">
        <v>225</v>
      </c>
      <c r="P460" s="10"/>
      <c r="Q460" s="214">
        <f>Q461</f>
        <v>9343.2</v>
      </c>
      <c r="R460" s="214">
        <f>R461</f>
        <v>9343.2</v>
      </c>
    </row>
    <row r="461" spans="1:18" ht="33" customHeight="1">
      <c r="A461" s="99"/>
      <c r="B461" s="98"/>
      <c r="C461" s="103"/>
      <c r="D461" s="101"/>
      <c r="E461" s="113"/>
      <c r="F461" s="113"/>
      <c r="G461" s="89"/>
      <c r="H461" s="20" t="s">
        <v>722</v>
      </c>
      <c r="I461" s="8">
        <v>663</v>
      </c>
      <c r="J461" s="21">
        <v>7</v>
      </c>
      <c r="K461" s="16">
        <v>2</v>
      </c>
      <c r="L461" s="16">
        <v>91</v>
      </c>
      <c r="M461" s="96" t="s">
        <v>563</v>
      </c>
      <c r="N461" s="96" t="s">
        <v>583</v>
      </c>
      <c r="O461" s="96" t="s">
        <v>225</v>
      </c>
      <c r="P461" s="10">
        <v>610</v>
      </c>
      <c r="Q461" s="214">
        <v>9343.2</v>
      </c>
      <c r="R461" s="214">
        <v>9343.2</v>
      </c>
    </row>
    <row r="462" spans="1:18" ht="33" customHeight="1">
      <c r="A462" s="99"/>
      <c r="B462" s="98"/>
      <c r="C462" s="103"/>
      <c r="D462" s="101"/>
      <c r="E462" s="113"/>
      <c r="F462" s="113"/>
      <c r="G462" s="89"/>
      <c r="H462" s="20" t="s">
        <v>61</v>
      </c>
      <c r="I462" s="8">
        <v>663</v>
      </c>
      <c r="J462" s="21">
        <v>7</v>
      </c>
      <c r="K462" s="16">
        <v>2</v>
      </c>
      <c r="L462" s="16">
        <v>91</v>
      </c>
      <c r="M462" s="96" t="s">
        <v>563</v>
      </c>
      <c r="N462" s="96" t="s">
        <v>583</v>
      </c>
      <c r="O462" s="96" t="s">
        <v>60</v>
      </c>
      <c r="P462" s="10"/>
      <c r="Q462" s="214">
        <f>Q463</f>
        <v>7879.7</v>
      </c>
      <c r="R462" s="214">
        <f>R463</f>
        <v>7879.7</v>
      </c>
    </row>
    <row r="463" spans="1:18" ht="33" customHeight="1">
      <c r="A463" s="99"/>
      <c r="B463" s="98"/>
      <c r="C463" s="103"/>
      <c r="D463" s="101"/>
      <c r="E463" s="113"/>
      <c r="F463" s="113"/>
      <c r="G463" s="89"/>
      <c r="H463" s="20" t="s">
        <v>722</v>
      </c>
      <c r="I463" s="8">
        <v>663</v>
      </c>
      <c r="J463" s="21">
        <v>7</v>
      </c>
      <c r="K463" s="16">
        <v>2</v>
      </c>
      <c r="L463" s="16">
        <v>91</v>
      </c>
      <c r="M463" s="96" t="s">
        <v>563</v>
      </c>
      <c r="N463" s="96" t="s">
        <v>583</v>
      </c>
      <c r="O463" s="96" t="s">
        <v>60</v>
      </c>
      <c r="P463" s="10">
        <v>610</v>
      </c>
      <c r="Q463" s="214">
        <v>7879.7</v>
      </c>
      <c r="R463" s="214">
        <v>7879.7</v>
      </c>
    </row>
    <row r="464" spans="1:18" ht="33" customHeight="1">
      <c r="A464" s="99"/>
      <c r="B464" s="98"/>
      <c r="C464" s="103"/>
      <c r="D464" s="101"/>
      <c r="E464" s="113"/>
      <c r="F464" s="113"/>
      <c r="G464" s="89"/>
      <c r="H464" s="5" t="s">
        <v>333</v>
      </c>
      <c r="I464" s="8">
        <v>663</v>
      </c>
      <c r="J464" s="21">
        <v>7</v>
      </c>
      <c r="K464" s="16">
        <v>2</v>
      </c>
      <c r="L464" s="16">
        <v>91</v>
      </c>
      <c r="M464" s="96" t="s">
        <v>563</v>
      </c>
      <c r="N464" s="96" t="s">
        <v>583</v>
      </c>
      <c r="O464" s="96" t="s">
        <v>332</v>
      </c>
      <c r="P464" s="10"/>
      <c r="Q464" s="214">
        <f>Q465</f>
        <v>106011.4</v>
      </c>
      <c r="R464" s="214">
        <f>R465</f>
        <v>112281.4</v>
      </c>
    </row>
    <row r="465" spans="1:18" ht="33" customHeight="1">
      <c r="A465" s="99"/>
      <c r="B465" s="98"/>
      <c r="C465" s="103"/>
      <c r="D465" s="101"/>
      <c r="E465" s="113"/>
      <c r="F465" s="113"/>
      <c r="G465" s="89"/>
      <c r="H465" s="5" t="s">
        <v>722</v>
      </c>
      <c r="I465" s="8">
        <v>663</v>
      </c>
      <c r="J465" s="21">
        <v>7</v>
      </c>
      <c r="K465" s="16">
        <v>2</v>
      </c>
      <c r="L465" s="16">
        <v>91</v>
      </c>
      <c r="M465" s="96" t="s">
        <v>563</v>
      </c>
      <c r="N465" s="96" t="s">
        <v>583</v>
      </c>
      <c r="O465" s="96" t="s">
        <v>332</v>
      </c>
      <c r="P465" s="10">
        <v>610</v>
      </c>
      <c r="Q465" s="214">
        <v>106011.4</v>
      </c>
      <c r="R465" s="214">
        <v>112281.4</v>
      </c>
    </row>
    <row r="466" spans="1:18" s="179" customFormat="1" ht="25.5" customHeight="1">
      <c r="A466" s="142"/>
      <c r="B466" s="143"/>
      <c r="C466" s="153"/>
      <c r="D466" s="150"/>
      <c r="E466" s="154"/>
      <c r="F466" s="154"/>
      <c r="G466" s="136"/>
      <c r="H466" s="149" t="s">
        <v>347</v>
      </c>
      <c r="I466" s="152">
        <v>663</v>
      </c>
      <c r="J466" s="156">
        <v>7</v>
      </c>
      <c r="K466" s="139">
        <v>3</v>
      </c>
      <c r="L466" s="139"/>
      <c r="M466" s="141"/>
      <c r="N466" s="141"/>
      <c r="O466" s="141"/>
      <c r="P466" s="138"/>
      <c r="Q466" s="213">
        <f>Q467+Q471</f>
        <v>4805.6</v>
      </c>
      <c r="R466" s="213">
        <f>R467+R471</f>
        <v>4805.6</v>
      </c>
    </row>
    <row r="467" spans="1:18" ht="30.75" customHeight="1" hidden="1">
      <c r="A467" s="97"/>
      <c r="B467" s="98"/>
      <c r="C467" s="103"/>
      <c r="D467" s="101"/>
      <c r="E467" s="113"/>
      <c r="F467" s="113"/>
      <c r="G467" s="89"/>
      <c r="H467" s="5" t="s">
        <v>271</v>
      </c>
      <c r="I467" s="8">
        <v>663</v>
      </c>
      <c r="J467" s="21">
        <v>7</v>
      </c>
      <c r="K467" s="16">
        <v>3</v>
      </c>
      <c r="L467" s="16">
        <v>6</v>
      </c>
      <c r="M467" s="96" t="s">
        <v>563</v>
      </c>
      <c r="N467" s="96" t="s">
        <v>583</v>
      </c>
      <c r="O467" s="96" t="s">
        <v>620</v>
      </c>
      <c r="P467" s="10"/>
      <c r="Q467" s="214"/>
      <c r="R467" s="214"/>
    </row>
    <row r="468" spans="1:18" ht="25.5" customHeight="1" hidden="1">
      <c r="A468" s="99"/>
      <c r="B468" s="98"/>
      <c r="C468" s="103"/>
      <c r="D468" s="101"/>
      <c r="E468" s="113"/>
      <c r="F468" s="113"/>
      <c r="G468" s="89"/>
      <c r="H468" s="5" t="s">
        <v>792</v>
      </c>
      <c r="I468" s="8">
        <v>663</v>
      </c>
      <c r="J468" s="21">
        <v>7</v>
      </c>
      <c r="K468" s="16">
        <v>3</v>
      </c>
      <c r="L468" s="16">
        <v>6</v>
      </c>
      <c r="M468" s="96" t="s">
        <v>563</v>
      </c>
      <c r="N468" s="96" t="s">
        <v>593</v>
      </c>
      <c r="O468" s="96" t="s">
        <v>620</v>
      </c>
      <c r="P468" s="10"/>
      <c r="Q468" s="214"/>
      <c r="R468" s="214"/>
    </row>
    <row r="469" spans="1:18" ht="25.5" customHeight="1" hidden="1">
      <c r="A469" s="99"/>
      <c r="B469" s="98"/>
      <c r="C469" s="103"/>
      <c r="D469" s="101"/>
      <c r="E469" s="113"/>
      <c r="F469" s="113"/>
      <c r="G469" s="89"/>
      <c r="H469" s="5" t="s">
        <v>335</v>
      </c>
      <c r="I469" s="8">
        <v>663</v>
      </c>
      <c r="J469" s="21">
        <v>7</v>
      </c>
      <c r="K469" s="16">
        <v>3</v>
      </c>
      <c r="L469" s="16">
        <v>6</v>
      </c>
      <c r="M469" s="96" t="s">
        <v>563</v>
      </c>
      <c r="N469" s="96" t="s">
        <v>593</v>
      </c>
      <c r="O469" s="96" t="s">
        <v>270</v>
      </c>
      <c r="P469" s="10"/>
      <c r="Q469" s="214"/>
      <c r="R469" s="214"/>
    </row>
    <row r="470" spans="1:18" ht="25.5" customHeight="1" hidden="1">
      <c r="A470" s="99"/>
      <c r="B470" s="98"/>
      <c r="C470" s="103"/>
      <c r="D470" s="101"/>
      <c r="E470" s="113"/>
      <c r="F470" s="113"/>
      <c r="G470" s="89"/>
      <c r="H470" s="5" t="s">
        <v>722</v>
      </c>
      <c r="I470" s="8">
        <v>663</v>
      </c>
      <c r="J470" s="21">
        <v>7</v>
      </c>
      <c r="K470" s="16">
        <v>3</v>
      </c>
      <c r="L470" s="16">
        <v>6</v>
      </c>
      <c r="M470" s="96" t="s">
        <v>563</v>
      </c>
      <c r="N470" s="96" t="s">
        <v>593</v>
      </c>
      <c r="O470" s="96" t="s">
        <v>270</v>
      </c>
      <c r="P470" s="10">
        <v>610</v>
      </c>
      <c r="Q470" s="214"/>
      <c r="R470" s="214"/>
    </row>
    <row r="471" spans="1:18" ht="26.25" customHeight="1">
      <c r="A471" s="99"/>
      <c r="B471" s="98"/>
      <c r="C471" s="103"/>
      <c r="D471" s="101"/>
      <c r="E471" s="113"/>
      <c r="F471" s="113"/>
      <c r="G471" s="89"/>
      <c r="H471" s="5" t="s">
        <v>299</v>
      </c>
      <c r="I471" s="8">
        <v>663</v>
      </c>
      <c r="J471" s="21">
        <v>7</v>
      </c>
      <c r="K471" s="16">
        <v>3</v>
      </c>
      <c r="L471" s="16">
        <v>91</v>
      </c>
      <c r="M471" s="96" t="s">
        <v>563</v>
      </c>
      <c r="N471" s="96" t="s">
        <v>583</v>
      </c>
      <c r="O471" s="96" t="s">
        <v>620</v>
      </c>
      <c r="P471" s="10"/>
      <c r="Q471" s="214">
        <f>Q472+Q474</f>
        <v>4805.6</v>
      </c>
      <c r="R471" s="214">
        <f>R472+R474</f>
        <v>4805.6</v>
      </c>
    </row>
    <row r="472" spans="1:18" ht="27" customHeight="1">
      <c r="A472" s="99"/>
      <c r="B472" s="98"/>
      <c r="C472" s="103"/>
      <c r="D472" s="101"/>
      <c r="E472" s="113"/>
      <c r="F472" s="113"/>
      <c r="G472" s="89"/>
      <c r="H472" s="5" t="s">
        <v>335</v>
      </c>
      <c r="I472" s="8">
        <v>663</v>
      </c>
      <c r="J472" s="21">
        <v>7</v>
      </c>
      <c r="K472" s="16">
        <v>3</v>
      </c>
      <c r="L472" s="16">
        <v>91</v>
      </c>
      <c r="M472" s="96" t="s">
        <v>563</v>
      </c>
      <c r="N472" s="96" t="s">
        <v>583</v>
      </c>
      <c r="O472" s="96" t="s">
        <v>270</v>
      </c>
      <c r="P472" s="10"/>
      <c r="Q472" s="214">
        <f>Q473</f>
        <v>3680.3</v>
      </c>
      <c r="R472" s="214">
        <f>R473</f>
        <v>3434.9</v>
      </c>
    </row>
    <row r="473" spans="1:18" ht="21" customHeight="1">
      <c r="A473" s="99"/>
      <c r="B473" s="98"/>
      <c r="C473" s="103"/>
      <c r="D473" s="101"/>
      <c r="E473" s="113"/>
      <c r="F473" s="113"/>
      <c r="G473" s="89"/>
      <c r="H473" s="5" t="s">
        <v>722</v>
      </c>
      <c r="I473" s="8">
        <v>663</v>
      </c>
      <c r="J473" s="21">
        <v>7</v>
      </c>
      <c r="K473" s="16">
        <v>3</v>
      </c>
      <c r="L473" s="16">
        <v>91</v>
      </c>
      <c r="M473" s="96" t="s">
        <v>563</v>
      </c>
      <c r="N473" s="96" t="s">
        <v>583</v>
      </c>
      <c r="O473" s="96" t="s">
        <v>270</v>
      </c>
      <c r="P473" s="10">
        <v>610</v>
      </c>
      <c r="Q473" s="214">
        <v>3680.3</v>
      </c>
      <c r="R473" s="216">
        <v>3434.9</v>
      </c>
    </row>
    <row r="474" spans="1:18" ht="33.75" customHeight="1">
      <c r="A474" s="99"/>
      <c r="B474" s="98"/>
      <c r="C474" s="103"/>
      <c r="D474" s="101"/>
      <c r="E474" s="113"/>
      <c r="F474" s="113"/>
      <c r="G474" s="89"/>
      <c r="H474" s="5" t="s">
        <v>61</v>
      </c>
      <c r="I474" s="8">
        <v>663</v>
      </c>
      <c r="J474" s="21">
        <v>7</v>
      </c>
      <c r="K474" s="16">
        <v>3</v>
      </c>
      <c r="L474" s="16">
        <v>91</v>
      </c>
      <c r="M474" s="96" t="s">
        <v>563</v>
      </c>
      <c r="N474" s="96" t="s">
        <v>583</v>
      </c>
      <c r="O474" s="96" t="s">
        <v>60</v>
      </c>
      <c r="P474" s="10"/>
      <c r="Q474" s="214">
        <f>Q475</f>
        <v>1125.3</v>
      </c>
      <c r="R474" s="216">
        <f>R475</f>
        <v>1370.7</v>
      </c>
    </row>
    <row r="475" spans="1:18" ht="21" customHeight="1">
      <c r="A475" s="99"/>
      <c r="B475" s="98"/>
      <c r="C475" s="103"/>
      <c r="D475" s="101"/>
      <c r="E475" s="113"/>
      <c r="F475" s="113"/>
      <c r="G475" s="89"/>
      <c r="H475" s="5" t="s">
        <v>722</v>
      </c>
      <c r="I475" s="8">
        <v>663</v>
      </c>
      <c r="J475" s="21">
        <v>7</v>
      </c>
      <c r="K475" s="16">
        <v>3</v>
      </c>
      <c r="L475" s="16">
        <v>91</v>
      </c>
      <c r="M475" s="96" t="s">
        <v>563</v>
      </c>
      <c r="N475" s="96" t="s">
        <v>583</v>
      </c>
      <c r="O475" s="96" t="s">
        <v>60</v>
      </c>
      <c r="P475" s="10">
        <v>610</v>
      </c>
      <c r="Q475" s="214">
        <v>1125.3</v>
      </c>
      <c r="R475" s="216">
        <v>1370.7</v>
      </c>
    </row>
    <row r="476" spans="1:18" s="179" customFormat="1" ht="24.75" customHeight="1">
      <c r="A476" s="142"/>
      <c r="B476" s="143"/>
      <c r="C476" s="153"/>
      <c r="D476" s="150"/>
      <c r="E476" s="154"/>
      <c r="F476" s="154"/>
      <c r="G476" s="136"/>
      <c r="H476" s="149" t="s">
        <v>543</v>
      </c>
      <c r="I476" s="152">
        <v>663</v>
      </c>
      <c r="J476" s="156">
        <v>7</v>
      </c>
      <c r="K476" s="139">
        <v>9</v>
      </c>
      <c r="L476" s="140"/>
      <c r="M476" s="141"/>
      <c r="N476" s="141"/>
      <c r="O476" s="141"/>
      <c r="P476" s="146"/>
      <c r="Q476" s="217">
        <f>Q477+Q508+Q519</f>
        <v>19980.300000000003</v>
      </c>
      <c r="R476" s="217">
        <f>R477+R508+R519</f>
        <v>31111.500000000004</v>
      </c>
    </row>
    <row r="477" spans="1:18" ht="30.75" customHeight="1" hidden="1">
      <c r="A477" s="99"/>
      <c r="B477" s="98"/>
      <c r="C477" s="103"/>
      <c r="D477" s="101"/>
      <c r="E477" s="104"/>
      <c r="F477" s="104"/>
      <c r="G477" s="89"/>
      <c r="H477" s="253" t="s">
        <v>271</v>
      </c>
      <c r="I477" s="10">
        <v>663</v>
      </c>
      <c r="J477" s="16">
        <v>7</v>
      </c>
      <c r="K477" s="16">
        <v>9</v>
      </c>
      <c r="L477" s="95" t="s">
        <v>595</v>
      </c>
      <c r="M477" s="96" t="s">
        <v>563</v>
      </c>
      <c r="N477" s="96" t="s">
        <v>583</v>
      </c>
      <c r="O477" s="96" t="s">
        <v>620</v>
      </c>
      <c r="P477" s="10"/>
      <c r="Q477" s="214"/>
      <c r="R477" s="214"/>
    </row>
    <row r="478" spans="1:18" ht="32.25" customHeight="1" hidden="1">
      <c r="A478" s="99"/>
      <c r="B478" s="98"/>
      <c r="C478" s="103"/>
      <c r="D478" s="101"/>
      <c r="E478" s="104"/>
      <c r="F478" s="104"/>
      <c r="G478" s="89"/>
      <c r="H478" s="254" t="s">
        <v>656</v>
      </c>
      <c r="I478" s="10">
        <v>663</v>
      </c>
      <c r="J478" s="16">
        <v>7</v>
      </c>
      <c r="K478" s="16">
        <v>9</v>
      </c>
      <c r="L478" s="95" t="s">
        <v>595</v>
      </c>
      <c r="M478" s="96" t="s">
        <v>563</v>
      </c>
      <c r="N478" s="96" t="s">
        <v>564</v>
      </c>
      <c r="O478" s="96" t="s">
        <v>620</v>
      </c>
      <c r="P478" s="10" t="s">
        <v>621</v>
      </c>
      <c r="Q478" s="214"/>
      <c r="R478" s="214"/>
    </row>
    <row r="479" spans="1:18" ht="32.25" customHeight="1" hidden="1">
      <c r="A479" s="99"/>
      <c r="B479" s="98"/>
      <c r="C479" s="103"/>
      <c r="D479" s="101"/>
      <c r="E479" s="104"/>
      <c r="F479" s="104"/>
      <c r="G479" s="89"/>
      <c r="H479" s="258" t="s">
        <v>342</v>
      </c>
      <c r="I479" s="10">
        <v>663</v>
      </c>
      <c r="J479" s="16">
        <v>7</v>
      </c>
      <c r="K479" s="16">
        <v>9</v>
      </c>
      <c r="L479" s="95" t="s">
        <v>595</v>
      </c>
      <c r="M479" s="96" t="s">
        <v>563</v>
      </c>
      <c r="N479" s="96" t="s">
        <v>564</v>
      </c>
      <c r="O479" s="96" t="s">
        <v>648</v>
      </c>
      <c r="P479" s="10"/>
      <c r="Q479" s="214"/>
      <c r="R479" s="214"/>
    </row>
    <row r="480" spans="1:18" ht="32.25" customHeight="1" hidden="1">
      <c r="A480" s="99"/>
      <c r="B480" s="98"/>
      <c r="C480" s="103"/>
      <c r="D480" s="101"/>
      <c r="E480" s="104"/>
      <c r="F480" s="104"/>
      <c r="G480" s="89"/>
      <c r="H480" s="258" t="s">
        <v>720</v>
      </c>
      <c r="I480" s="10">
        <v>663</v>
      </c>
      <c r="J480" s="16">
        <v>7</v>
      </c>
      <c r="K480" s="16">
        <v>9</v>
      </c>
      <c r="L480" s="95" t="s">
        <v>595</v>
      </c>
      <c r="M480" s="96" t="s">
        <v>563</v>
      </c>
      <c r="N480" s="96" t="s">
        <v>564</v>
      </c>
      <c r="O480" s="96" t="s">
        <v>648</v>
      </c>
      <c r="P480" s="10">
        <v>240</v>
      </c>
      <c r="Q480" s="214"/>
      <c r="R480" s="214"/>
    </row>
    <row r="481" spans="1:18" ht="39" customHeight="1" hidden="1">
      <c r="A481" s="99"/>
      <c r="B481" s="98"/>
      <c r="C481" s="103"/>
      <c r="D481" s="101"/>
      <c r="E481" s="104"/>
      <c r="F481" s="104"/>
      <c r="G481" s="89"/>
      <c r="H481" s="22" t="s">
        <v>330</v>
      </c>
      <c r="I481" s="10">
        <v>663</v>
      </c>
      <c r="J481" s="16">
        <v>7</v>
      </c>
      <c r="K481" s="16">
        <v>9</v>
      </c>
      <c r="L481" s="95" t="s">
        <v>595</v>
      </c>
      <c r="M481" s="96" t="s">
        <v>563</v>
      </c>
      <c r="N481" s="96" t="s">
        <v>564</v>
      </c>
      <c r="O481" s="96" t="s">
        <v>329</v>
      </c>
      <c r="P481" s="10"/>
      <c r="Q481" s="214"/>
      <c r="R481" s="214"/>
    </row>
    <row r="482" spans="1:18" ht="33" customHeight="1" hidden="1">
      <c r="A482" s="99"/>
      <c r="B482" s="98"/>
      <c r="C482" s="103"/>
      <c r="D482" s="101"/>
      <c r="E482" s="104"/>
      <c r="F482" s="104"/>
      <c r="G482" s="89"/>
      <c r="H482" s="5" t="s">
        <v>722</v>
      </c>
      <c r="I482" s="10">
        <v>663</v>
      </c>
      <c r="J482" s="16">
        <v>7</v>
      </c>
      <c r="K482" s="16">
        <v>9</v>
      </c>
      <c r="L482" s="95" t="s">
        <v>595</v>
      </c>
      <c r="M482" s="96" t="s">
        <v>563</v>
      </c>
      <c r="N482" s="96" t="s">
        <v>564</v>
      </c>
      <c r="O482" s="96" t="s">
        <v>329</v>
      </c>
      <c r="P482" s="10">
        <v>610</v>
      </c>
      <c r="Q482" s="214"/>
      <c r="R482" s="214"/>
    </row>
    <row r="483" spans="1:18" ht="29.25" customHeight="1" hidden="1">
      <c r="A483" s="99"/>
      <c r="B483" s="98"/>
      <c r="C483" s="103"/>
      <c r="D483" s="101"/>
      <c r="E483" s="104"/>
      <c r="F483" s="104"/>
      <c r="G483" s="89"/>
      <c r="H483" s="18" t="s">
        <v>657</v>
      </c>
      <c r="I483" s="10">
        <v>663</v>
      </c>
      <c r="J483" s="16">
        <v>7</v>
      </c>
      <c r="K483" s="16">
        <v>9</v>
      </c>
      <c r="L483" s="95" t="s">
        <v>595</v>
      </c>
      <c r="M483" s="96" t="s">
        <v>563</v>
      </c>
      <c r="N483" s="96" t="s">
        <v>592</v>
      </c>
      <c r="O483" s="96" t="s">
        <v>620</v>
      </c>
      <c r="P483" s="10" t="s">
        <v>621</v>
      </c>
      <c r="Q483" s="214"/>
      <c r="R483" s="214"/>
    </row>
    <row r="484" spans="1:18" ht="29.25" customHeight="1" hidden="1">
      <c r="A484" s="99"/>
      <c r="B484" s="98"/>
      <c r="C484" s="103"/>
      <c r="D484" s="101"/>
      <c r="E484" s="104"/>
      <c r="F484" s="104"/>
      <c r="G484" s="89"/>
      <c r="H484" s="22" t="s">
        <v>342</v>
      </c>
      <c r="I484" s="10">
        <v>663</v>
      </c>
      <c r="J484" s="16">
        <v>7</v>
      </c>
      <c r="K484" s="16">
        <v>9</v>
      </c>
      <c r="L484" s="95" t="s">
        <v>595</v>
      </c>
      <c r="M484" s="96" t="s">
        <v>563</v>
      </c>
      <c r="N484" s="96" t="s">
        <v>592</v>
      </c>
      <c r="O484" s="96" t="s">
        <v>648</v>
      </c>
      <c r="P484" s="10"/>
      <c r="Q484" s="214"/>
      <c r="R484" s="214"/>
    </row>
    <row r="485" spans="1:18" ht="29.25" customHeight="1" hidden="1">
      <c r="A485" s="99"/>
      <c r="B485" s="98"/>
      <c r="C485" s="103"/>
      <c r="D485" s="101"/>
      <c r="E485" s="104"/>
      <c r="F485" s="104"/>
      <c r="G485" s="89"/>
      <c r="H485" s="22" t="s">
        <v>720</v>
      </c>
      <c r="I485" s="10">
        <v>663</v>
      </c>
      <c r="J485" s="16">
        <v>7</v>
      </c>
      <c r="K485" s="16">
        <v>9</v>
      </c>
      <c r="L485" s="95" t="s">
        <v>595</v>
      </c>
      <c r="M485" s="96" t="s">
        <v>563</v>
      </c>
      <c r="N485" s="96" t="s">
        <v>592</v>
      </c>
      <c r="O485" s="96" t="s">
        <v>648</v>
      </c>
      <c r="P485" s="10">
        <v>240</v>
      </c>
      <c r="Q485" s="214"/>
      <c r="R485" s="214"/>
    </row>
    <row r="486" spans="1:18" ht="39" customHeight="1" hidden="1">
      <c r="A486" s="99"/>
      <c r="B486" s="98"/>
      <c r="C486" s="103"/>
      <c r="D486" s="101"/>
      <c r="E486" s="104"/>
      <c r="F486" s="104"/>
      <c r="G486" s="89"/>
      <c r="H486" s="22" t="s">
        <v>330</v>
      </c>
      <c r="I486" s="10">
        <v>663</v>
      </c>
      <c r="J486" s="16">
        <v>7</v>
      </c>
      <c r="K486" s="16">
        <v>9</v>
      </c>
      <c r="L486" s="95" t="s">
        <v>595</v>
      </c>
      <c r="M486" s="96" t="s">
        <v>563</v>
      </c>
      <c r="N486" s="96" t="s">
        <v>592</v>
      </c>
      <c r="O486" s="96" t="s">
        <v>329</v>
      </c>
      <c r="P486" s="10"/>
      <c r="Q486" s="214"/>
      <c r="R486" s="214"/>
    </row>
    <row r="487" spans="1:18" ht="33" customHeight="1" hidden="1">
      <c r="A487" s="99"/>
      <c r="B487" s="98"/>
      <c r="C487" s="103"/>
      <c r="D487" s="101"/>
      <c r="E487" s="104"/>
      <c r="F487" s="104"/>
      <c r="G487" s="89"/>
      <c r="H487" s="22" t="s">
        <v>725</v>
      </c>
      <c r="I487" s="10">
        <v>663</v>
      </c>
      <c r="J487" s="16">
        <v>7</v>
      </c>
      <c r="K487" s="16">
        <v>9</v>
      </c>
      <c r="L487" s="95" t="s">
        <v>595</v>
      </c>
      <c r="M487" s="96" t="s">
        <v>563</v>
      </c>
      <c r="N487" s="96" t="s">
        <v>592</v>
      </c>
      <c r="O487" s="96" t="s">
        <v>329</v>
      </c>
      <c r="P487" s="10">
        <v>320</v>
      </c>
      <c r="Q487" s="214"/>
      <c r="R487" s="214"/>
    </row>
    <row r="488" spans="1:18" ht="33" customHeight="1" hidden="1">
      <c r="A488" s="99"/>
      <c r="B488" s="98"/>
      <c r="C488" s="103"/>
      <c r="D488" s="101"/>
      <c r="E488" s="104"/>
      <c r="F488" s="104"/>
      <c r="G488" s="89"/>
      <c r="H488" s="5" t="s">
        <v>722</v>
      </c>
      <c r="I488" s="10">
        <v>663</v>
      </c>
      <c r="J488" s="16">
        <v>7</v>
      </c>
      <c r="K488" s="16">
        <v>9</v>
      </c>
      <c r="L488" s="95" t="s">
        <v>595</v>
      </c>
      <c r="M488" s="96" t="s">
        <v>563</v>
      </c>
      <c r="N488" s="96" t="s">
        <v>592</v>
      </c>
      <c r="O488" s="96" t="s">
        <v>329</v>
      </c>
      <c r="P488" s="10">
        <v>610</v>
      </c>
      <c r="Q488" s="214"/>
      <c r="R488" s="214"/>
    </row>
    <row r="489" spans="1:18" ht="27" customHeight="1" hidden="1">
      <c r="A489" s="99"/>
      <c r="B489" s="98"/>
      <c r="C489" s="103"/>
      <c r="D489" s="101"/>
      <c r="E489" s="104"/>
      <c r="F489" s="104"/>
      <c r="G489" s="89"/>
      <c r="H489" s="11" t="s">
        <v>792</v>
      </c>
      <c r="I489" s="10">
        <v>663</v>
      </c>
      <c r="J489" s="16">
        <v>7</v>
      </c>
      <c r="K489" s="16">
        <v>9</v>
      </c>
      <c r="L489" s="95" t="s">
        <v>595</v>
      </c>
      <c r="M489" s="96" t="s">
        <v>563</v>
      </c>
      <c r="N489" s="96" t="s">
        <v>593</v>
      </c>
      <c r="O489" s="96" t="s">
        <v>620</v>
      </c>
      <c r="P489" s="10"/>
      <c r="Q489" s="214"/>
      <c r="R489" s="214"/>
    </row>
    <row r="490" spans="1:18" ht="18" customHeight="1" hidden="1">
      <c r="A490" s="99"/>
      <c r="B490" s="98"/>
      <c r="C490" s="103"/>
      <c r="D490" s="101"/>
      <c r="E490" s="104"/>
      <c r="F490" s="104"/>
      <c r="G490" s="89"/>
      <c r="H490" s="11" t="s">
        <v>342</v>
      </c>
      <c r="I490" s="10">
        <v>663</v>
      </c>
      <c r="J490" s="16">
        <v>7</v>
      </c>
      <c r="K490" s="16">
        <v>9</v>
      </c>
      <c r="L490" s="95" t="s">
        <v>595</v>
      </c>
      <c r="M490" s="96" t="s">
        <v>563</v>
      </c>
      <c r="N490" s="96" t="s">
        <v>593</v>
      </c>
      <c r="O490" s="96" t="s">
        <v>648</v>
      </c>
      <c r="P490" s="10"/>
      <c r="Q490" s="214"/>
      <c r="R490" s="214"/>
    </row>
    <row r="491" spans="1:18" ht="24.75" customHeight="1" hidden="1">
      <c r="A491" s="99"/>
      <c r="B491" s="98"/>
      <c r="C491" s="103"/>
      <c r="D491" s="101"/>
      <c r="E491" s="104"/>
      <c r="F491" s="104"/>
      <c r="G491" s="89"/>
      <c r="H491" s="11" t="s">
        <v>720</v>
      </c>
      <c r="I491" s="10">
        <v>663</v>
      </c>
      <c r="J491" s="16">
        <v>7</v>
      </c>
      <c r="K491" s="16">
        <v>9</v>
      </c>
      <c r="L491" s="95" t="s">
        <v>595</v>
      </c>
      <c r="M491" s="96" t="s">
        <v>563</v>
      </c>
      <c r="N491" s="96" t="s">
        <v>593</v>
      </c>
      <c r="O491" s="96" t="s">
        <v>648</v>
      </c>
      <c r="P491" s="10">
        <v>240</v>
      </c>
      <c r="Q491" s="214"/>
      <c r="R491" s="214"/>
    </row>
    <row r="492" spans="1:18" ht="39" customHeight="1" hidden="1">
      <c r="A492" s="99"/>
      <c r="B492" s="98"/>
      <c r="C492" s="103"/>
      <c r="D492" s="101"/>
      <c r="E492" s="104"/>
      <c r="F492" s="104"/>
      <c r="G492" s="89"/>
      <c r="H492" s="11" t="s">
        <v>327</v>
      </c>
      <c r="I492" s="10">
        <v>663</v>
      </c>
      <c r="J492" s="16">
        <v>7</v>
      </c>
      <c r="K492" s="16">
        <v>9</v>
      </c>
      <c r="L492" s="95" t="s">
        <v>595</v>
      </c>
      <c r="M492" s="96" t="s">
        <v>563</v>
      </c>
      <c r="N492" s="96" t="s">
        <v>593</v>
      </c>
      <c r="O492" s="96" t="s">
        <v>300</v>
      </c>
      <c r="P492" s="10"/>
      <c r="Q492" s="214"/>
      <c r="R492" s="214"/>
    </row>
    <row r="493" spans="1:18" ht="24.75" customHeight="1" hidden="1">
      <c r="A493" s="99"/>
      <c r="B493" s="98"/>
      <c r="C493" s="103"/>
      <c r="D493" s="101"/>
      <c r="E493" s="104"/>
      <c r="F493" s="104"/>
      <c r="G493" s="89"/>
      <c r="H493" s="11" t="s">
        <v>720</v>
      </c>
      <c r="I493" s="10">
        <v>663</v>
      </c>
      <c r="J493" s="16">
        <v>7</v>
      </c>
      <c r="K493" s="16">
        <v>9</v>
      </c>
      <c r="L493" s="95" t="s">
        <v>595</v>
      </c>
      <c r="M493" s="96" t="s">
        <v>563</v>
      </c>
      <c r="N493" s="96" t="s">
        <v>593</v>
      </c>
      <c r="O493" s="96" t="s">
        <v>300</v>
      </c>
      <c r="P493" s="10">
        <v>240</v>
      </c>
      <c r="Q493" s="214"/>
      <c r="R493" s="214"/>
    </row>
    <row r="494" spans="1:18" ht="28.5" customHeight="1" hidden="1">
      <c r="A494" s="99"/>
      <c r="B494" s="98"/>
      <c r="C494" s="103"/>
      <c r="D494" s="101"/>
      <c r="E494" s="104"/>
      <c r="F494" s="104"/>
      <c r="G494" s="89"/>
      <c r="H494" s="22" t="s">
        <v>658</v>
      </c>
      <c r="I494" s="10">
        <v>663</v>
      </c>
      <c r="J494" s="16">
        <v>7</v>
      </c>
      <c r="K494" s="16">
        <v>9</v>
      </c>
      <c r="L494" s="95" t="s">
        <v>595</v>
      </c>
      <c r="M494" s="96" t="s">
        <v>563</v>
      </c>
      <c r="N494" s="96" t="s">
        <v>588</v>
      </c>
      <c r="O494" s="96" t="s">
        <v>620</v>
      </c>
      <c r="P494" s="10"/>
      <c r="Q494" s="214"/>
      <c r="R494" s="214"/>
    </row>
    <row r="495" spans="1:18" ht="28.5" customHeight="1" hidden="1">
      <c r="A495" s="99"/>
      <c r="B495" s="98"/>
      <c r="C495" s="103"/>
      <c r="D495" s="101"/>
      <c r="E495" s="104"/>
      <c r="F495" s="104"/>
      <c r="G495" s="89"/>
      <c r="H495" s="22" t="s">
        <v>342</v>
      </c>
      <c r="I495" s="10">
        <v>663</v>
      </c>
      <c r="J495" s="16">
        <v>7</v>
      </c>
      <c r="K495" s="16">
        <v>9</v>
      </c>
      <c r="L495" s="95" t="s">
        <v>595</v>
      </c>
      <c r="M495" s="96" t="s">
        <v>563</v>
      </c>
      <c r="N495" s="96" t="s">
        <v>588</v>
      </c>
      <c r="O495" s="96" t="s">
        <v>648</v>
      </c>
      <c r="P495" s="10"/>
      <c r="Q495" s="214"/>
      <c r="R495" s="214"/>
    </row>
    <row r="496" spans="1:18" ht="28.5" customHeight="1" hidden="1">
      <c r="A496" s="99"/>
      <c r="B496" s="98"/>
      <c r="C496" s="103"/>
      <c r="D496" s="101"/>
      <c r="E496" s="104"/>
      <c r="F496" s="104"/>
      <c r="G496" s="89"/>
      <c r="H496" s="22" t="s">
        <v>720</v>
      </c>
      <c r="I496" s="10">
        <v>663</v>
      </c>
      <c r="J496" s="16">
        <v>7</v>
      </c>
      <c r="K496" s="16">
        <v>9</v>
      </c>
      <c r="L496" s="95" t="s">
        <v>595</v>
      </c>
      <c r="M496" s="96" t="s">
        <v>563</v>
      </c>
      <c r="N496" s="96" t="s">
        <v>588</v>
      </c>
      <c r="O496" s="96" t="s">
        <v>648</v>
      </c>
      <c r="P496" s="10">
        <v>240</v>
      </c>
      <c r="Q496" s="214"/>
      <c r="R496" s="214"/>
    </row>
    <row r="497" spans="1:18" ht="41.25" customHeight="1" hidden="1">
      <c r="A497" s="99"/>
      <c r="B497" s="98"/>
      <c r="C497" s="103"/>
      <c r="D497" s="101"/>
      <c r="E497" s="104"/>
      <c r="F497" s="104"/>
      <c r="G497" s="89"/>
      <c r="H497" s="22" t="s">
        <v>501</v>
      </c>
      <c r="I497" s="10">
        <v>663</v>
      </c>
      <c r="J497" s="16">
        <v>7</v>
      </c>
      <c r="K497" s="16">
        <v>9</v>
      </c>
      <c r="L497" s="95" t="s">
        <v>595</v>
      </c>
      <c r="M497" s="96" t="s">
        <v>563</v>
      </c>
      <c r="N497" s="96" t="s">
        <v>588</v>
      </c>
      <c r="O497" s="96" t="s">
        <v>300</v>
      </c>
      <c r="P497" s="10"/>
      <c r="Q497" s="214"/>
      <c r="R497" s="214"/>
    </row>
    <row r="498" spans="1:18" ht="30" customHeight="1" hidden="1">
      <c r="A498" s="99"/>
      <c r="B498" s="98"/>
      <c r="C498" s="103"/>
      <c r="D498" s="101"/>
      <c r="E498" s="104"/>
      <c r="F498" s="104"/>
      <c r="G498" s="89"/>
      <c r="H498" s="22" t="s">
        <v>720</v>
      </c>
      <c r="I498" s="10">
        <v>663</v>
      </c>
      <c r="J498" s="16">
        <v>7</v>
      </c>
      <c r="K498" s="16">
        <v>9</v>
      </c>
      <c r="L498" s="95" t="s">
        <v>595</v>
      </c>
      <c r="M498" s="96" t="s">
        <v>563</v>
      </c>
      <c r="N498" s="96" t="s">
        <v>588</v>
      </c>
      <c r="O498" s="96" t="s">
        <v>300</v>
      </c>
      <c r="P498" s="10">
        <v>240</v>
      </c>
      <c r="Q498" s="214"/>
      <c r="R498" s="214"/>
    </row>
    <row r="499" spans="1:18" ht="29.25" customHeight="1" hidden="1">
      <c r="A499" s="99"/>
      <c r="B499" s="98"/>
      <c r="C499" s="103"/>
      <c r="D499" s="101"/>
      <c r="E499" s="104"/>
      <c r="F499" s="104"/>
      <c r="G499" s="89"/>
      <c r="H499" s="22" t="s">
        <v>14</v>
      </c>
      <c r="I499" s="10">
        <v>663</v>
      </c>
      <c r="J499" s="16">
        <v>7</v>
      </c>
      <c r="K499" s="16">
        <v>9</v>
      </c>
      <c r="L499" s="95" t="s">
        <v>595</v>
      </c>
      <c r="M499" s="96" t="s">
        <v>563</v>
      </c>
      <c r="N499" s="96" t="s">
        <v>595</v>
      </c>
      <c r="O499" s="96" t="s">
        <v>620</v>
      </c>
      <c r="P499" s="10"/>
      <c r="Q499" s="214"/>
      <c r="R499" s="214"/>
    </row>
    <row r="500" spans="1:18" ht="27" customHeight="1" hidden="1">
      <c r="A500" s="99"/>
      <c r="B500" s="98"/>
      <c r="C500" s="103"/>
      <c r="D500" s="101"/>
      <c r="E500" s="104"/>
      <c r="F500" s="104"/>
      <c r="G500" s="89"/>
      <c r="H500" s="22" t="s">
        <v>342</v>
      </c>
      <c r="I500" s="10">
        <v>663</v>
      </c>
      <c r="J500" s="16">
        <v>7</v>
      </c>
      <c r="K500" s="16">
        <v>9</v>
      </c>
      <c r="L500" s="95" t="s">
        <v>595</v>
      </c>
      <c r="M500" s="96" t="s">
        <v>563</v>
      </c>
      <c r="N500" s="96" t="s">
        <v>595</v>
      </c>
      <c r="O500" s="96" t="s">
        <v>648</v>
      </c>
      <c r="P500" s="10"/>
      <c r="Q500" s="214"/>
      <c r="R500" s="214"/>
    </row>
    <row r="501" spans="1:18" ht="27" customHeight="1" hidden="1">
      <c r="A501" s="99"/>
      <c r="B501" s="98"/>
      <c r="C501" s="103"/>
      <c r="D501" s="101"/>
      <c r="E501" s="104"/>
      <c r="F501" s="104"/>
      <c r="G501" s="89"/>
      <c r="H501" s="22" t="s">
        <v>533</v>
      </c>
      <c r="I501" s="10">
        <v>663</v>
      </c>
      <c r="J501" s="16">
        <v>7</v>
      </c>
      <c r="K501" s="16">
        <v>9</v>
      </c>
      <c r="L501" s="95" t="s">
        <v>595</v>
      </c>
      <c r="M501" s="96" t="s">
        <v>563</v>
      </c>
      <c r="N501" s="96" t="s">
        <v>595</v>
      </c>
      <c r="O501" s="96" t="s">
        <v>648</v>
      </c>
      <c r="P501" s="10">
        <v>120</v>
      </c>
      <c r="Q501" s="214"/>
      <c r="R501" s="214"/>
    </row>
    <row r="502" spans="1:18" ht="26.25" customHeight="1" hidden="1">
      <c r="A502" s="99"/>
      <c r="B502" s="98"/>
      <c r="C502" s="103"/>
      <c r="D502" s="101"/>
      <c r="E502" s="104"/>
      <c r="F502" s="104"/>
      <c r="G502" s="89"/>
      <c r="H502" s="22" t="s">
        <v>720</v>
      </c>
      <c r="I502" s="10">
        <v>663</v>
      </c>
      <c r="J502" s="16">
        <v>7</v>
      </c>
      <c r="K502" s="16">
        <v>9</v>
      </c>
      <c r="L502" s="95" t="s">
        <v>595</v>
      </c>
      <c r="M502" s="96" t="s">
        <v>563</v>
      </c>
      <c r="N502" s="96" t="s">
        <v>595</v>
      </c>
      <c r="O502" s="96" t="s">
        <v>648</v>
      </c>
      <c r="P502" s="10">
        <v>240</v>
      </c>
      <c r="Q502" s="214"/>
      <c r="R502" s="214"/>
    </row>
    <row r="503" spans="1:18" ht="38.25" customHeight="1" hidden="1">
      <c r="A503" s="99"/>
      <c r="B503" s="98"/>
      <c r="C503" s="103"/>
      <c r="D503" s="101"/>
      <c r="E503" s="104"/>
      <c r="F503" s="104"/>
      <c r="G503" s="89"/>
      <c r="H503" s="259" t="s">
        <v>501</v>
      </c>
      <c r="I503" s="10">
        <v>663</v>
      </c>
      <c r="J503" s="16">
        <v>7</v>
      </c>
      <c r="K503" s="16">
        <v>9</v>
      </c>
      <c r="L503" s="95" t="s">
        <v>595</v>
      </c>
      <c r="M503" s="96" t="s">
        <v>563</v>
      </c>
      <c r="N503" s="96" t="s">
        <v>595</v>
      </c>
      <c r="O503" s="96" t="s">
        <v>300</v>
      </c>
      <c r="P503" s="10"/>
      <c r="Q503" s="214"/>
      <c r="R503" s="214"/>
    </row>
    <row r="504" spans="1:18" ht="27" customHeight="1" hidden="1">
      <c r="A504" s="99"/>
      <c r="B504" s="98"/>
      <c r="C504" s="103"/>
      <c r="D504" s="101"/>
      <c r="E504" s="104"/>
      <c r="F504" s="104"/>
      <c r="G504" s="89"/>
      <c r="H504" s="259" t="s">
        <v>723</v>
      </c>
      <c r="I504" s="10">
        <v>663</v>
      </c>
      <c r="J504" s="16">
        <v>7</v>
      </c>
      <c r="K504" s="16">
        <v>9</v>
      </c>
      <c r="L504" s="95" t="s">
        <v>595</v>
      </c>
      <c r="M504" s="96" t="s">
        <v>563</v>
      </c>
      <c r="N504" s="96" t="s">
        <v>595</v>
      </c>
      <c r="O504" s="96" t="s">
        <v>300</v>
      </c>
      <c r="P504" s="10">
        <v>110</v>
      </c>
      <c r="Q504" s="214"/>
      <c r="R504" s="214"/>
    </row>
    <row r="505" spans="1:18" ht="22.5" customHeight="1" hidden="1">
      <c r="A505" s="99"/>
      <c r="B505" s="98"/>
      <c r="C505" s="103"/>
      <c r="D505" s="101"/>
      <c r="E505" s="104"/>
      <c r="F505" s="104"/>
      <c r="G505" s="89"/>
      <c r="H505" s="259" t="s">
        <v>720</v>
      </c>
      <c r="I505" s="10">
        <v>663</v>
      </c>
      <c r="J505" s="16">
        <v>7</v>
      </c>
      <c r="K505" s="16">
        <v>9</v>
      </c>
      <c r="L505" s="95" t="s">
        <v>595</v>
      </c>
      <c r="M505" s="96" t="s">
        <v>563</v>
      </c>
      <c r="N505" s="96" t="s">
        <v>595</v>
      </c>
      <c r="O505" s="96" t="s">
        <v>300</v>
      </c>
      <c r="P505" s="10">
        <v>240</v>
      </c>
      <c r="Q505" s="214"/>
      <c r="R505" s="214"/>
    </row>
    <row r="506" spans="1:18" ht="49.5" customHeight="1" hidden="1">
      <c r="A506" s="99"/>
      <c r="B506" s="98"/>
      <c r="C506" s="103"/>
      <c r="D506" s="101"/>
      <c r="E506" s="104"/>
      <c r="F506" s="104"/>
      <c r="G506" s="89"/>
      <c r="H506" s="259" t="s">
        <v>691</v>
      </c>
      <c r="I506" s="10">
        <v>663</v>
      </c>
      <c r="J506" s="16">
        <v>7</v>
      </c>
      <c r="K506" s="16">
        <v>9</v>
      </c>
      <c r="L506" s="95" t="s">
        <v>595</v>
      </c>
      <c r="M506" s="96" t="s">
        <v>563</v>
      </c>
      <c r="N506" s="96" t="s">
        <v>689</v>
      </c>
      <c r="O506" s="96" t="s">
        <v>690</v>
      </c>
      <c r="P506" s="10"/>
      <c r="Q506" s="214"/>
      <c r="R506" s="214"/>
    </row>
    <row r="507" spans="1:18" ht="22.5" customHeight="1" hidden="1">
      <c r="A507" s="99"/>
      <c r="B507" s="98"/>
      <c r="C507" s="103"/>
      <c r="D507" s="101"/>
      <c r="E507" s="104"/>
      <c r="F507" s="104"/>
      <c r="G507" s="89"/>
      <c r="H507" s="5" t="s">
        <v>722</v>
      </c>
      <c r="I507" s="10">
        <v>663</v>
      </c>
      <c r="J507" s="16">
        <v>7</v>
      </c>
      <c r="K507" s="16">
        <v>9</v>
      </c>
      <c r="L507" s="95" t="s">
        <v>595</v>
      </c>
      <c r="M507" s="96" t="s">
        <v>563</v>
      </c>
      <c r="N507" s="96" t="s">
        <v>689</v>
      </c>
      <c r="O507" s="96" t="s">
        <v>690</v>
      </c>
      <c r="P507" s="10">
        <v>610</v>
      </c>
      <c r="Q507" s="214">
        <v>0</v>
      </c>
      <c r="R507" s="214">
        <v>0</v>
      </c>
    </row>
    <row r="508" spans="1:18" ht="39.75" customHeight="1">
      <c r="A508" s="99"/>
      <c r="B508" s="98"/>
      <c r="C508" s="103"/>
      <c r="D508" s="101"/>
      <c r="E508" s="104"/>
      <c r="F508" s="104"/>
      <c r="G508" s="89"/>
      <c r="H508" s="5" t="s">
        <v>687</v>
      </c>
      <c r="I508" s="10">
        <v>663</v>
      </c>
      <c r="J508" s="16">
        <v>7</v>
      </c>
      <c r="K508" s="16">
        <v>9</v>
      </c>
      <c r="L508" s="95" t="s">
        <v>688</v>
      </c>
      <c r="M508" s="96" t="s">
        <v>563</v>
      </c>
      <c r="N508" s="96" t="s">
        <v>583</v>
      </c>
      <c r="O508" s="96" t="s">
        <v>620</v>
      </c>
      <c r="P508" s="10"/>
      <c r="Q508" s="214">
        <f>Q509+Q512+Q516</f>
        <v>162</v>
      </c>
      <c r="R508" s="214">
        <f>R509+R512+R516</f>
        <v>162</v>
      </c>
    </row>
    <row r="509" spans="1:18" ht="33.75" customHeight="1">
      <c r="A509" s="99"/>
      <c r="B509" s="98"/>
      <c r="C509" s="103"/>
      <c r="D509" s="101"/>
      <c r="E509" s="104"/>
      <c r="F509" s="104"/>
      <c r="G509" s="89"/>
      <c r="H509" s="5" t="s">
        <v>328</v>
      </c>
      <c r="I509" s="10">
        <v>663</v>
      </c>
      <c r="J509" s="16">
        <v>7</v>
      </c>
      <c r="K509" s="16">
        <v>9</v>
      </c>
      <c r="L509" s="95" t="s">
        <v>688</v>
      </c>
      <c r="M509" s="96" t="s">
        <v>563</v>
      </c>
      <c r="N509" s="96" t="s">
        <v>564</v>
      </c>
      <c r="O509" s="96" t="s">
        <v>620</v>
      </c>
      <c r="P509" s="10"/>
      <c r="Q509" s="214">
        <f>Q510</f>
        <v>10</v>
      </c>
      <c r="R509" s="214">
        <f>R510</f>
        <v>10</v>
      </c>
    </row>
    <row r="510" spans="1:18" ht="42" customHeight="1">
      <c r="A510" s="99"/>
      <c r="B510" s="98"/>
      <c r="C510" s="103"/>
      <c r="D510" s="101"/>
      <c r="E510" s="104"/>
      <c r="F510" s="104"/>
      <c r="G510" s="89"/>
      <c r="H510" s="5" t="s">
        <v>327</v>
      </c>
      <c r="I510" s="10">
        <v>663</v>
      </c>
      <c r="J510" s="16">
        <v>7</v>
      </c>
      <c r="K510" s="16">
        <v>9</v>
      </c>
      <c r="L510" s="95" t="s">
        <v>688</v>
      </c>
      <c r="M510" s="96" t="s">
        <v>563</v>
      </c>
      <c r="N510" s="96" t="s">
        <v>564</v>
      </c>
      <c r="O510" s="96" t="s">
        <v>300</v>
      </c>
      <c r="P510" s="10"/>
      <c r="Q510" s="214">
        <f>Q511</f>
        <v>10</v>
      </c>
      <c r="R510" s="214">
        <f>R511</f>
        <v>10</v>
      </c>
    </row>
    <row r="511" spans="1:18" ht="28.5" customHeight="1">
      <c r="A511" s="99"/>
      <c r="B511" s="98"/>
      <c r="C511" s="103"/>
      <c r="D511" s="101"/>
      <c r="E511" s="104"/>
      <c r="F511" s="104"/>
      <c r="G511" s="89"/>
      <c r="H511" s="5" t="s">
        <v>720</v>
      </c>
      <c r="I511" s="10">
        <v>663</v>
      </c>
      <c r="J511" s="16">
        <v>7</v>
      </c>
      <c r="K511" s="16">
        <v>9</v>
      </c>
      <c r="L511" s="95" t="s">
        <v>688</v>
      </c>
      <c r="M511" s="96" t="s">
        <v>563</v>
      </c>
      <c r="N511" s="96" t="s">
        <v>564</v>
      </c>
      <c r="O511" s="96" t="s">
        <v>300</v>
      </c>
      <c r="P511" s="10">
        <v>240</v>
      </c>
      <c r="Q511" s="214">
        <v>10</v>
      </c>
      <c r="R511" s="214">
        <v>10</v>
      </c>
    </row>
    <row r="512" spans="1:18" ht="37.5" customHeight="1">
      <c r="A512" s="99"/>
      <c r="B512" s="98"/>
      <c r="C512" s="103"/>
      <c r="D512" s="101"/>
      <c r="E512" s="104"/>
      <c r="F512" s="104"/>
      <c r="G512" s="89"/>
      <c r="H512" s="5" t="s">
        <v>686</v>
      </c>
      <c r="I512" s="10">
        <v>663</v>
      </c>
      <c r="J512" s="16">
        <v>7</v>
      </c>
      <c r="K512" s="16">
        <v>9</v>
      </c>
      <c r="L512" s="95" t="s">
        <v>688</v>
      </c>
      <c r="M512" s="96" t="s">
        <v>563</v>
      </c>
      <c r="N512" s="96" t="s">
        <v>588</v>
      </c>
      <c r="O512" s="96" t="s">
        <v>620</v>
      </c>
      <c r="P512" s="10"/>
      <c r="Q512" s="214">
        <f>Q513</f>
        <v>77</v>
      </c>
      <c r="R512" s="214">
        <f>R513</f>
        <v>77</v>
      </c>
    </row>
    <row r="513" spans="1:18" ht="37.5" customHeight="1">
      <c r="A513" s="99"/>
      <c r="B513" s="98"/>
      <c r="C513" s="103"/>
      <c r="D513" s="101"/>
      <c r="E513" s="104"/>
      <c r="F513" s="104"/>
      <c r="G513" s="89"/>
      <c r="H513" s="5" t="s">
        <v>327</v>
      </c>
      <c r="I513" s="10">
        <v>663</v>
      </c>
      <c r="J513" s="16">
        <v>7</v>
      </c>
      <c r="K513" s="16">
        <v>9</v>
      </c>
      <c r="L513" s="95" t="s">
        <v>688</v>
      </c>
      <c r="M513" s="96" t="s">
        <v>563</v>
      </c>
      <c r="N513" s="96" t="s">
        <v>588</v>
      </c>
      <c r="O513" s="96" t="s">
        <v>300</v>
      </c>
      <c r="P513" s="10"/>
      <c r="Q513" s="214">
        <f>SUM(Q514:Q515)</f>
        <v>77</v>
      </c>
      <c r="R513" s="214">
        <f>SUM(R514:R515)</f>
        <v>77</v>
      </c>
    </row>
    <row r="514" spans="1:18" ht="30" customHeight="1">
      <c r="A514" s="99"/>
      <c r="B514" s="98"/>
      <c r="C514" s="103"/>
      <c r="D514" s="101"/>
      <c r="E514" s="104"/>
      <c r="F514" s="104"/>
      <c r="G514" s="89"/>
      <c r="H514" s="5" t="s">
        <v>720</v>
      </c>
      <c r="I514" s="10">
        <v>663</v>
      </c>
      <c r="J514" s="16">
        <v>7</v>
      </c>
      <c r="K514" s="16">
        <v>9</v>
      </c>
      <c r="L514" s="95" t="s">
        <v>688</v>
      </c>
      <c r="M514" s="96" t="s">
        <v>563</v>
      </c>
      <c r="N514" s="96" t="s">
        <v>588</v>
      </c>
      <c r="O514" s="96" t="s">
        <v>300</v>
      </c>
      <c r="P514" s="10">
        <v>240</v>
      </c>
      <c r="Q514" s="214">
        <v>7</v>
      </c>
      <c r="R514" s="214">
        <v>7</v>
      </c>
    </row>
    <row r="515" spans="1:18" ht="27" customHeight="1">
      <c r="A515" s="99"/>
      <c r="B515" s="98"/>
      <c r="C515" s="103"/>
      <c r="D515" s="101"/>
      <c r="E515" s="104"/>
      <c r="F515" s="104"/>
      <c r="G515" s="89"/>
      <c r="H515" s="5" t="s">
        <v>725</v>
      </c>
      <c r="I515" s="10">
        <v>663</v>
      </c>
      <c r="J515" s="16">
        <v>7</v>
      </c>
      <c r="K515" s="16">
        <v>9</v>
      </c>
      <c r="L515" s="95" t="s">
        <v>688</v>
      </c>
      <c r="M515" s="96" t="s">
        <v>563</v>
      </c>
      <c r="N515" s="96" t="s">
        <v>588</v>
      </c>
      <c r="O515" s="96" t="s">
        <v>300</v>
      </c>
      <c r="P515" s="10">
        <v>320</v>
      </c>
      <c r="Q515" s="214">
        <v>70</v>
      </c>
      <c r="R515" s="214">
        <v>70</v>
      </c>
    </row>
    <row r="516" spans="1:18" ht="30" customHeight="1">
      <c r="A516" s="99"/>
      <c r="B516" s="98"/>
      <c r="C516" s="103"/>
      <c r="D516" s="101"/>
      <c r="E516" s="104"/>
      <c r="F516" s="104"/>
      <c r="G516" s="89"/>
      <c r="H516" s="5" t="s">
        <v>253</v>
      </c>
      <c r="I516" s="10">
        <v>663</v>
      </c>
      <c r="J516" s="16">
        <v>7</v>
      </c>
      <c r="K516" s="16">
        <v>9</v>
      </c>
      <c r="L516" s="95" t="s">
        <v>688</v>
      </c>
      <c r="M516" s="96" t="s">
        <v>563</v>
      </c>
      <c r="N516" s="96" t="s">
        <v>566</v>
      </c>
      <c r="O516" s="96" t="s">
        <v>620</v>
      </c>
      <c r="P516" s="10"/>
      <c r="Q516" s="214">
        <f>Q517</f>
        <v>75</v>
      </c>
      <c r="R516" s="214">
        <f>R517</f>
        <v>75</v>
      </c>
    </row>
    <row r="517" spans="1:18" ht="33" customHeight="1">
      <c r="A517" s="99"/>
      <c r="B517" s="98"/>
      <c r="C517" s="103"/>
      <c r="D517" s="101"/>
      <c r="E517" s="104"/>
      <c r="F517" s="104"/>
      <c r="G517" s="89"/>
      <c r="H517" s="5" t="s">
        <v>327</v>
      </c>
      <c r="I517" s="10">
        <v>663</v>
      </c>
      <c r="J517" s="16">
        <v>7</v>
      </c>
      <c r="K517" s="16">
        <v>9</v>
      </c>
      <c r="L517" s="95" t="s">
        <v>688</v>
      </c>
      <c r="M517" s="96" t="s">
        <v>563</v>
      </c>
      <c r="N517" s="96" t="s">
        <v>566</v>
      </c>
      <c r="O517" s="96" t="s">
        <v>300</v>
      </c>
      <c r="P517" s="10"/>
      <c r="Q517" s="214">
        <f>Q518</f>
        <v>75</v>
      </c>
      <c r="R517" s="214">
        <f>R518</f>
        <v>75</v>
      </c>
    </row>
    <row r="518" spans="1:18" ht="30" customHeight="1">
      <c r="A518" s="99"/>
      <c r="B518" s="98"/>
      <c r="C518" s="103"/>
      <c r="D518" s="101"/>
      <c r="E518" s="104"/>
      <c r="F518" s="104"/>
      <c r="G518" s="89"/>
      <c r="H518" s="5" t="s">
        <v>725</v>
      </c>
      <c r="I518" s="10">
        <v>663</v>
      </c>
      <c r="J518" s="16">
        <v>7</v>
      </c>
      <c r="K518" s="16">
        <v>9</v>
      </c>
      <c r="L518" s="95" t="s">
        <v>688</v>
      </c>
      <c r="M518" s="96" t="s">
        <v>563</v>
      </c>
      <c r="N518" s="96" t="s">
        <v>566</v>
      </c>
      <c r="O518" s="96" t="s">
        <v>300</v>
      </c>
      <c r="P518" s="10">
        <v>320</v>
      </c>
      <c r="Q518" s="214">
        <v>75</v>
      </c>
      <c r="R518" s="214">
        <v>75</v>
      </c>
    </row>
    <row r="519" spans="1:18" ht="23.25" customHeight="1">
      <c r="A519" s="99"/>
      <c r="B519" s="98"/>
      <c r="C519" s="103"/>
      <c r="D519" s="101"/>
      <c r="E519" s="104"/>
      <c r="F519" s="104"/>
      <c r="G519" s="89"/>
      <c r="H519" s="22" t="s">
        <v>299</v>
      </c>
      <c r="I519" s="10">
        <v>663</v>
      </c>
      <c r="J519" s="16">
        <v>7</v>
      </c>
      <c r="K519" s="16">
        <v>9</v>
      </c>
      <c r="L519" s="95" t="s">
        <v>580</v>
      </c>
      <c r="M519" s="96" t="s">
        <v>563</v>
      </c>
      <c r="N519" s="96" t="s">
        <v>583</v>
      </c>
      <c r="O519" s="96" t="s">
        <v>620</v>
      </c>
      <c r="P519" s="10"/>
      <c r="Q519" s="214">
        <f>Q520+Q523+Q526+Q529+Q532</f>
        <v>19818.300000000003</v>
      </c>
      <c r="R519" s="214">
        <f>R520+R523+R526+R529+R532</f>
        <v>30949.500000000004</v>
      </c>
    </row>
    <row r="520" spans="1:18" ht="24" customHeight="1">
      <c r="A520" s="99"/>
      <c r="B520" s="98"/>
      <c r="C520" s="103"/>
      <c r="D520" s="101"/>
      <c r="E520" s="104"/>
      <c r="F520" s="104"/>
      <c r="G520" s="89"/>
      <c r="H520" s="22" t="s">
        <v>533</v>
      </c>
      <c r="I520" s="10">
        <v>663</v>
      </c>
      <c r="J520" s="16">
        <v>7</v>
      </c>
      <c r="K520" s="16">
        <v>9</v>
      </c>
      <c r="L520" s="95" t="s">
        <v>580</v>
      </c>
      <c r="M520" s="96" t="s">
        <v>563</v>
      </c>
      <c r="N520" s="96" t="s">
        <v>583</v>
      </c>
      <c r="O520" s="96" t="s">
        <v>648</v>
      </c>
      <c r="P520" s="10"/>
      <c r="Q520" s="214">
        <f>SUM(Q521:Q522)</f>
        <v>7079.1</v>
      </c>
      <c r="R520" s="214">
        <f>SUM(R521:R522)</f>
        <v>7079.1</v>
      </c>
    </row>
    <row r="521" spans="1:18" ht="24.75" customHeight="1">
      <c r="A521" s="99"/>
      <c r="B521" s="98"/>
      <c r="C521" s="103"/>
      <c r="D521" s="101"/>
      <c r="E521" s="104"/>
      <c r="F521" s="104"/>
      <c r="G521" s="89"/>
      <c r="H521" s="22" t="s">
        <v>533</v>
      </c>
      <c r="I521" s="10">
        <v>663</v>
      </c>
      <c r="J521" s="16">
        <v>7</v>
      </c>
      <c r="K521" s="16">
        <v>9</v>
      </c>
      <c r="L521" s="95" t="s">
        <v>580</v>
      </c>
      <c r="M521" s="96" t="s">
        <v>563</v>
      </c>
      <c r="N521" s="96" t="s">
        <v>583</v>
      </c>
      <c r="O521" s="96" t="s">
        <v>648</v>
      </c>
      <c r="P521" s="10">
        <v>120</v>
      </c>
      <c r="Q521" s="214">
        <f>1916.7+344+1944.8</f>
        <v>4205.5</v>
      </c>
      <c r="R521" s="214">
        <f>1916.7+344+1944.8</f>
        <v>4205.5</v>
      </c>
    </row>
    <row r="522" spans="1:18" ht="24.75" customHeight="1">
      <c r="A522" s="99"/>
      <c r="B522" s="98"/>
      <c r="C522" s="103"/>
      <c r="D522" s="101"/>
      <c r="E522" s="104"/>
      <c r="F522" s="104"/>
      <c r="G522" s="89"/>
      <c r="H522" s="22" t="s">
        <v>720</v>
      </c>
      <c r="I522" s="10">
        <v>663</v>
      </c>
      <c r="J522" s="16">
        <v>7</v>
      </c>
      <c r="K522" s="16">
        <v>9</v>
      </c>
      <c r="L522" s="95" t="s">
        <v>580</v>
      </c>
      <c r="M522" s="96" t="s">
        <v>563</v>
      </c>
      <c r="N522" s="96" t="s">
        <v>583</v>
      </c>
      <c r="O522" s="96" t="s">
        <v>648</v>
      </c>
      <c r="P522" s="10">
        <v>240</v>
      </c>
      <c r="Q522" s="214">
        <f>3053.5-344+164.1</f>
        <v>2873.6</v>
      </c>
      <c r="R522" s="214">
        <f>3053.5-344+164.1</f>
        <v>2873.6</v>
      </c>
    </row>
    <row r="523" spans="1:18" ht="33" customHeight="1" hidden="1">
      <c r="A523" s="99"/>
      <c r="B523" s="98"/>
      <c r="C523" s="103"/>
      <c r="D523" s="101"/>
      <c r="E523" s="104"/>
      <c r="F523" s="104"/>
      <c r="G523" s="89"/>
      <c r="H523" s="22" t="s">
        <v>501</v>
      </c>
      <c r="I523" s="10">
        <v>663</v>
      </c>
      <c r="J523" s="16">
        <v>7</v>
      </c>
      <c r="K523" s="16">
        <v>9</v>
      </c>
      <c r="L523" s="95" t="s">
        <v>580</v>
      </c>
      <c r="M523" s="96" t="s">
        <v>563</v>
      </c>
      <c r="N523" s="96" t="s">
        <v>583</v>
      </c>
      <c r="O523" s="96" t="s">
        <v>300</v>
      </c>
      <c r="P523" s="10"/>
      <c r="Q523" s="214">
        <f>SUM(Q524:Q525)</f>
        <v>0</v>
      </c>
      <c r="R523" s="214">
        <f>SUM(R524:R525)</f>
        <v>0</v>
      </c>
    </row>
    <row r="524" spans="1:18" ht="33" customHeight="1" hidden="1">
      <c r="A524" s="99"/>
      <c r="B524" s="98"/>
      <c r="C524" s="103"/>
      <c r="D524" s="101"/>
      <c r="E524" s="104"/>
      <c r="F524" s="104"/>
      <c r="G524" s="89"/>
      <c r="H524" s="22" t="s">
        <v>723</v>
      </c>
      <c r="I524" s="10">
        <v>663</v>
      </c>
      <c r="J524" s="16">
        <v>7</v>
      </c>
      <c r="K524" s="16">
        <v>9</v>
      </c>
      <c r="L524" s="95" t="s">
        <v>580</v>
      </c>
      <c r="M524" s="96" t="s">
        <v>563</v>
      </c>
      <c r="N524" s="96" t="s">
        <v>583</v>
      </c>
      <c r="O524" s="96" t="s">
        <v>300</v>
      </c>
      <c r="P524" s="10">
        <v>110</v>
      </c>
      <c r="Q524" s="214">
        <v>0</v>
      </c>
      <c r="R524" s="214">
        <v>0</v>
      </c>
    </row>
    <row r="525" spans="1:18" ht="33" customHeight="1" hidden="1">
      <c r="A525" s="99"/>
      <c r="B525" s="98"/>
      <c r="C525" s="103"/>
      <c r="D525" s="101"/>
      <c r="E525" s="104"/>
      <c r="F525" s="104"/>
      <c r="G525" s="89"/>
      <c r="H525" s="22" t="s">
        <v>720</v>
      </c>
      <c r="I525" s="10">
        <v>663</v>
      </c>
      <c r="J525" s="16">
        <v>7</v>
      </c>
      <c r="K525" s="16">
        <v>9</v>
      </c>
      <c r="L525" s="95" t="s">
        <v>580</v>
      </c>
      <c r="M525" s="96" t="s">
        <v>563</v>
      </c>
      <c r="N525" s="96" t="s">
        <v>583</v>
      </c>
      <c r="O525" s="96" t="s">
        <v>300</v>
      </c>
      <c r="P525" s="10">
        <v>240</v>
      </c>
      <c r="Q525" s="214">
        <v>0</v>
      </c>
      <c r="R525" s="214">
        <v>0</v>
      </c>
    </row>
    <row r="526" spans="1:18" ht="48" customHeight="1">
      <c r="A526" s="99"/>
      <c r="B526" s="98"/>
      <c r="C526" s="103"/>
      <c r="D526" s="101"/>
      <c r="E526" s="104"/>
      <c r="F526" s="104"/>
      <c r="G526" s="89"/>
      <c r="H526" s="22" t="s">
        <v>330</v>
      </c>
      <c r="I526" s="10">
        <v>663</v>
      </c>
      <c r="J526" s="16">
        <v>7</v>
      </c>
      <c r="K526" s="16">
        <v>9</v>
      </c>
      <c r="L526" s="95" t="s">
        <v>580</v>
      </c>
      <c r="M526" s="96" t="s">
        <v>563</v>
      </c>
      <c r="N526" s="96" t="s">
        <v>583</v>
      </c>
      <c r="O526" s="96" t="s">
        <v>329</v>
      </c>
      <c r="P526" s="10"/>
      <c r="Q526" s="214">
        <f>Q527+Q528</f>
        <v>9357.7</v>
      </c>
      <c r="R526" s="214">
        <f>R527+R528</f>
        <v>9357.7</v>
      </c>
    </row>
    <row r="527" spans="1:18" ht="33" customHeight="1">
      <c r="A527" s="99"/>
      <c r="B527" s="98"/>
      <c r="C527" s="103"/>
      <c r="D527" s="101"/>
      <c r="E527" s="104"/>
      <c r="F527" s="104"/>
      <c r="G527" s="89"/>
      <c r="H527" s="22" t="s">
        <v>725</v>
      </c>
      <c r="I527" s="10">
        <v>663</v>
      </c>
      <c r="J527" s="16">
        <v>7</v>
      </c>
      <c r="K527" s="16">
        <v>9</v>
      </c>
      <c r="L527" s="95" t="s">
        <v>580</v>
      </c>
      <c r="M527" s="96" t="s">
        <v>563</v>
      </c>
      <c r="N527" s="96" t="s">
        <v>583</v>
      </c>
      <c r="O527" s="96" t="s">
        <v>329</v>
      </c>
      <c r="P527" s="10">
        <v>320</v>
      </c>
      <c r="Q527" s="214">
        <v>1956.6</v>
      </c>
      <c r="R527" s="214">
        <v>1956.6</v>
      </c>
    </row>
    <row r="528" spans="1:18" ht="33" customHeight="1">
      <c r="A528" s="99"/>
      <c r="B528" s="98"/>
      <c r="C528" s="103"/>
      <c r="D528" s="101"/>
      <c r="E528" s="104"/>
      <c r="F528" s="104"/>
      <c r="G528" s="89"/>
      <c r="H528" s="5" t="s">
        <v>722</v>
      </c>
      <c r="I528" s="10">
        <v>663</v>
      </c>
      <c r="J528" s="16">
        <v>7</v>
      </c>
      <c r="K528" s="16">
        <v>9</v>
      </c>
      <c r="L528" s="95" t="s">
        <v>580</v>
      </c>
      <c r="M528" s="96" t="s">
        <v>563</v>
      </c>
      <c r="N528" s="96" t="s">
        <v>583</v>
      </c>
      <c r="O528" s="96" t="s">
        <v>329</v>
      </c>
      <c r="P528" s="10">
        <v>610</v>
      </c>
      <c r="Q528" s="214">
        <v>7401.1</v>
      </c>
      <c r="R528" s="214">
        <v>7401.1</v>
      </c>
    </row>
    <row r="529" spans="1:18" ht="33" customHeight="1">
      <c r="A529" s="99"/>
      <c r="B529" s="98"/>
      <c r="C529" s="103"/>
      <c r="D529" s="101"/>
      <c r="E529" s="104"/>
      <c r="F529" s="104"/>
      <c r="G529" s="89"/>
      <c r="H529" s="11" t="s">
        <v>128</v>
      </c>
      <c r="I529" s="10">
        <v>663</v>
      </c>
      <c r="J529" s="16">
        <v>7</v>
      </c>
      <c r="K529" s="16">
        <v>9</v>
      </c>
      <c r="L529" s="95" t="s">
        <v>580</v>
      </c>
      <c r="M529" s="96" t="s">
        <v>563</v>
      </c>
      <c r="N529" s="96" t="s">
        <v>689</v>
      </c>
      <c r="O529" s="96" t="s">
        <v>620</v>
      </c>
      <c r="P529" s="10"/>
      <c r="Q529" s="214">
        <f>Q530</f>
        <v>1127</v>
      </c>
      <c r="R529" s="214">
        <f>R530</f>
        <v>5627.9</v>
      </c>
    </row>
    <row r="530" spans="1:18" ht="51.75" customHeight="1">
      <c r="A530" s="99"/>
      <c r="B530" s="98"/>
      <c r="C530" s="103"/>
      <c r="D530" s="101"/>
      <c r="E530" s="104"/>
      <c r="F530" s="104"/>
      <c r="G530" s="89"/>
      <c r="H530" s="11" t="s">
        <v>691</v>
      </c>
      <c r="I530" s="10">
        <v>663</v>
      </c>
      <c r="J530" s="16">
        <v>7</v>
      </c>
      <c r="K530" s="16">
        <v>9</v>
      </c>
      <c r="L530" s="95" t="s">
        <v>580</v>
      </c>
      <c r="M530" s="96" t="s">
        <v>563</v>
      </c>
      <c r="N530" s="96" t="s">
        <v>689</v>
      </c>
      <c r="O530" s="96" t="s">
        <v>72</v>
      </c>
      <c r="P530" s="10"/>
      <c r="Q530" s="214">
        <f>Q531</f>
        <v>1127</v>
      </c>
      <c r="R530" s="214">
        <f>R531</f>
        <v>5627.9</v>
      </c>
    </row>
    <row r="531" spans="1:18" ht="24.75" customHeight="1">
      <c r="A531" s="99"/>
      <c r="B531" s="98"/>
      <c r="C531" s="103"/>
      <c r="D531" s="101"/>
      <c r="E531" s="104"/>
      <c r="F531" s="104"/>
      <c r="G531" s="89"/>
      <c r="H531" s="5" t="s">
        <v>722</v>
      </c>
      <c r="I531" s="10">
        <v>663</v>
      </c>
      <c r="J531" s="16">
        <v>7</v>
      </c>
      <c r="K531" s="16">
        <v>9</v>
      </c>
      <c r="L531" s="95" t="s">
        <v>580</v>
      </c>
      <c r="M531" s="96" t="s">
        <v>563</v>
      </c>
      <c r="N531" s="96" t="s">
        <v>689</v>
      </c>
      <c r="O531" s="96" t="s">
        <v>72</v>
      </c>
      <c r="P531" s="10">
        <v>610</v>
      </c>
      <c r="Q531" s="214">
        <v>1127</v>
      </c>
      <c r="R531" s="214">
        <v>5627.9</v>
      </c>
    </row>
    <row r="532" spans="1:18" ht="24.75" customHeight="1">
      <c r="A532" s="99"/>
      <c r="B532" s="98"/>
      <c r="C532" s="103"/>
      <c r="D532" s="101"/>
      <c r="E532" s="104"/>
      <c r="F532" s="104"/>
      <c r="G532" s="89"/>
      <c r="H532" s="11" t="s">
        <v>130</v>
      </c>
      <c r="I532" s="10">
        <v>663</v>
      </c>
      <c r="J532" s="16">
        <v>7</v>
      </c>
      <c r="K532" s="16">
        <v>9</v>
      </c>
      <c r="L532" s="95" t="s">
        <v>580</v>
      </c>
      <c r="M532" s="96" t="s">
        <v>563</v>
      </c>
      <c r="N532" s="96" t="s">
        <v>692</v>
      </c>
      <c r="O532" s="96" t="s">
        <v>620</v>
      </c>
      <c r="P532" s="10"/>
      <c r="Q532" s="214">
        <f>Q533</f>
        <v>2254.5</v>
      </c>
      <c r="R532" s="214">
        <f>R533</f>
        <v>8884.8</v>
      </c>
    </row>
    <row r="533" spans="1:18" ht="33" customHeight="1">
      <c r="A533" s="99"/>
      <c r="B533" s="98"/>
      <c r="C533" s="103"/>
      <c r="D533" s="101"/>
      <c r="E533" s="104"/>
      <c r="F533" s="104"/>
      <c r="G533" s="89"/>
      <c r="H533" s="11" t="s">
        <v>694</v>
      </c>
      <c r="I533" s="10">
        <v>663</v>
      </c>
      <c r="J533" s="16">
        <v>7</v>
      </c>
      <c r="K533" s="16">
        <v>9</v>
      </c>
      <c r="L533" s="95" t="s">
        <v>580</v>
      </c>
      <c r="M533" s="96" t="s">
        <v>563</v>
      </c>
      <c r="N533" s="96" t="s">
        <v>692</v>
      </c>
      <c r="O533" s="96" t="s">
        <v>71</v>
      </c>
      <c r="P533" s="10"/>
      <c r="Q533" s="214">
        <f>Q534</f>
        <v>2254.5</v>
      </c>
      <c r="R533" s="214">
        <f>R534</f>
        <v>8884.8</v>
      </c>
    </row>
    <row r="534" spans="1:18" ht="27" customHeight="1">
      <c r="A534" s="99"/>
      <c r="B534" s="98"/>
      <c r="C534" s="103"/>
      <c r="D534" s="101"/>
      <c r="E534" s="104"/>
      <c r="F534" s="104"/>
      <c r="G534" s="89"/>
      <c r="H534" s="5" t="s">
        <v>722</v>
      </c>
      <c r="I534" s="10">
        <v>663</v>
      </c>
      <c r="J534" s="16">
        <v>7</v>
      </c>
      <c r="K534" s="16">
        <v>9</v>
      </c>
      <c r="L534" s="95" t="s">
        <v>580</v>
      </c>
      <c r="M534" s="96" t="s">
        <v>563</v>
      </c>
      <c r="N534" s="96" t="s">
        <v>692</v>
      </c>
      <c r="O534" s="96" t="s">
        <v>71</v>
      </c>
      <c r="P534" s="10">
        <v>610</v>
      </c>
      <c r="Q534" s="214">
        <v>2254.5</v>
      </c>
      <c r="R534" s="214">
        <v>8884.8</v>
      </c>
    </row>
    <row r="535" spans="1:18" s="179" customFormat="1" ht="21.75" customHeight="1">
      <c r="A535" s="142"/>
      <c r="B535" s="143"/>
      <c r="C535" s="153"/>
      <c r="D535" s="150"/>
      <c r="E535" s="145"/>
      <c r="F535" s="145"/>
      <c r="G535" s="136"/>
      <c r="H535" s="137" t="s">
        <v>541</v>
      </c>
      <c r="I535" s="138">
        <v>663</v>
      </c>
      <c r="J535" s="139">
        <v>10</v>
      </c>
      <c r="K535" s="139"/>
      <c r="L535" s="140"/>
      <c r="M535" s="141"/>
      <c r="N535" s="141"/>
      <c r="O535" s="141"/>
      <c r="P535" s="138"/>
      <c r="Q535" s="213">
        <f>Q536</f>
        <v>3455.1</v>
      </c>
      <c r="R535" s="213">
        <f>R536</f>
        <v>3455.1</v>
      </c>
    </row>
    <row r="536" spans="1:18" s="179" customFormat="1" ht="18.75" customHeight="1">
      <c r="A536" s="142"/>
      <c r="B536" s="143"/>
      <c r="C536" s="153"/>
      <c r="D536" s="150"/>
      <c r="E536" s="379">
        <v>3150300</v>
      </c>
      <c r="F536" s="379"/>
      <c r="G536" s="136">
        <v>850</v>
      </c>
      <c r="H536" s="137" t="s">
        <v>377</v>
      </c>
      <c r="I536" s="138">
        <v>663</v>
      </c>
      <c r="J536" s="139">
        <v>10</v>
      </c>
      <c r="K536" s="139">
        <v>4</v>
      </c>
      <c r="L536" s="140" t="s">
        <v>534</v>
      </c>
      <c r="M536" s="141" t="s">
        <v>534</v>
      </c>
      <c r="N536" s="141"/>
      <c r="O536" s="141" t="s">
        <v>534</v>
      </c>
      <c r="P536" s="138" t="s">
        <v>534</v>
      </c>
      <c r="Q536" s="213">
        <f>Q537+Q541</f>
        <v>3455.1</v>
      </c>
      <c r="R536" s="213">
        <f>R537+R541</f>
        <v>3455.1</v>
      </c>
    </row>
    <row r="537" spans="1:18" ht="22.5" customHeight="1" hidden="1">
      <c r="A537" s="99"/>
      <c r="B537" s="98"/>
      <c r="C537" s="103"/>
      <c r="D537" s="101"/>
      <c r="E537" s="367">
        <v>5221300</v>
      </c>
      <c r="F537" s="367"/>
      <c r="G537" s="89">
        <v>410</v>
      </c>
      <c r="H537" s="11" t="s">
        <v>271</v>
      </c>
      <c r="I537" s="10">
        <v>663</v>
      </c>
      <c r="J537" s="16">
        <v>10</v>
      </c>
      <c r="K537" s="16">
        <v>4</v>
      </c>
      <c r="L537" s="95" t="s">
        <v>595</v>
      </c>
      <c r="M537" s="96" t="s">
        <v>563</v>
      </c>
      <c r="N537" s="96" t="s">
        <v>583</v>
      </c>
      <c r="O537" s="96" t="s">
        <v>620</v>
      </c>
      <c r="P537" s="10" t="s">
        <v>534</v>
      </c>
      <c r="Q537" s="214">
        <f aca="true" t="shared" si="13" ref="Q537:R539">Q538</f>
        <v>0</v>
      </c>
      <c r="R537" s="214">
        <f t="shared" si="13"/>
        <v>0</v>
      </c>
    </row>
    <row r="538" spans="1:18" ht="29.25" customHeight="1" hidden="1">
      <c r="A538" s="99"/>
      <c r="B538" s="98"/>
      <c r="C538" s="103"/>
      <c r="D538" s="101"/>
      <c r="E538" s="104"/>
      <c r="F538" s="104"/>
      <c r="G538" s="89"/>
      <c r="H538" s="253" t="s">
        <v>336</v>
      </c>
      <c r="I538" s="10">
        <v>663</v>
      </c>
      <c r="J538" s="16">
        <v>10</v>
      </c>
      <c r="K538" s="16">
        <v>4</v>
      </c>
      <c r="L538" s="95" t="s">
        <v>595</v>
      </c>
      <c r="M538" s="96" t="s">
        <v>563</v>
      </c>
      <c r="N538" s="96" t="s">
        <v>564</v>
      </c>
      <c r="O538" s="96" t="s">
        <v>620</v>
      </c>
      <c r="P538" s="10"/>
      <c r="Q538" s="214">
        <f t="shared" si="13"/>
        <v>0</v>
      </c>
      <c r="R538" s="214">
        <f t="shared" si="13"/>
        <v>0</v>
      </c>
    </row>
    <row r="539" spans="1:18" ht="48" customHeight="1" hidden="1">
      <c r="A539" s="99"/>
      <c r="B539" s="98"/>
      <c r="C539" s="103"/>
      <c r="D539" s="101"/>
      <c r="E539" s="104"/>
      <c r="F539" s="104"/>
      <c r="G539" s="89"/>
      <c r="H539" s="254" t="s">
        <v>330</v>
      </c>
      <c r="I539" s="10">
        <v>663</v>
      </c>
      <c r="J539" s="7">
        <v>10</v>
      </c>
      <c r="K539" s="16">
        <v>4</v>
      </c>
      <c r="L539" s="95" t="s">
        <v>595</v>
      </c>
      <c r="M539" s="96" t="s">
        <v>563</v>
      </c>
      <c r="N539" s="96" t="s">
        <v>564</v>
      </c>
      <c r="O539" s="96" t="s">
        <v>329</v>
      </c>
      <c r="P539" s="10"/>
      <c r="Q539" s="214">
        <f t="shared" si="13"/>
        <v>0</v>
      </c>
      <c r="R539" s="214">
        <f t="shared" si="13"/>
        <v>0</v>
      </c>
    </row>
    <row r="540" spans="1:18" ht="26.25" customHeight="1" hidden="1">
      <c r="A540" s="99"/>
      <c r="B540" s="98"/>
      <c r="C540" s="103"/>
      <c r="D540" s="101"/>
      <c r="E540" s="104"/>
      <c r="F540" s="104"/>
      <c r="G540" s="89"/>
      <c r="H540" s="258" t="s">
        <v>725</v>
      </c>
      <c r="I540" s="10">
        <v>663</v>
      </c>
      <c r="J540" s="7">
        <v>10</v>
      </c>
      <c r="K540" s="16">
        <v>4</v>
      </c>
      <c r="L540" s="95" t="s">
        <v>595</v>
      </c>
      <c r="M540" s="96" t="s">
        <v>563</v>
      </c>
      <c r="N540" s="96" t="s">
        <v>564</v>
      </c>
      <c r="O540" s="96" t="s">
        <v>329</v>
      </c>
      <c r="P540" s="10">
        <v>320</v>
      </c>
      <c r="Q540" s="214"/>
      <c r="R540" s="214"/>
    </row>
    <row r="541" spans="1:18" ht="26.25" customHeight="1">
      <c r="A541" s="110"/>
      <c r="B541" s="111"/>
      <c r="C541" s="106"/>
      <c r="D541" s="107"/>
      <c r="E541" s="104"/>
      <c r="F541" s="104"/>
      <c r="G541" s="89"/>
      <c r="H541" s="22" t="s">
        <v>299</v>
      </c>
      <c r="I541" s="10">
        <v>663</v>
      </c>
      <c r="J541" s="7">
        <v>10</v>
      </c>
      <c r="K541" s="16">
        <v>4</v>
      </c>
      <c r="L541" s="95" t="s">
        <v>580</v>
      </c>
      <c r="M541" s="96" t="s">
        <v>563</v>
      </c>
      <c r="N541" s="96" t="s">
        <v>583</v>
      </c>
      <c r="O541" s="96" t="s">
        <v>620</v>
      </c>
      <c r="P541" s="10"/>
      <c r="Q541" s="214">
        <f>Q542</f>
        <v>3455.1</v>
      </c>
      <c r="R541" s="214">
        <f>R542</f>
        <v>3455.1</v>
      </c>
    </row>
    <row r="542" spans="1:18" ht="51" customHeight="1">
      <c r="A542" s="110"/>
      <c r="B542" s="111"/>
      <c r="C542" s="106"/>
      <c r="D542" s="107"/>
      <c r="E542" s="104"/>
      <c r="F542" s="104"/>
      <c r="G542" s="89"/>
      <c r="H542" s="11" t="s">
        <v>330</v>
      </c>
      <c r="I542" s="10">
        <v>663</v>
      </c>
      <c r="J542" s="7">
        <v>10</v>
      </c>
      <c r="K542" s="16">
        <v>4</v>
      </c>
      <c r="L542" s="16">
        <v>91</v>
      </c>
      <c r="M542" s="96" t="s">
        <v>563</v>
      </c>
      <c r="N542" s="96" t="s">
        <v>583</v>
      </c>
      <c r="O542" s="96" t="s">
        <v>329</v>
      </c>
      <c r="P542" s="10"/>
      <c r="Q542" s="214">
        <f>Q543</f>
        <v>3455.1</v>
      </c>
      <c r="R542" s="214">
        <f>R543</f>
        <v>3455.1</v>
      </c>
    </row>
    <row r="543" spans="1:18" ht="26.25" customHeight="1">
      <c r="A543" s="110"/>
      <c r="B543" s="111"/>
      <c r="C543" s="106"/>
      <c r="D543" s="107"/>
      <c r="E543" s="104"/>
      <c r="F543" s="104"/>
      <c r="G543" s="89"/>
      <c r="H543" s="11" t="s">
        <v>725</v>
      </c>
      <c r="I543" s="10">
        <v>663</v>
      </c>
      <c r="J543" s="7">
        <v>10</v>
      </c>
      <c r="K543" s="16">
        <v>4</v>
      </c>
      <c r="L543" s="16">
        <v>91</v>
      </c>
      <c r="M543" s="96" t="s">
        <v>563</v>
      </c>
      <c r="N543" s="96" t="s">
        <v>583</v>
      </c>
      <c r="O543" s="96" t="s">
        <v>329</v>
      </c>
      <c r="P543" s="10">
        <v>320</v>
      </c>
      <c r="Q543" s="214">
        <v>3455.1</v>
      </c>
      <c r="R543" s="214">
        <v>3455.1</v>
      </c>
    </row>
    <row r="544" spans="1:18" s="319" customFormat="1" ht="18.75" customHeight="1">
      <c r="A544" s="390">
        <v>17</v>
      </c>
      <c r="B544" s="390"/>
      <c r="C544" s="390"/>
      <c r="D544" s="390"/>
      <c r="E544" s="390"/>
      <c r="F544" s="390"/>
      <c r="G544" s="132">
        <v>240</v>
      </c>
      <c r="H544" s="33" t="s">
        <v>552</v>
      </c>
      <c r="I544" s="14">
        <v>664</v>
      </c>
      <c r="J544" s="15" t="s">
        <v>534</v>
      </c>
      <c r="K544" s="15" t="s">
        <v>534</v>
      </c>
      <c r="L544" s="133" t="s">
        <v>534</v>
      </c>
      <c r="M544" s="134" t="s">
        <v>534</v>
      </c>
      <c r="N544" s="134"/>
      <c r="O544" s="134"/>
      <c r="P544" s="14" t="s">
        <v>534</v>
      </c>
      <c r="Q544" s="212">
        <f>Q545+Q567+Q577</f>
        <v>9865.3</v>
      </c>
      <c r="R544" s="212">
        <f>R545+R567+R577</f>
        <v>10865.3</v>
      </c>
    </row>
    <row r="545" spans="1:18" s="179" customFormat="1" ht="18.75" customHeight="1">
      <c r="A545" s="370">
        <v>100</v>
      </c>
      <c r="B545" s="370"/>
      <c r="C545" s="371"/>
      <c r="D545" s="371"/>
      <c r="E545" s="371"/>
      <c r="F545" s="371"/>
      <c r="G545" s="136">
        <v>240</v>
      </c>
      <c r="H545" s="137" t="s">
        <v>536</v>
      </c>
      <c r="I545" s="138">
        <v>664</v>
      </c>
      <c r="J545" s="139">
        <v>1</v>
      </c>
      <c r="K545" s="139">
        <v>0</v>
      </c>
      <c r="L545" s="140" t="s">
        <v>534</v>
      </c>
      <c r="M545" s="141" t="s">
        <v>534</v>
      </c>
      <c r="N545" s="141"/>
      <c r="O545" s="141" t="s">
        <v>534</v>
      </c>
      <c r="P545" s="138" t="s">
        <v>534</v>
      </c>
      <c r="Q545" s="213">
        <f>Q546</f>
        <v>4750.5</v>
      </c>
      <c r="R545" s="213">
        <f>R546</f>
        <v>5750.5</v>
      </c>
    </row>
    <row r="546" spans="1:18" s="179" customFormat="1" ht="23.25" customHeight="1">
      <c r="A546" s="142"/>
      <c r="B546" s="143"/>
      <c r="C546" s="370">
        <v>113</v>
      </c>
      <c r="D546" s="371"/>
      <c r="E546" s="371"/>
      <c r="F546" s="371"/>
      <c r="G546" s="136">
        <v>240</v>
      </c>
      <c r="H546" s="137" t="s">
        <v>535</v>
      </c>
      <c r="I546" s="138">
        <v>664</v>
      </c>
      <c r="J546" s="139">
        <v>1</v>
      </c>
      <c r="K546" s="139">
        <v>13</v>
      </c>
      <c r="L546" s="140" t="s">
        <v>534</v>
      </c>
      <c r="M546" s="141" t="s">
        <v>534</v>
      </c>
      <c r="N546" s="141"/>
      <c r="O546" s="141" t="s">
        <v>534</v>
      </c>
      <c r="P546" s="138" t="s">
        <v>534</v>
      </c>
      <c r="Q546" s="213">
        <f>Q547</f>
        <v>4750.5</v>
      </c>
      <c r="R546" s="213">
        <f>R547</f>
        <v>5750.5</v>
      </c>
    </row>
    <row r="547" spans="1:18" s="179" customFormat="1" ht="32.25" customHeight="1">
      <c r="A547" s="142"/>
      <c r="B547" s="143"/>
      <c r="C547" s="142"/>
      <c r="D547" s="235"/>
      <c r="E547" s="166"/>
      <c r="F547" s="166"/>
      <c r="G547" s="136"/>
      <c r="H547" s="11" t="s">
        <v>140</v>
      </c>
      <c r="I547" s="10">
        <v>664</v>
      </c>
      <c r="J547" s="16">
        <v>1</v>
      </c>
      <c r="K547" s="16">
        <v>13</v>
      </c>
      <c r="L547" s="95" t="s">
        <v>138</v>
      </c>
      <c r="M547" s="96" t="s">
        <v>563</v>
      </c>
      <c r="N547" s="96" t="s">
        <v>583</v>
      </c>
      <c r="O547" s="96" t="s">
        <v>620</v>
      </c>
      <c r="P547" s="10"/>
      <c r="Q547" s="214">
        <f>Q548+Q551+Q554+Q558+Q564</f>
        <v>4750.5</v>
      </c>
      <c r="R547" s="214">
        <f>R548+R551+R554+R558+R564</f>
        <v>5750.5</v>
      </c>
    </row>
    <row r="548" spans="1:18" s="179" customFormat="1" ht="23.25" customHeight="1">
      <c r="A548" s="142"/>
      <c r="B548" s="143"/>
      <c r="C548" s="142"/>
      <c r="D548" s="235"/>
      <c r="E548" s="166"/>
      <c r="F548" s="166"/>
      <c r="G548" s="136"/>
      <c r="H548" s="11" t="s">
        <v>142</v>
      </c>
      <c r="I548" s="10">
        <v>664</v>
      </c>
      <c r="J548" s="16">
        <v>1</v>
      </c>
      <c r="K548" s="16">
        <v>13</v>
      </c>
      <c r="L548" s="16">
        <v>48</v>
      </c>
      <c r="M548" s="96" t="s">
        <v>563</v>
      </c>
      <c r="N548" s="96" t="s">
        <v>564</v>
      </c>
      <c r="O548" s="96" t="s">
        <v>620</v>
      </c>
      <c r="P548" s="10"/>
      <c r="Q548" s="214">
        <f>Q549</f>
        <v>470</v>
      </c>
      <c r="R548" s="214">
        <f>R549</f>
        <v>470</v>
      </c>
    </row>
    <row r="549" spans="1:18" s="179" customFormat="1" ht="23.25" customHeight="1">
      <c r="A549" s="142"/>
      <c r="B549" s="143"/>
      <c r="C549" s="142"/>
      <c r="D549" s="235"/>
      <c r="E549" s="166"/>
      <c r="F549" s="166"/>
      <c r="G549" s="136"/>
      <c r="H549" s="11" t="s">
        <v>369</v>
      </c>
      <c r="I549" s="10">
        <v>664</v>
      </c>
      <c r="J549" s="16">
        <v>1</v>
      </c>
      <c r="K549" s="16">
        <v>13</v>
      </c>
      <c r="L549" s="16">
        <v>48</v>
      </c>
      <c r="M549" s="96" t="s">
        <v>563</v>
      </c>
      <c r="N549" s="96" t="s">
        <v>564</v>
      </c>
      <c r="O549" s="96" t="s">
        <v>319</v>
      </c>
      <c r="P549" s="10"/>
      <c r="Q549" s="214">
        <f>Q550</f>
        <v>470</v>
      </c>
      <c r="R549" s="214">
        <f>R550</f>
        <v>470</v>
      </c>
    </row>
    <row r="550" spans="1:18" s="179" customFormat="1" ht="23.25" customHeight="1">
      <c r="A550" s="142"/>
      <c r="B550" s="143"/>
      <c r="C550" s="142"/>
      <c r="D550" s="235"/>
      <c r="E550" s="166"/>
      <c r="F550" s="166"/>
      <c r="G550" s="136"/>
      <c r="H550" s="11" t="s">
        <v>720</v>
      </c>
      <c r="I550" s="10">
        <v>664</v>
      </c>
      <c r="J550" s="16">
        <v>1</v>
      </c>
      <c r="K550" s="16">
        <v>13</v>
      </c>
      <c r="L550" s="16">
        <v>48</v>
      </c>
      <c r="M550" s="96" t="s">
        <v>563</v>
      </c>
      <c r="N550" s="96" t="s">
        <v>564</v>
      </c>
      <c r="O550" s="96" t="s">
        <v>319</v>
      </c>
      <c r="P550" s="10">
        <v>240</v>
      </c>
      <c r="Q550" s="214">
        <v>470</v>
      </c>
      <c r="R550" s="214">
        <v>470</v>
      </c>
    </row>
    <row r="551" spans="1:18" s="179" customFormat="1" ht="34.5" customHeight="1">
      <c r="A551" s="142"/>
      <c r="B551" s="143"/>
      <c r="C551" s="142"/>
      <c r="D551" s="235"/>
      <c r="E551" s="166"/>
      <c r="F551" s="166"/>
      <c r="G551" s="136"/>
      <c r="H551" s="11" t="s">
        <v>143</v>
      </c>
      <c r="I551" s="10">
        <v>664</v>
      </c>
      <c r="J551" s="16">
        <v>1</v>
      </c>
      <c r="K551" s="16">
        <v>13</v>
      </c>
      <c r="L551" s="16">
        <v>48</v>
      </c>
      <c r="M551" s="96" t="s">
        <v>563</v>
      </c>
      <c r="N551" s="96" t="s">
        <v>592</v>
      </c>
      <c r="O551" s="96" t="s">
        <v>620</v>
      </c>
      <c r="P551" s="10"/>
      <c r="Q551" s="214">
        <f>Q552</f>
        <v>100</v>
      </c>
      <c r="R551" s="214">
        <f>R552</f>
        <v>100</v>
      </c>
    </row>
    <row r="552" spans="1:18" s="179" customFormat="1" ht="37.5" customHeight="1">
      <c r="A552" s="142"/>
      <c r="B552" s="143"/>
      <c r="C552" s="142"/>
      <c r="D552" s="235"/>
      <c r="E552" s="166"/>
      <c r="F552" s="166"/>
      <c r="G552" s="136"/>
      <c r="H552" s="11" t="s">
        <v>144</v>
      </c>
      <c r="I552" s="10">
        <v>664</v>
      </c>
      <c r="J552" s="16">
        <v>1</v>
      </c>
      <c r="K552" s="16">
        <v>13</v>
      </c>
      <c r="L552" s="16">
        <v>48</v>
      </c>
      <c r="M552" s="96" t="s">
        <v>563</v>
      </c>
      <c r="N552" s="96" t="s">
        <v>592</v>
      </c>
      <c r="O552" s="96" t="s">
        <v>318</v>
      </c>
      <c r="P552" s="10"/>
      <c r="Q552" s="214">
        <f>Q553</f>
        <v>100</v>
      </c>
      <c r="R552" s="214">
        <f>R553</f>
        <v>100</v>
      </c>
    </row>
    <row r="553" spans="1:18" s="179" customFormat="1" ht="23.25" customHeight="1">
      <c r="A553" s="142"/>
      <c r="B553" s="143"/>
      <c r="C553" s="142"/>
      <c r="D553" s="235"/>
      <c r="E553" s="166"/>
      <c r="F553" s="166"/>
      <c r="G553" s="136"/>
      <c r="H553" s="11" t="s">
        <v>720</v>
      </c>
      <c r="I553" s="10">
        <v>664</v>
      </c>
      <c r="J553" s="16">
        <v>1</v>
      </c>
      <c r="K553" s="16">
        <v>13</v>
      </c>
      <c r="L553" s="16">
        <v>48</v>
      </c>
      <c r="M553" s="96" t="s">
        <v>563</v>
      </c>
      <c r="N553" s="96" t="s">
        <v>592</v>
      </c>
      <c r="O553" s="96" t="s">
        <v>318</v>
      </c>
      <c r="P553" s="10">
        <v>240</v>
      </c>
      <c r="Q553" s="214">
        <v>100</v>
      </c>
      <c r="R553" s="214">
        <v>100</v>
      </c>
    </row>
    <row r="554" spans="1:18" s="179" customFormat="1" ht="35.25" customHeight="1">
      <c r="A554" s="142"/>
      <c r="B554" s="143"/>
      <c r="C554" s="142"/>
      <c r="D554" s="235"/>
      <c r="E554" s="166"/>
      <c r="F554" s="166"/>
      <c r="G554" s="136"/>
      <c r="H554" s="11" t="s">
        <v>145</v>
      </c>
      <c r="I554" s="10">
        <v>664</v>
      </c>
      <c r="J554" s="16">
        <v>1</v>
      </c>
      <c r="K554" s="16">
        <v>13</v>
      </c>
      <c r="L554" s="16">
        <v>48</v>
      </c>
      <c r="M554" s="96" t="s">
        <v>563</v>
      </c>
      <c r="N554" s="96" t="s">
        <v>593</v>
      </c>
      <c r="O554" s="96" t="s">
        <v>620</v>
      </c>
      <c r="P554" s="10"/>
      <c r="Q554" s="214">
        <f>Q555</f>
        <v>185.6</v>
      </c>
      <c r="R554" s="214">
        <f>R555</f>
        <v>185.6</v>
      </c>
    </row>
    <row r="555" spans="1:18" s="179" customFormat="1" ht="23.25" customHeight="1">
      <c r="A555" s="142"/>
      <c r="B555" s="143"/>
      <c r="C555" s="142"/>
      <c r="D555" s="235"/>
      <c r="E555" s="166"/>
      <c r="F555" s="166"/>
      <c r="G555" s="136"/>
      <c r="H555" s="11" t="s">
        <v>280</v>
      </c>
      <c r="I555" s="10">
        <v>664</v>
      </c>
      <c r="J555" s="16">
        <v>1</v>
      </c>
      <c r="K555" s="16">
        <v>13</v>
      </c>
      <c r="L555" s="16">
        <v>48</v>
      </c>
      <c r="M555" s="96" t="s">
        <v>563</v>
      </c>
      <c r="N555" s="96" t="s">
        <v>593</v>
      </c>
      <c r="O555" s="96" t="s">
        <v>279</v>
      </c>
      <c r="P555" s="10"/>
      <c r="Q555" s="214">
        <f>Q556+Q557</f>
        <v>185.6</v>
      </c>
      <c r="R555" s="214">
        <f>R556+R557</f>
        <v>185.6</v>
      </c>
    </row>
    <row r="556" spans="1:18" s="179" customFormat="1" ht="23.25" customHeight="1">
      <c r="A556" s="142"/>
      <c r="B556" s="143"/>
      <c r="C556" s="142"/>
      <c r="D556" s="235"/>
      <c r="E556" s="166"/>
      <c r="F556" s="166"/>
      <c r="G556" s="136"/>
      <c r="H556" s="11" t="s">
        <v>720</v>
      </c>
      <c r="I556" s="10">
        <v>664</v>
      </c>
      <c r="J556" s="16">
        <v>1</v>
      </c>
      <c r="K556" s="16">
        <v>13</v>
      </c>
      <c r="L556" s="16">
        <v>48</v>
      </c>
      <c r="M556" s="96" t="s">
        <v>563</v>
      </c>
      <c r="N556" s="96" t="s">
        <v>593</v>
      </c>
      <c r="O556" s="96" t="s">
        <v>279</v>
      </c>
      <c r="P556" s="10">
        <v>240</v>
      </c>
      <c r="Q556" s="214">
        <v>150</v>
      </c>
      <c r="R556" s="214">
        <v>150</v>
      </c>
    </row>
    <row r="557" spans="1:18" s="179" customFormat="1" ht="23.25" customHeight="1">
      <c r="A557" s="142"/>
      <c r="B557" s="143"/>
      <c r="C557" s="142"/>
      <c r="D557" s="235"/>
      <c r="E557" s="166"/>
      <c r="F557" s="166"/>
      <c r="G557" s="136"/>
      <c r="H557" s="5" t="s">
        <v>721</v>
      </c>
      <c r="I557" s="10">
        <v>664</v>
      </c>
      <c r="J557" s="16">
        <v>1</v>
      </c>
      <c r="K557" s="16">
        <v>13</v>
      </c>
      <c r="L557" s="16">
        <v>48</v>
      </c>
      <c r="M557" s="96" t="s">
        <v>563</v>
      </c>
      <c r="N557" s="96" t="s">
        <v>593</v>
      </c>
      <c r="O557" s="96" t="s">
        <v>279</v>
      </c>
      <c r="P557" s="10">
        <v>850</v>
      </c>
      <c r="Q557" s="214">
        <v>35.6</v>
      </c>
      <c r="R557" s="214">
        <v>35.6</v>
      </c>
    </row>
    <row r="558" spans="1:18" s="179" customFormat="1" ht="23.25" customHeight="1">
      <c r="A558" s="142"/>
      <c r="B558" s="143"/>
      <c r="C558" s="142"/>
      <c r="D558" s="235"/>
      <c r="E558" s="166"/>
      <c r="F558" s="166"/>
      <c r="G558" s="136"/>
      <c r="H558" s="11" t="s">
        <v>146</v>
      </c>
      <c r="I558" s="10">
        <v>664</v>
      </c>
      <c r="J558" s="16">
        <v>1</v>
      </c>
      <c r="K558" s="16">
        <v>13</v>
      </c>
      <c r="L558" s="16">
        <v>48</v>
      </c>
      <c r="M558" s="96" t="s">
        <v>563</v>
      </c>
      <c r="N558" s="96" t="s">
        <v>588</v>
      </c>
      <c r="O558" s="96" t="s">
        <v>620</v>
      </c>
      <c r="P558" s="10"/>
      <c r="Q558" s="214">
        <f>Q559</f>
        <v>3921.2</v>
      </c>
      <c r="R558" s="214">
        <f>R559</f>
        <v>4921.2</v>
      </c>
    </row>
    <row r="559" spans="1:18" s="179" customFormat="1" ht="18.75" customHeight="1">
      <c r="A559" s="142"/>
      <c r="B559" s="143"/>
      <c r="C559" s="142"/>
      <c r="D559" s="235"/>
      <c r="E559" s="166"/>
      <c r="F559" s="166"/>
      <c r="G559" s="136"/>
      <c r="H559" s="11" t="s">
        <v>342</v>
      </c>
      <c r="I559" s="10">
        <v>664</v>
      </c>
      <c r="J559" s="16">
        <v>1</v>
      </c>
      <c r="K559" s="16">
        <v>13</v>
      </c>
      <c r="L559" s="16">
        <v>48</v>
      </c>
      <c r="M559" s="96" t="s">
        <v>563</v>
      </c>
      <c r="N559" s="96" t="s">
        <v>588</v>
      </c>
      <c r="O559" s="96" t="s">
        <v>648</v>
      </c>
      <c r="P559" s="10"/>
      <c r="Q559" s="214">
        <f>Q560+Q561+Q562+Q563</f>
        <v>3921.2</v>
      </c>
      <c r="R559" s="214">
        <f>R560+R561+R562+R563</f>
        <v>4921.2</v>
      </c>
    </row>
    <row r="560" spans="1:18" s="179" customFormat="1" ht="18.75" customHeight="1">
      <c r="A560" s="142"/>
      <c r="B560" s="143"/>
      <c r="C560" s="142"/>
      <c r="D560" s="235"/>
      <c r="E560" s="166"/>
      <c r="F560" s="166"/>
      <c r="G560" s="136"/>
      <c r="H560" s="11" t="s">
        <v>533</v>
      </c>
      <c r="I560" s="10">
        <v>664</v>
      </c>
      <c r="J560" s="16">
        <v>1</v>
      </c>
      <c r="K560" s="16">
        <v>13</v>
      </c>
      <c r="L560" s="16">
        <v>48</v>
      </c>
      <c r="M560" s="96" t="s">
        <v>563</v>
      </c>
      <c r="N560" s="96" t="s">
        <v>588</v>
      </c>
      <c r="O560" s="96" t="s">
        <v>648</v>
      </c>
      <c r="P560" s="10">
        <v>120</v>
      </c>
      <c r="Q560" s="214">
        <v>3383.1</v>
      </c>
      <c r="R560" s="214">
        <v>3383.1</v>
      </c>
    </row>
    <row r="561" spans="1:18" s="179" customFormat="1" ht="18.75" customHeight="1">
      <c r="A561" s="142"/>
      <c r="B561" s="143"/>
      <c r="C561" s="142"/>
      <c r="D561" s="235"/>
      <c r="E561" s="166"/>
      <c r="F561" s="166"/>
      <c r="G561" s="136"/>
      <c r="H561" s="11" t="s">
        <v>720</v>
      </c>
      <c r="I561" s="10">
        <v>664</v>
      </c>
      <c r="J561" s="16">
        <v>1</v>
      </c>
      <c r="K561" s="16">
        <v>13</v>
      </c>
      <c r="L561" s="16">
        <v>48</v>
      </c>
      <c r="M561" s="96" t="s">
        <v>563</v>
      </c>
      <c r="N561" s="96" t="s">
        <v>588</v>
      </c>
      <c r="O561" s="96" t="s">
        <v>648</v>
      </c>
      <c r="P561" s="10">
        <v>240</v>
      </c>
      <c r="Q561" s="214">
        <v>518.1</v>
      </c>
      <c r="R561" s="214">
        <v>1518.1</v>
      </c>
    </row>
    <row r="562" spans="1:18" s="179" customFormat="1" ht="18.75" customHeight="1">
      <c r="A562" s="142"/>
      <c r="B562" s="143"/>
      <c r="C562" s="142"/>
      <c r="D562" s="235"/>
      <c r="E562" s="166"/>
      <c r="F562" s="166"/>
      <c r="G562" s="136"/>
      <c r="H562" s="5" t="s">
        <v>728</v>
      </c>
      <c r="I562" s="10">
        <v>664</v>
      </c>
      <c r="J562" s="16">
        <v>1</v>
      </c>
      <c r="K562" s="16">
        <v>13</v>
      </c>
      <c r="L562" s="16">
        <v>48</v>
      </c>
      <c r="M562" s="96" t="s">
        <v>563</v>
      </c>
      <c r="N562" s="96" t="s">
        <v>588</v>
      </c>
      <c r="O562" s="96" t="s">
        <v>648</v>
      </c>
      <c r="P562" s="10">
        <v>830</v>
      </c>
      <c r="Q562" s="214">
        <v>10</v>
      </c>
      <c r="R562" s="214">
        <v>10</v>
      </c>
    </row>
    <row r="563" spans="1:18" s="179" customFormat="1" ht="18.75" customHeight="1">
      <c r="A563" s="142"/>
      <c r="B563" s="143"/>
      <c r="C563" s="142"/>
      <c r="D563" s="235"/>
      <c r="E563" s="166"/>
      <c r="F563" s="166"/>
      <c r="G563" s="136"/>
      <c r="H563" s="5" t="s">
        <v>721</v>
      </c>
      <c r="I563" s="10">
        <v>664</v>
      </c>
      <c r="J563" s="16">
        <v>1</v>
      </c>
      <c r="K563" s="16">
        <v>13</v>
      </c>
      <c r="L563" s="16">
        <v>48</v>
      </c>
      <c r="M563" s="96" t="s">
        <v>563</v>
      </c>
      <c r="N563" s="96" t="s">
        <v>588</v>
      </c>
      <c r="O563" s="96" t="s">
        <v>648</v>
      </c>
      <c r="P563" s="10">
        <v>850</v>
      </c>
      <c r="Q563" s="214">
        <v>10</v>
      </c>
      <c r="R563" s="214">
        <v>10</v>
      </c>
    </row>
    <row r="564" spans="1:18" s="179" customFormat="1" ht="36" customHeight="1">
      <c r="A564" s="142"/>
      <c r="B564" s="143"/>
      <c r="C564" s="142"/>
      <c r="D564" s="235"/>
      <c r="E564" s="166"/>
      <c r="F564" s="166"/>
      <c r="G564" s="136"/>
      <c r="H564" s="11" t="s">
        <v>139</v>
      </c>
      <c r="I564" s="10">
        <v>664</v>
      </c>
      <c r="J564" s="16">
        <v>1</v>
      </c>
      <c r="K564" s="16">
        <v>13</v>
      </c>
      <c r="L564" s="95" t="s">
        <v>138</v>
      </c>
      <c r="M564" s="96" t="s">
        <v>563</v>
      </c>
      <c r="N564" s="96" t="s">
        <v>137</v>
      </c>
      <c r="O564" s="96" t="s">
        <v>620</v>
      </c>
      <c r="P564" s="10"/>
      <c r="Q564" s="214">
        <f>Q565</f>
        <v>73.7</v>
      </c>
      <c r="R564" s="214">
        <f>R565</f>
        <v>73.7</v>
      </c>
    </row>
    <row r="565" spans="1:18" s="179" customFormat="1" ht="48" customHeight="1">
      <c r="A565" s="142"/>
      <c r="B565" s="143"/>
      <c r="C565" s="142"/>
      <c r="D565" s="235"/>
      <c r="E565" s="166"/>
      <c r="F565" s="166"/>
      <c r="G565" s="136"/>
      <c r="H565" s="11" t="s">
        <v>298</v>
      </c>
      <c r="I565" s="10">
        <v>664</v>
      </c>
      <c r="J565" s="16">
        <v>1</v>
      </c>
      <c r="K565" s="16">
        <v>13</v>
      </c>
      <c r="L565" s="16">
        <v>48</v>
      </c>
      <c r="M565" s="96" t="s">
        <v>563</v>
      </c>
      <c r="N565" s="96" t="s">
        <v>137</v>
      </c>
      <c r="O565" s="96" t="s">
        <v>791</v>
      </c>
      <c r="P565" s="10"/>
      <c r="Q565" s="214">
        <f>Q566</f>
        <v>73.7</v>
      </c>
      <c r="R565" s="214">
        <f>R566</f>
        <v>73.7</v>
      </c>
    </row>
    <row r="566" spans="1:18" s="179" customFormat="1" ht="18.75" customHeight="1">
      <c r="A566" s="142"/>
      <c r="B566" s="143"/>
      <c r="C566" s="142"/>
      <c r="D566" s="235"/>
      <c r="E566" s="166"/>
      <c r="F566" s="166"/>
      <c r="G566" s="136"/>
      <c r="H566" s="11" t="s">
        <v>720</v>
      </c>
      <c r="I566" s="10">
        <v>664</v>
      </c>
      <c r="J566" s="16">
        <v>1</v>
      </c>
      <c r="K566" s="16">
        <v>13</v>
      </c>
      <c r="L566" s="16">
        <v>48</v>
      </c>
      <c r="M566" s="96" t="s">
        <v>563</v>
      </c>
      <c r="N566" s="96" t="s">
        <v>137</v>
      </c>
      <c r="O566" s="96" t="s">
        <v>791</v>
      </c>
      <c r="P566" s="10">
        <v>240</v>
      </c>
      <c r="Q566" s="214">
        <v>73.7</v>
      </c>
      <c r="R566" s="214">
        <v>73.7</v>
      </c>
    </row>
    <row r="567" spans="1:18" s="179" customFormat="1" ht="27.75" customHeight="1">
      <c r="A567" s="142"/>
      <c r="B567" s="143"/>
      <c r="C567" s="142"/>
      <c r="D567" s="135"/>
      <c r="E567" s="135"/>
      <c r="F567" s="135"/>
      <c r="G567" s="136"/>
      <c r="H567" s="149" t="s">
        <v>531</v>
      </c>
      <c r="I567" s="138">
        <v>664</v>
      </c>
      <c r="J567" s="139">
        <v>4</v>
      </c>
      <c r="K567" s="139" t="s">
        <v>621</v>
      </c>
      <c r="L567" s="140"/>
      <c r="M567" s="141"/>
      <c r="N567" s="141"/>
      <c r="O567" s="141"/>
      <c r="P567" s="247"/>
      <c r="Q567" s="218">
        <f aca="true" t="shared" si="14" ref="Q567:R571">Q568</f>
        <v>200</v>
      </c>
      <c r="R567" s="218">
        <f>R568</f>
        <v>200</v>
      </c>
    </row>
    <row r="568" spans="1:18" s="179" customFormat="1" ht="18.75" customHeight="1">
      <c r="A568" s="142"/>
      <c r="B568" s="143"/>
      <c r="C568" s="142"/>
      <c r="D568" s="135"/>
      <c r="E568" s="135"/>
      <c r="F568" s="135"/>
      <c r="G568" s="136"/>
      <c r="H568" s="149" t="s">
        <v>337</v>
      </c>
      <c r="I568" s="138">
        <v>664</v>
      </c>
      <c r="J568" s="139">
        <v>4</v>
      </c>
      <c r="K568" s="139">
        <v>9</v>
      </c>
      <c r="L568" s="140"/>
      <c r="M568" s="141"/>
      <c r="N568" s="141"/>
      <c r="O568" s="141"/>
      <c r="P568" s="247"/>
      <c r="Q568" s="218">
        <f t="shared" si="14"/>
        <v>200</v>
      </c>
      <c r="R568" s="218">
        <f>R573</f>
        <v>200</v>
      </c>
    </row>
    <row r="569" spans="1:18" ht="36.75" customHeight="1">
      <c r="A569" s="99"/>
      <c r="B569" s="98"/>
      <c r="C569" s="97"/>
      <c r="D569" s="94"/>
      <c r="E569" s="94"/>
      <c r="F569" s="94"/>
      <c r="G569" s="89"/>
      <c r="H569" s="5" t="s">
        <v>774</v>
      </c>
      <c r="I569" s="10">
        <v>664</v>
      </c>
      <c r="J569" s="16">
        <v>4</v>
      </c>
      <c r="K569" s="16">
        <v>9</v>
      </c>
      <c r="L569" s="95" t="s">
        <v>588</v>
      </c>
      <c r="M569" s="96" t="s">
        <v>563</v>
      </c>
      <c r="N569" s="96" t="s">
        <v>583</v>
      </c>
      <c r="O569" s="96" t="s">
        <v>620</v>
      </c>
      <c r="P569" s="23"/>
      <c r="Q569" s="219">
        <f t="shared" si="14"/>
        <v>200</v>
      </c>
      <c r="R569" s="219">
        <f t="shared" si="14"/>
        <v>0</v>
      </c>
    </row>
    <row r="570" spans="1:18" ht="24" customHeight="1">
      <c r="A570" s="99"/>
      <c r="B570" s="98"/>
      <c r="C570" s="97"/>
      <c r="D570" s="94"/>
      <c r="E570" s="94"/>
      <c r="F570" s="94"/>
      <c r="G570" s="89"/>
      <c r="H570" s="5" t="s">
        <v>784</v>
      </c>
      <c r="I570" s="10">
        <v>664</v>
      </c>
      <c r="J570" s="16">
        <v>4</v>
      </c>
      <c r="K570" s="16">
        <v>9</v>
      </c>
      <c r="L570" s="95" t="s">
        <v>588</v>
      </c>
      <c r="M570" s="96" t="s">
        <v>563</v>
      </c>
      <c r="N570" s="96" t="s">
        <v>588</v>
      </c>
      <c r="O570" s="96" t="s">
        <v>620</v>
      </c>
      <c r="P570" s="23"/>
      <c r="Q570" s="219">
        <f t="shared" si="14"/>
        <v>200</v>
      </c>
      <c r="R570" s="219">
        <f t="shared" si="14"/>
        <v>0</v>
      </c>
    </row>
    <row r="571" spans="1:18" ht="23.25" customHeight="1">
      <c r="A571" s="99"/>
      <c r="B571" s="98"/>
      <c r="C571" s="97"/>
      <c r="D571" s="94"/>
      <c r="E571" s="94"/>
      <c r="F571" s="94"/>
      <c r="G571" s="89"/>
      <c r="H571" s="5" t="s">
        <v>785</v>
      </c>
      <c r="I571" s="10">
        <v>664</v>
      </c>
      <c r="J571" s="16">
        <v>4</v>
      </c>
      <c r="K571" s="16">
        <v>9</v>
      </c>
      <c r="L571" s="95" t="s">
        <v>588</v>
      </c>
      <c r="M571" s="96" t="s">
        <v>563</v>
      </c>
      <c r="N571" s="96" t="s">
        <v>588</v>
      </c>
      <c r="O571" s="96" t="s">
        <v>761</v>
      </c>
      <c r="P571" s="23"/>
      <c r="Q571" s="219">
        <f t="shared" si="14"/>
        <v>200</v>
      </c>
      <c r="R571" s="219">
        <f t="shared" si="14"/>
        <v>0</v>
      </c>
    </row>
    <row r="572" spans="1:18" ht="20.25" customHeight="1">
      <c r="A572" s="99"/>
      <c r="B572" s="98"/>
      <c r="C572" s="97"/>
      <c r="D572" s="94"/>
      <c r="E572" s="94"/>
      <c r="F572" s="94"/>
      <c r="G572" s="89"/>
      <c r="H572" s="5" t="s">
        <v>773</v>
      </c>
      <c r="I572" s="10">
        <v>664</v>
      </c>
      <c r="J572" s="16">
        <v>4</v>
      </c>
      <c r="K572" s="16">
        <v>9</v>
      </c>
      <c r="L572" s="95" t="s">
        <v>588</v>
      </c>
      <c r="M572" s="96" t="s">
        <v>563</v>
      </c>
      <c r="N572" s="96" t="s">
        <v>588</v>
      </c>
      <c r="O572" s="96" t="s">
        <v>761</v>
      </c>
      <c r="P572" s="23">
        <v>240</v>
      </c>
      <c r="Q572" s="219">
        <v>200</v>
      </c>
      <c r="R572" s="219">
        <v>0</v>
      </c>
    </row>
    <row r="573" spans="1:18" ht="36.75" customHeight="1">
      <c r="A573" s="99"/>
      <c r="B573" s="98"/>
      <c r="C573" s="97"/>
      <c r="D573" s="94"/>
      <c r="E573" s="94"/>
      <c r="F573" s="94"/>
      <c r="G573" s="89"/>
      <c r="H573" s="5" t="s">
        <v>387</v>
      </c>
      <c r="I573" s="10">
        <v>664</v>
      </c>
      <c r="J573" s="16">
        <v>4</v>
      </c>
      <c r="K573" s="16">
        <v>9</v>
      </c>
      <c r="L573" s="95" t="s">
        <v>710</v>
      </c>
      <c r="M573" s="96" t="s">
        <v>563</v>
      </c>
      <c r="N573" s="96" t="s">
        <v>583</v>
      </c>
      <c r="O573" s="96" t="s">
        <v>620</v>
      </c>
      <c r="P573" s="23"/>
      <c r="Q573" s="219">
        <f aca="true" t="shared" si="15" ref="Q573:R575">Q574</f>
        <v>0</v>
      </c>
      <c r="R573" s="219">
        <f t="shared" si="15"/>
        <v>200</v>
      </c>
    </row>
    <row r="574" spans="1:18" ht="24" customHeight="1">
      <c r="A574" s="99"/>
      <c r="B574" s="98"/>
      <c r="C574" s="97"/>
      <c r="D574" s="94"/>
      <c r="E574" s="94"/>
      <c r="F574" s="94"/>
      <c r="G574" s="89"/>
      <c r="H574" s="5" t="s">
        <v>784</v>
      </c>
      <c r="I574" s="10">
        <v>664</v>
      </c>
      <c r="J574" s="16">
        <v>4</v>
      </c>
      <c r="K574" s="16">
        <v>9</v>
      </c>
      <c r="L574" s="95" t="s">
        <v>710</v>
      </c>
      <c r="M574" s="96" t="s">
        <v>563</v>
      </c>
      <c r="N574" s="96" t="s">
        <v>588</v>
      </c>
      <c r="O574" s="96" t="s">
        <v>620</v>
      </c>
      <c r="P574" s="23"/>
      <c r="Q574" s="219">
        <f t="shared" si="15"/>
        <v>0</v>
      </c>
      <c r="R574" s="219">
        <f t="shared" si="15"/>
        <v>200</v>
      </c>
    </row>
    <row r="575" spans="1:18" ht="23.25" customHeight="1">
      <c r="A575" s="99"/>
      <c r="B575" s="98"/>
      <c r="C575" s="97"/>
      <c r="D575" s="94"/>
      <c r="E575" s="94"/>
      <c r="F575" s="94"/>
      <c r="G575" s="89"/>
      <c r="H575" s="5" t="s">
        <v>785</v>
      </c>
      <c r="I575" s="10">
        <v>664</v>
      </c>
      <c r="J575" s="16">
        <v>4</v>
      </c>
      <c r="K575" s="16">
        <v>9</v>
      </c>
      <c r="L575" s="95" t="s">
        <v>710</v>
      </c>
      <c r="M575" s="96" t="s">
        <v>563</v>
      </c>
      <c r="N575" s="96" t="s">
        <v>588</v>
      </c>
      <c r="O575" s="96" t="s">
        <v>761</v>
      </c>
      <c r="P575" s="23"/>
      <c r="Q575" s="219">
        <f t="shared" si="15"/>
        <v>0</v>
      </c>
      <c r="R575" s="219">
        <f t="shared" si="15"/>
        <v>200</v>
      </c>
    </row>
    <row r="576" spans="1:18" ht="20.25" customHeight="1">
      <c r="A576" s="99"/>
      <c r="B576" s="98"/>
      <c r="C576" s="97"/>
      <c r="D576" s="94"/>
      <c r="E576" s="94"/>
      <c r="F576" s="94"/>
      <c r="G576" s="89"/>
      <c r="H576" s="5" t="s">
        <v>773</v>
      </c>
      <c r="I576" s="10">
        <v>664</v>
      </c>
      <c r="J576" s="16">
        <v>4</v>
      </c>
      <c r="K576" s="16">
        <v>9</v>
      </c>
      <c r="L576" s="95" t="s">
        <v>710</v>
      </c>
      <c r="M576" s="96" t="s">
        <v>563</v>
      </c>
      <c r="N576" s="96" t="s">
        <v>588</v>
      </c>
      <c r="O576" s="96" t="s">
        <v>761</v>
      </c>
      <c r="P576" s="23">
        <v>240</v>
      </c>
      <c r="Q576" s="219">
        <v>0</v>
      </c>
      <c r="R576" s="219">
        <v>200</v>
      </c>
    </row>
    <row r="577" spans="1:18" s="179" customFormat="1" ht="20.25" customHeight="1">
      <c r="A577" s="142"/>
      <c r="B577" s="143"/>
      <c r="C577" s="142"/>
      <c r="D577" s="235"/>
      <c r="E577" s="166"/>
      <c r="F577" s="166"/>
      <c r="G577" s="136"/>
      <c r="H577" s="137" t="s">
        <v>541</v>
      </c>
      <c r="I577" s="138">
        <v>664</v>
      </c>
      <c r="J577" s="139">
        <v>10</v>
      </c>
      <c r="K577" s="139" t="s">
        <v>621</v>
      </c>
      <c r="L577" s="140"/>
      <c r="M577" s="141"/>
      <c r="N577" s="141"/>
      <c r="O577" s="141"/>
      <c r="P577" s="247"/>
      <c r="Q577" s="218">
        <f aca="true" t="shared" si="16" ref="Q577:R581">Q578</f>
        <v>4914.8</v>
      </c>
      <c r="R577" s="218">
        <f t="shared" si="16"/>
        <v>4914.8</v>
      </c>
    </row>
    <row r="578" spans="1:18" s="179" customFormat="1" ht="20.25" customHeight="1">
      <c r="A578" s="142"/>
      <c r="B578" s="143"/>
      <c r="C578" s="142"/>
      <c r="D578" s="235"/>
      <c r="E578" s="166"/>
      <c r="F578" s="166"/>
      <c r="G578" s="136"/>
      <c r="H578" s="137" t="s">
        <v>540</v>
      </c>
      <c r="I578" s="138">
        <v>664</v>
      </c>
      <c r="J578" s="139">
        <v>10</v>
      </c>
      <c r="K578" s="139">
        <v>3</v>
      </c>
      <c r="L578" s="140"/>
      <c r="M578" s="141"/>
      <c r="N578" s="141"/>
      <c r="O578" s="141"/>
      <c r="P578" s="247"/>
      <c r="Q578" s="218">
        <f t="shared" si="16"/>
        <v>4914.8</v>
      </c>
      <c r="R578" s="218">
        <f t="shared" si="16"/>
        <v>4914.8</v>
      </c>
    </row>
    <row r="579" spans="1:18" s="179" customFormat="1" ht="39" customHeight="1">
      <c r="A579" s="142"/>
      <c r="B579" s="143"/>
      <c r="C579" s="142"/>
      <c r="D579" s="235"/>
      <c r="E579" s="166"/>
      <c r="F579" s="166"/>
      <c r="G579" s="136"/>
      <c r="H579" s="11" t="s">
        <v>140</v>
      </c>
      <c r="I579" s="10">
        <v>664</v>
      </c>
      <c r="J579" s="16">
        <v>10</v>
      </c>
      <c r="K579" s="16">
        <v>3</v>
      </c>
      <c r="L579" s="95" t="s">
        <v>138</v>
      </c>
      <c r="M579" s="96" t="s">
        <v>563</v>
      </c>
      <c r="N579" s="96" t="s">
        <v>583</v>
      </c>
      <c r="O579" s="96" t="s">
        <v>620</v>
      </c>
      <c r="P579" s="247"/>
      <c r="Q579" s="219">
        <f t="shared" si="16"/>
        <v>4914.8</v>
      </c>
      <c r="R579" s="219">
        <f t="shared" si="16"/>
        <v>4914.8</v>
      </c>
    </row>
    <row r="580" spans="1:18" s="179" customFormat="1" ht="52.5" customHeight="1">
      <c r="A580" s="142"/>
      <c r="B580" s="143"/>
      <c r="C580" s="142"/>
      <c r="D580" s="235"/>
      <c r="E580" s="166"/>
      <c r="F580" s="166"/>
      <c r="G580" s="136"/>
      <c r="H580" s="11" t="s">
        <v>139</v>
      </c>
      <c r="I580" s="10">
        <v>664</v>
      </c>
      <c r="J580" s="16">
        <v>10</v>
      </c>
      <c r="K580" s="16">
        <v>3</v>
      </c>
      <c r="L580" s="95" t="s">
        <v>138</v>
      </c>
      <c r="M580" s="96" t="s">
        <v>563</v>
      </c>
      <c r="N580" s="96" t="s">
        <v>141</v>
      </c>
      <c r="O580" s="96" t="s">
        <v>620</v>
      </c>
      <c r="P580" s="247"/>
      <c r="Q580" s="219">
        <f t="shared" si="16"/>
        <v>4914.8</v>
      </c>
      <c r="R580" s="219">
        <f t="shared" si="16"/>
        <v>4914.8</v>
      </c>
    </row>
    <row r="581" spans="1:18" ht="51" customHeight="1">
      <c r="A581" s="99"/>
      <c r="B581" s="98"/>
      <c r="C581" s="103"/>
      <c r="D581" s="101"/>
      <c r="E581" s="113"/>
      <c r="F581" s="113"/>
      <c r="G581" s="89"/>
      <c r="H581" s="11" t="s">
        <v>298</v>
      </c>
      <c r="I581" s="10">
        <v>664</v>
      </c>
      <c r="J581" s="16">
        <v>10</v>
      </c>
      <c r="K581" s="16">
        <v>3</v>
      </c>
      <c r="L581" s="95" t="s">
        <v>138</v>
      </c>
      <c r="M581" s="96" t="s">
        <v>563</v>
      </c>
      <c r="N581" s="96" t="s">
        <v>137</v>
      </c>
      <c r="O581" s="96" t="s">
        <v>791</v>
      </c>
      <c r="P581" s="10"/>
      <c r="Q581" s="214">
        <f t="shared" si="16"/>
        <v>4914.8</v>
      </c>
      <c r="R581" s="214">
        <f t="shared" si="16"/>
        <v>4914.8</v>
      </c>
    </row>
    <row r="582" spans="1:18" ht="20.25" customHeight="1">
      <c r="A582" s="99"/>
      <c r="B582" s="98"/>
      <c r="C582" s="103"/>
      <c r="D582" s="101"/>
      <c r="E582" s="113"/>
      <c r="F582" s="113"/>
      <c r="G582" s="89"/>
      <c r="H582" s="11" t="s">
        <v>725</v>
      </c>
      <c r="I582" s="10">
        <v>664</v>
      </c>
      <c r="J582" s="16">
        <v>10</v>
      </c>
      <c r="K582" s="16">
        <v>3</v>
      </c>
      <c r="L582" s="95" t="s">
        <v>138</v>
      </c>
      <c r="M582" s="96" t="s">
        <v>563</v>
      </c>
      <c r="N582" s="96" t="s">
        <v>137</v>
      </c>
      <c r="O582" s="96" t="s">
        <v>791</v>
      </c>
      <c r="P582" s="10">
        <v>320</v>
      </c>
      <c r="Q582" s="215">
        <v>4914.8</v>
      </c>
      <c r="R582" s="239">
        <v>4914.8</v>
      </c>
    </row>
    <row r="583" spans="1:18" ht="19.5" customHeight="1">
      <c r="A583" s="99"/>
      <c r="B583" s="98"/>
      <c r="C583" s="97"/>
      <c r="D583" s="363">
        <v>20000</v>
      </c>
      <c r="E583" s="364"/>
      <c r="F583" s="364"/>
      <c r="G583" s="89">
        <v>360</v>
      </c>
      <c r="H583" s="125" t="s">
        <v>532</v>
      </c>
      <c r="I583" s="90"/>
      <c r="J583" s="91"/>
      <c r="K583" s="91"/>
      <c r="L583" s="92"/>
      <c r="M583" s="93"/>
      <c r="N583" s="93"/>
      <c r="O583" s="93"/>
      <c r="P583" s="131"/>
      <c r="Q583" s="315">
        <f>Q15+Q322+Q332+Q342+Q395+Q544+Q292</f>
        <v>487697.69999999995</v>
      </c>
      <c r="R583" s="315">
        <f>R15+R322+R332+R342+R395+R544+R292</f>
        <v>470975</v>
      </c>
    </row>
    <row r="584" spans="1:18" ht="17.25" customHeight="1">
      <c r="A584" s="201"/>
      <c r="B584" s="111"/>
      <c r="C584" s="111"/>
      <c r="D584" s="107"/>
      <c r="E584" s="107"/>
      <c r="F584" s="107"/>
      <c r="G584" s="202"/>
      <c r="H584" s="125" t="s">
        <v>17</v>
      </c>
      <c r="I584" s="9"/>
      <c r="J584" s="127"/>
      <c r="K584" s="127"/>
      <c r="L584" s="92"/>
      <c r="M584" s="93"/>
      <c r="N584" s="93"/>
      <c r="O584" s="208"/>
      <c r="P584" s="9"/>
      <c r="Q584" s="212">
        <v>6200</v>
      </c>
      <c r="R584" s="212">
        <v>12500</v>
      </c>
    </row>
    <row r="585" spans="1:18" ht="18.75" customHeight="1">
      <c r="A585" s="201"/>
      <c r="B585" s="111"/>
      <c r="C585" s="111"/>
      <c r="D585" s="107"/>
      <c r="E585" s="107"/>
      <c r="F585" s="107"/>
      <c r="G585" s="202"/>
      <c r="H585" s="125" t="s">
        <v>16</v>
      </c>
      <c r="I585" s="9"/>
      <c r="J585" s="127"/>
      <c r="K585" s="127"/>
      <c r="L585" s="92"/>
      <c r="M585" s="93"/>
      <c r="N585" s="93"/>
      <c r="O585" s="208"/>
      <c r="P585" s="9"/>
      <c r="Q585" s="212">
        <f>Q583+Q584</f>
        <v>493897.69999999995</v>
      </c>
      <c r="R585" s="212">
        <f>R583+R584</f>
        <v>483475</v>
      </c>
    </row>
    <row r="586" ht="15.75">
      <c r="R586" s="316" t="s">
        <v>528</v>
      </c>
    </row>
  </sheetData>
  <sheetProtection/>
  <mergeCells count="45">
    <mergeCell ref="D40:F40"/>
    <mergeCell ref="D283:F283"/>
    <mergeCell ref="C217:F217"/>
    <mergeCell ref="D230:F230"/>
    <mergeCell ref="D219:F219"/>
    <mergeCell ref="E52:F52"/>
    <mergeCell ref="C210:F210"/>
    <mergeCell ref="E232:F232"/>
    <mergeCell ref="D252:F252"/>
    <mergeCell ref="A334:F334"/>
    <mergeCell ref="I4:R4"/>
    <mergeCell ref="I5:R5"/>
    <mergeCell ref="I6:R6"/>
    <mergeCell ref="I7:R7"/>
    <mergeCell ref="A16:F16"/>
    <mergeCell ref="L14:O14"/>
    <mergeCell ref="Q12:R12"/>
    <mergeCell ref="D262:F262"/>
    <mergeCell ref="I8:R8"/>
    <mergeCell ref="A544:F544"/>
    <mergeCell ref="D396:F396"/>
    <mergeCell ref="E260:F260"/>
    <mergeCell ref="D268:F268"/>
    <mergeCell ref="D19:F19"/>
    <mergeCell ref="D336:F336"/>
    <mergeCell ref="D55:F55"/>
    <mergeCell ref="E143:F143"/>
    <mergeCell ref="E231:F231"/>
    <mergeCell ref="C39:F39"/>
    <mergeCell ref="L12:O12"/>
    <mergeCell ref="A38:F38"/>
    <mergeCell ref="C17:F17"/>
    <mergeCell ref="Q11:R11"/>
    <mergeCell ref="H10:R10"/>
    <mergeCell ref="A15:F15"/>
    <mergeCell ref="D583:F583"/>
    <mergeCell ref="E536:F536"/>
    <mergeCell ref="E276:F276"/>
    <mergeCell ref="E537:F537"/>
    <mergeCell ref="C546:F546"/>
    <mergeCell ref="D343:F343"/>
    <mergeCell ref="E344:F344"/>
    <mergeCell ref="E397:F397"/>
    <mergeCell ref="A545:F545"/>
    <mergeCell ref="E332:F332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1"/>
  <sheetViews>
    <sheetView zoomScale="80" zoomScaleNormal="80" zoomScalePageLayoutView="0" workbookViewId="0" topLeftCell="A328">
      <selection activeCell="A331" sqref="A331:IV334"/>
    </sheetView>
  </sheetViews>
  <sheetFormatPr defaultColWidth="9.140625" defaultRowHeight="15"/>
  <cols>
    <col min="1" max="1" width="43.57421875" style="279" customWidth="1"/>
    <col min="2" max="2" width="15.00390625" style="279" customWidth="1"/>
    <col min="3" max="3" width="6.8515625" style="283" customWidth="1"/>
    <col min="4" max="4" width="9.00390625" style="283" customWidth="1"/>
    <col min="5" max="5" width="8.7109375" style="279" customWidth="1"/>
    <col min="6" max="6" width="13.28125" style="284" customWidth="1"/>
    <col min="7" max="16384" width="9.140625" style="279" customWidth="1"/>
  </cols>
  <sheetData>
    <row r="1" spans="2:6" ht="18.75">
      <c r="B1" s="397" t="s">
        <v>209</v>
      </c>
      <c r="C1" s="397"/>
      <c r="D1" s="397"/>
      <c r="E1" s="397"/>
      <c r="F1" s="397"/>
    </row>
    <row r="2" spans="2:6" ht="18.75">
      <c r="B2" s="397" t="s">
        <v>498</v>
      </c>
      <c r="C2" s="397"/>
      <c r="D2" s="397"/>
      <c r="E2" s="397"/>
      <c r="F2" s="397"/>
    </row>
    <row r="3" spans="2:6" ht="18.75">
      <c r="B3" s="397" t="s">
        <v>109</v>
      </c>
      <c r="C3" s="397"/>
      <c r="D3" s="397"/>
      <c r="E3" s="397"/>
      <c r="F3" s="397"/>
    </row>
    <row r="4" spans="1:7" ht="22.5" customHeight="1">
      <c r="A4" s="278"/>
      <c r="B4" s="401" t="s">
        <v>111</v>
      </c>
      <c r="C4" s="401"/>
      <c r="D4" s="401"/>
      <c r="E4" s="401"/>
      <c r="F4" s="401"/>
      <c r="G4" s="300"/>
    </row>
    <row r="5" spans="1:7" ht="28.5" customHeight="1">
      <c r="A5" s="278"/>
      <c r="B5" s="402" t="s">
        <v>498</v>
      </c>
      <c r="C5" s="402"/>
      <c r="D5" s="402"/>
      <c r="E5" s="402"/>
      <c r="F5" s="402"/>
      <c r="G5" s="301"/>
    </row>
    <row r="6" spans="1:7" ht="19.5" customHeight="1">
      <c r="A6" s="278"/>
      <c r="B6" s="401" t="s">
        <v>499</v>
      </c>
      <c r="C6" s="401"/>
      <c r="D6" s="401"/>
      <c r="E6" s="401"/>
      <c r="F6" s="401"/>
      <c r="G6" s="300"/>
    </row>
    <row r="7" spans="1:7" ht="19.5" customHeight="1">
      <c r="A7" s="278"/>
      <c r="B7" s="401" t="s">
        <v>3</v>
      </c>
      <c r="C7" s="401"/>
      <c r="D7" s="401"/>
      <c r="E7" s="401"/>
      <c r="F7" s="401"/>
      <c r="G7" s="300"/>
    </row>
    <row r="8" spans="1:7" ht="18.75">
      <c r="A8" s="278"/>
      <c r="B8" s="192" t="s">
        <v>110</v>
      </c>
      <c r="C8" s="192"/>
      <c r="D8" s="192"/>
      <c r="E8" s="192"/>
      <c r="F8" s="280"/>
      <c r="G8" s="195"/>
    </row>
    <row r="9" spans="1:7" ht="18.75">
      <c r="A9" s="278"/>
      <c r="B9" s="192"/>
      <c r="C9" s="192"/>
      <c r="D9" s="192"/>
      <c r="E9" s="192"/>
      <c r="F9" s="280"/>
      <c r="G9" s="195"/>
    </row>
    <row r="10" spans="1:7" ht="18.75">
      <c r="A10" s="403" t="s">
        <v>391</v>
      </c>
      <c r="B10" s="403"/>
      <c r="C10" s="403"/>
      <c r="D10" s="403"/>
      <c r="E10" s="403"/>
      <c r="F10" s="403"/>
      <c r="G10" s="267"/>
    </row>
    <row r="11" spans="1:7" ht="18.75">
      <c r="A11" s="403" t="s">
        <v>769</v>
      </c>
      <c r="B11" s="403"/>
      <c r="C11" s="403"/>
      <c r="D11" s="403"/>
      <c r="E11" s="403"/>
      <c r="F11" s="403"/>
      <c r="G11" s="266"/>
    </row>
    <row r="12" spans="1:7" ht="18.75">
      <c r="A12" s="398" t="s">
        <v>500</v>
      </c>
      <c r="B12" s="398"/>
      <c r="C12" s="398"/>
      <c r="D12" s="398"/>
      <c r="E12" s="398"/>
      <c r="F12" s="398"/>
      <c r="G12" s="265"/>
    </row>
    <row r="13" spans="1:6" ht="30.75" customHeight="1">
      <c r="A13" s="268"/>
      <c r="B13" s="268"/>
      <c r="C13" s="269"/>
      <c r="D13" s="269"/>
      <c r="E13" s="268"/>
      <c r="F13" s="284" t="s">
        <v>12</v>
      </c>
    </row>
    <row r="14" spans="1:6" ht="15.75" customHeight="1">
      <c r="A14" s="395" t="s">
        <v>510</v>
      </c>
      <c r="B14" s="395" t="s">
        <v>506</v>
      </c>
      <c r="C14" s="396" t="s">
        <v>509</v>
      </c>
      <c r="D14" s="396" t="s">
        <v>388</v>
      </c>
      <c r="E14" s="395" t="s">
        <v>505</v>
      </c>
      <c r="F14" s="399" t="s">
        <v>504</v>
      </c>
    </row>
    <row r="15" spans="1:6" ht="15.75" customHeight="1">
      <c r="A15" s="395"/>
      <c r="B15" s="395"/>
      <c r="C15" s="396"/>
      <c r="D15" s="396"/>
      <c r="E15" s="395"/>
      <c r="F15" s="400"/>
    </row>
    <row r="16" spans="1:6" ht="15.75">
      <c r="A16" s="271">
        <v>1</v>
      </c>
      <c r="B16" s="271">
        <v>2</v>
      </c>
      <c r="C16" s="272">
        <v>3</v>
      </c>
      <c r="D16" s="272">
        <v>4</v>
      </c>
      <c r="E16" s="271">
        <v>5</v>
      </c>
      <c r="F16" s="272">
        <v>6</v>
      </c>
    </row>
    <row r="17" spans="1:6" ht="77.25" customHeight="1">
      <c r="A17" s="287" t="s">
        <v>29</v>
      </c>
      <c r="B17" s="273" t="s">
        <v>729</v>
      </c>
      <c r="C17" s="274"/>
      <c r="D17" s="274"/>
      <c r="E17" s="273"/>
      <c r="F17" s="277">
        <f>F18+F21+F24</f>
        <v>392</v>
      </c>
    </row>
    <row r="18" spans="1:6" ht="51.75" customHeight="1">
      <c r="A18" s="288" t="s">
        <v>474</v>
      </c>
      <c r="B18" s="270" t="s">
        <v>732</v>
      </c>
      <c r="C18" s="275"/>
      <c r="D18" s="275"/>
      <c r="E18" s="270"/>
      <c r="F18" s="276">
        <f>F19</f>
        <v>260</v>
      </c>
    </row>
    <row r="19" spans="1:6" ht="72" customHeight="1">
      <c r="A19" s="288" t="s">
        <v>250</v>
      </c>
      <c r="B19" s="270" t="s">
        <v>733</v>
      </c>
      <c r="C19" s="275"/>
      <c r="D19" s="275"/>
      <c r="E19" s="270"/>
      <c r="F19" s="276">
        <f>F20</f>
        <v>260</v>
      </c>
    </row>
    <row r="20" spans="1:6" ht="15.75">
      <c r="A20" s="288" t="s">
        <v>613</v>
      </c>
      <c r="B20" s="270" t="s">
        <v>733</v>
      </c>
      <c r="C20" s="275" t="s">
        <v>389</v>
      </c>
      <c r="D20" s="275" t="s">
        <v>390</v>
      </c>
      <c r="E20" s="270">
        <v>340</v>
      </c>
      <c r="F20" s="276">
        <f>'Приложение 9'!Q340</f>
        <v>260</v>
      </c>
    </row>
    <row r="21" spans="1:6" ht="47.25">
      <c r="A21" s="288" t="s">
        <v>475</v>
      </c>
      <c r="B21" s="270" t="s">
        <v>744</v>
      </c>
      <c r="C21" s="275"/>
      <c r="D21" s="275"/>
      <c r="E21" s="270"/>
      <c r="F21" s="276">
        <f>F22</f>
        <v>60</v>
      </c>
    </row>
    <row r="22" spans="1:6" ht="60" customHeight="1">
      <c r="A22" s="288" t="s">
        <v>250</v>
      </c>
      <c r="B22" s="270" t="s">
        <v>745</v>
      </c>
      <c r="C22" s="275"/>
      <c r="D22" s="275"/>
      <c r="E22" s="270"/>
      <c r="F22" s="276">
        <f>F23</f>
        <v>60</v>
      </c>
    </row>
    <row r="23" spans="1:6" ht="47.25">
      <c r="A23" s="288" t="s">
        <v>720</v>
      </c>
      <c r="B23" s="270" t="s">
        <v>745</v>
      </c>
      <c r="C23" s="275" t="s">
        <v>389</v>
      </c>
      <c r="D23" s="275" t="s">
        <v>390</v>
      </c>
      <c r="E23" s="270">
        <v>240</v>
      </c>
      <c r="F23" s="276">
        <f>'Приложение 9'!Q343</f>
        <v>60</v>
      </c>
    </row>
    <row r="24" spans="1:6" ht="122.25" customHeight="1">
      <c r="A24" s="288" t="s">
        <v>518</v>
      </c>
      <c r="B24" s="270" t="s">
        <v>20</v>
      </c>
      <c r="C24" s="275"/>
      <c r="D24" s="275"/>
      <c r="E24" s="270"/>
      <c r="F24" s="276">
        <f>F25</f>
        <v>72</v>
      </c>
    </row>
    <row r="25" spans="1:6" ht="64.5" customHeight="1">
      <c r="A25" s="288" t="s">
        <v>250</v>
      </c>
      <c r="B25" s="270" t="s">
        <v>19</v>
      </c>
      <c r="C25" s="275"/>
      <c r="D25" s="275"/>
      <c r="E25" s="270"/>
      <c r="F25" s="276">
        <f>F26</f>
        <v>72</v>
      </c>
    </row>
    <row r="26" spans="1:6" ht="31.5">
      <c r="A26" s="288" t="s">
        <v>724</v>
      </c>
      <c r="B26" s="270" t="s">
        <v>19</v>
      </c>
      <c r="C26" s="275" t="s">
        <v>389</v>
      </c>
      <c r="D26" s="275" t="s">
        <v>392</v>
      </c>
      <c r="E26" s="270">
        <v>310</v>
      </c>
      <c r="F26" s="276">
        <f>'Приложение 9'!Q351</f>
        <v>72</v>
      </c>
    </row>
    <row r="27" spans="1:6" s="282" customFormat="1" ht="81.75" customHeight="1">
      <c r="A27" s="287" t="s">
        <v>774</v>
      </c>
      <c r="B27" s="273" t="s">
        <v>734</v>
      </c>
      <c r="C27" s="274"/>
      <c r="D27" s="274"/>
      <c r="E27" s="273"/>
      <c r="F27" s="277">
        <f>F28+F32+F35+F40+F43+F46+F49+F52</f>
        <v>63621.700000000004</v>
      </c>
    </row>
    <row r="28" spans="1:6" ht="31.5">
      <c r="A28" s="288" t="s">
        <v>661</v>
      </c>
      <c r="B28" s="270" t="s">
        <v>741</v>
      </c>
      <c r="C28" s="275"/>
      <c r="D28" s="275"/>
      <c r="E28" s="270"/>
      <c r="F28" s="276">
        <f>F29</f>
        <v>51547</v>
      </c>
    </row>
    <row r="29" spans="1:6" ht="47.25">
      <c r="A29" s="288" t="s">
        <v>740</v>
      </c>
      <c r="B29" s="270" t="s">
        <v>742</v>
      </c>
      <c r="C29" s="275"/>
      <c r="D29" s="275"/>
      <c r="E29" s="270"/>
      <c r="F29" s="276">
        <f>SUM(F30:F31)</f>
        <v>51547</v>
      </c>
    </row>
    <row r="30" spans="1:6" ht="47.25" hidden="1">
      <c r="A30" s="288" t="s">
        <v>720</v>
      </c>
      <c r="B30" s="270" t="s">
        <v>742</v>
      </c>
      <c r="C30" s="275" t="s">
        <v>730</v>
      </c>
      <c r="D30" s="275" t="s">
        <v>393</v>
      </c>
      <c r="E30" s="270">
        <v>240</v>
      </c>
      <c r="F30" s="276">
        <f>'Приложение 9'!Q114</f>
        <v>0</v>
      </c>
    </row>
    <row r="31" spans="1:6" ht="15.75">
      <c r="A31" s="288" t="s">
        <v>647</v>
      </c>
      <c r="B31" s="270" t="s">
        <v>742</v>
      </c>
      <c r="C31" s="275" t="s">
        <v>730</v>
      </c>
      <c r="D31" s="275" t="s">
        <v>393</v>
      </c>
      <c r="E31" s="270">
        <v>540</v>
      </c>
      <c r="F31" s="276">
        <f>'Приложение 9'!Q115</f>
        <v>51547</v>
      </c>
    </row>
    <row r="32" spans="1:6" ht="47.25">
      <c r="A32" s="288" t="s">
        <v>823</v>
      </c>
      <c r="B32" s="270" t="s">
        <v>735</v>
      </c>
      <c r="C32" s="275"/>
      <c r="D32" s="275"/>
      <c r="E32" s="270"/>
      <c r="F32" s="276">
        <f>F33</f>
        <v>443.9</v>
      </c>
    </row>
    <row r="33" spans="1:6" ht="31.5">
      <c r="A33" s="288" t="s">
        <v>762</v>
      </c>
      <c r="B33" s="270" t="s">
        <v>775</v>
      </c>
      <c r="C33" s="275"/>
      <c r="D33" s="275"/>
      <c r="E33" s="270"/>
      <c r="F33" s="276">
        <f>F34</f>
        <v>443.9</v>
      </c>
    </row>
    <row r="34" spans="1:6" ht="15.75">
      <c r="A34" s="288" t="s">
        <v>647</v>
      </c>
      <c r="B34" s="270" t="s">
        <v>775</v>
      </c>
      <c r="C34" s="275" t="s">
        <v>730</v>
      </c>
      <c r="D34" s="275" t="s">
        <v>393</v>
      </c>
      <c r="E34" s="270">
        <v>540</v>
      </c>
      <c r="F34" s="276">
        <f>'Приложение 9'!Q118</f>
        <v>443.9</v>
      </c>
    </row>
    <row r="35" spans="1:6" ht="33" customHeight="1">
      <c r="A35" s="288" t="s">
        <v>256</v>
      </c>
      <c r="B35" s="270" t="s">
        <v>736</v>
      </c>
      <c r="C35" s="275"/>
      <c r="D35" s="275"/>
      <c r="E35" s="270"/>
      <c r="F35" s="276">
        <f>F36+F38</f>
        <v>7678.900000000001</v>
      </c>
    </row>
    <row r="36" spans="1:6" ht="31.5">
      <c r="A36" s="288" t="s">
        <v>762</v>
      </c>
      <c r="B36" s="270" t="s">
        <v>278</v>
      </c>
      <c r="C36" s="275"/>
      <c r="D36" s="275"/>
      <c r="E36" s="270"/>
      <c r="F36" s="276">
        <f>F37</f>
        <v>6250.900000000001</v>
      </c>
    </row>
    <row r="37" spans="1:6" ht="47.25">
      <c r="A37" s="288" t="s">
        <v>720</v>
      </c>
      <c r="B37" s="270" t="s">
        <v>278</v>
      </c>
      <c r="C37" s="275" t="s">
        <v>730</v>
      </c>
      <c r="D37" s="275" t="s">
        <v>393</v>
      </c>
      <c r="E37" s="270">
        <v>240</v>
      </c>
      <c r="F37" s="276">
        <f>'Приложение 9'!Q121</f>
        <v>6250.900000000001</v>
      </c>
    </row>
    <row r="38" spans="1:6" ht="47.25">
      <c r="A38" s="11" t="s">
        <v>740</v>
      </c>
      <c r="B38" s="297" t="s">
        <v>201</v>
      </c>
      <c r="C38" s="275"/>
      <c r="D38" s="275"/>
      <c r="E38" s="270"/>
      <c r="F38" s="276">
        <f>F39</f>
        <v>1428</v>
      </c>
    </row>
    <row r="39" spans="1:6" ht="47.25">
      <c r="A39" s="5" t="s">
        <v>720</v>
      </c>
      <c r="B39" s="297" t="s">
        <v>201</v>
      </c>
      <c r="C39" s="298" t="s">
        <v>730</v>
      </c>
      <c r="D39" s="298" t="s">
        <v>393</v>
      </c>
      <c r="E39" s="270">
        <v>240</v>
      </c>
      <c r="F39" s="276">
        <f>'Приложение 9'!Q123</f>
        <v>1428</v>
      </c>
    </row>
    <row r="40" spans="1:6" ht="47.25">
      <c r="A40" s="288" t="s">
        <v>776</v>
      </c>
      <c r="B40" s="270" t="s">
        <v>737</v>
      </c>
      <c r="C40" s="275"/>
      <c r="D40" s="275"/>
      <c r="E40" s="270"/>
      <c r="F40" s="276">
        <f>F41</f>
        <v>200</v>
      </c>
    </row>
    <row r="41" spans="1:6" ht="31.5">
      <c r="A41" s="288" t="s">
        <v>762</v>
      </c>
      <c r="B41" s="270" t="s">
        <v>777</v>
      </c>
      <c r="C41" s="275"/>
      <c r="D41" s="275"/>
      <c r="E41" s="270"/>
      <c r="F41" s="276">
        <f>F42</f>
        <v>200</v>
      </c>
    </row>
    <row r="42" spans="1:6" ht="47.25">
      <c r="A42" s="288" t="s">
        <v>720</v>
      </c>
      <c r="B42" s="270" t="s">
        <v>777</v>
      </c>
      <c r="C42" s="275" t="s">
        <v>394</v>
      </c>
      <c r="D42" s="275" t="s">
        <v>393</v>
      </c>
      <c r="E42" s="270">
        <v>240</v>
      </c>
      <c r="F42" s="276">
        <f>'Приложение 9'!Q648</f>
        <v>200</v>
      </c>
    </row>
    <row r="43" spans="1:6" ht="63">
      <c r="A43" s="296" t="s">
        <v>163</v>
      </c>
      <c r="B43" s="270" t="s">
        <v>758</v>
      </c>
      <c r="C43" s="275"/>
      <c r="D43" s="275"/>
      <c r="E43" s="270"/>
      <c r="F43" s="276">
        <f>F44</f>
        <v>991.9000000000001</v>
      </c>
    </row>
    <row r="44" spans="1:6" ht="94.5">
      <c r="A44" s="288" t="s">
        <v>274</v>
      </c>
      <c r="B44" s="270" t="s">
        <v>275</v>
      </c>
      <c r="C44" s="275"/>
      <c r="D44" s="275"/>
      <c r="E44" s="270"/>
      <c r="F44" s="276">
        <f>F45</f>
        <v>991.9000000000001</v>
      </c>
    </row>
    <row r="45" spans="1:6" ht="15.75">
      <c r="A45" s="288" t="s">
        <v>647</v>
      </c>
      <c r="B45" s="270" t="s">
        <v>275</v>
      </c>
      <c r="C45" s="275" t="s">
        <v>730</v>
      </c>
      <c r="D45" s="275" t="s">
        <v>393</v>
      </c>
      <c r="E45" s="270">
        <v>540</v>
      </c>
      <c r="F45" s="276">
        <f>'Приложение 9'!Q127</f>
        <v>991.9000000000001</v>
      </c>
    </row>
    <row r="46" spans="1:6" ht="63">
      <c r="A46" s="288" t="s">
        <v>257</v>
      </c>
      <c r="B46" s="270" t="s">
        <v>779</v>
      </c>
      <c r="C46" s="275"/>
      <c r="D46" s="275"/>
      <c r="E46" s="270"/>
      <c r="F46" s="276">
        <f>F47</f>
        <v>2500</v>
      </c>
    </row>
    <row r="47" spans="1:6" s="268" customFormat="1" ht="63">
      <c r="A47" s="288" t="s">
        <v>254</v>
      </c>
      <c r="B47" s="286" t="s">
        <v>780</v>
      </c>
      <c r="C47" s="275"/>
      <c r="D47" s="275"/>
      <c r="E47" s="270"/>
      <c r="F47" s="276">
        <f>F48</f>
        <v>2500</v>
      </c>
    </row>
    <row r="48" spans="1:6" s="268" customFormat="1" ht="15.75">
      <c r="A48" s="288" t="s">
        <v>647</v>
      </c>
      <c r="B48" s="286" t="s">
        <v>780</v>
      </c>
      <c r="C48" s="275" t="s">
        <v>730</v>
      </c>
      <c r="D48" s="275" t="s">
        <v>393</v>
      </c>
      <c r="E48" s="270">
        <v>540</v>
      </c>
      <c r="F48" s="276">
        <f>'Приложение 9'!Q130</f>
        <v>2500</v>
      </c>
    </row>
    <row r="49" spans="1:6" s="268" customFormat="1" ht="47.25">
      <c r="A49" s="5" t="s">
        <v>164</v>
      </c>
      <c r="B49" s="349" t="s">
        <v>165</v>
      </c>
      <c r="C49" s="275"/>
      <c r="D49" s="275"/>
      <c r="E49" s="270"/>
      <c r="F49" s="276">
        <f>F50</f>
        <v>210</v>
      </c>
    </row>
    <row r="50" spans="1:6" s="268" customFormat="1" ht="31.5">
      <c r="A50" s="5" t="s">
        <v>762</v>
      </c>
      <c r="B50" s="349" t="s">
        <v>166</v>
      </c>
      <c r="C50" s="275"/>
      <c r="D50" s="275"/>
      <c r="E50" s="270"/>
      <c r="F50" s="276">
        <f>F51</f>
        <v>210</v>
      </c>
    </row>
    <row r="51" spans="1:6" s="268" customFormat="1" ht="47.25">
      <c r="A51" s="5" t="s">
        <v>720</v>
      </c>
      <c r="B51" s="349" t="s">
        <v>166</v>
      </c>
      <c r="C51" s="298" t="s">
        <v>730</v>
      </c>
      <c r="D51" s="298" t="s">
        <v>393</v>
      </c>
      <c r="E51" s="270">
        <v>240</v>
      </c>
      <c r="F51" s="276">
        <f>'Приложение 9'!Q133</f>
        <v>210</v>
      </c>
    </row>
    <row r="52" spans="1:6" s="268" customFormat="1" ht="31.5">
      <c r="A52" s="5" t="s">
        <v>762</v>
      </c>
      <c r="B52" s="349" t="s">
        <v>215</v>
      </c>
      <c r="C52" s="298"/>
      <c r="D52" s="298"/>
      <c r="E52" s="270"/>
      <c r="F52" s="276">
        <f>F53</f>
        <v>50</v>
      </c>
    </row>
    <row r="53" spans="1:6" s="268" customFormat="1" ht="15.75">
      <c r="A53" s="5" t="s">
        <v>781</v>
      </c>
      <c r="B53" s="349" t="s">
        <v>216</v>
      </c>
      <c r="C53" s="298" t="s">
        <v>730</v>
      </c>
      <c r="D53" s="298" t="s">
        <v>393</v>
      </c>
      <c r="E53" s="270">
        <v>540</v>
      </c>
      <c r="F53" s="276">
        <f>'Приложение 9'!Q136</f>
        <v>50</v>
      </c>
    </row>
    <row r="54" spans="1:6" s="285" customFormat="1" ht="63">
      <c r="A54" s="287" t="s">
        <v>271</v>
      </c>
      <c r="B54" s="273" t="s">
        <v>623</v>
      </c>
      <c r="C54" s="274"/>
      <c r="D54" s="274"/>
      <c r="E54" s="273"/>
      <c r="F54" s="277">
        <f>F55+F69+F88+F104+F109+F118+F128</f>
        <v>280186.5</v>
      </c>
    </row>
    <row r="55" spans="1:6" s="268" customFormat="1" ht="31.5">
      <c r="A55" s="288" t="s">
        <v>656</v>
      </c>
      <c r="B55" s="270" t="s">
        <v>624</v>
      </c>
      <c r="C55" s="275"/>
      <c r="D55" s="275"/>
      <c r="E55" s="270"/>
      <c r="F55" s="276">
        <f>F56+F58+F62+F64+F66+F60</f>
        <v>78639.49999999999</v>
      </c>
    </row>
    <row r="56" spans="1:6" s="268" customFormat="1" ht="31.5">
      <c r="A56" s="288" t="s">
        <v>342</v>
      </c>
      <c r="B56" s="270" t="s">
        <v>639</v>
      </c>
      <c r="C56" s="275"/>
      <c r="D56" s="275"/>
      <c r="E56" s="270"/>
      <c r="F56" s="276">
        <f>F57</f>
        <v>15</v>
      </c>
    </row>
    <row r="57" spans="1:6" s="268" customFormat="1" ht="47.25">
      <c r="A57" s="288" t="s">
        <v>720</v>
      </c>
      <c r="B57" s="270" t="s">
        <v>639</v>
      </c>
      <c r="C57" s="275" t="s">
        <v>731</v>
      </c>
      <c r="D57" s="275" t="s">
        <v>396</v>
      </c>
      <c r="E57" s="270">
        <v>240</v>
      </c>
      <c r="F57" s="276">
        <f>'Приложение 9'!Q540</f>
        <v>15</v>
      </c>
    </row>
    <row r="58" spans="1:6" s="268" customFormat="1" ht="15.75">
      <c r="A58" s="288" t="s">
        <v>331</v>
      </c>
      <c r="B58" s="270" t="s">
        <v>627</v>
      </c>
      <c r="C58" s="275"/>
      <c r="D58" s="275"/>
      <c r="E58" s="270"/>
      <c r="F58" s="276">
        <f>F59</f>
        <v>13014.2</v>
      </c>
    </row>
    <row r="59" spans="1:6" s="268" customFormat="1" ht="15.75">
      <c r="A59" s="288" t="s">
        <v>722</v>
      </c>
      <c r="B59" s="270" t="s">
        <v>627</v>
      </c>
      <c r="C59" s="275" t="s">
        <v>731</v>
      </c>
      <c r="D59" s="275" t="s">
        <v>395</v>
      </c>
      <c r="E59" s="270">
        <v>610</v>
      </c>
      <c r="F59" s="276">
        <f>'Приложение 9'!Q445</f>
        <v>13014.2</v>
      </c>
    </row>
    <row r="60" spans="1:6" s="268" customFormat="1" ht="78.75">
      <c r="A60" s="306" t="s">
        <v>61</v>
      </c>
      <c r="B60" s="297" t="s">
        <v>68</v>
      </c>
      <c r="C60" s="275"/>
      <c r="D60" s="275"/>
      <c r="E60" s="270"/>
      <c r="F60" s="276">
        <f>F61</f>
        <v>4477.9</v>
      </c>
    </row>
    <row r="61" spans="1:6" s="268" customFormat="1" ht="15.75">
      <c r="A61" s="3" t="s">
        <v>722</v>
      </c>
      <c r="B61" s="297" t="s">
        <v>68</v>
      </c>
      <c r="C61" s="298" t="s">
        <v>731</v>
      </c>
      <c r="D61" s="298" t="s">
        <v>395</v>
      </c>
      <c r="E61" s="270">
        <v>610</v>
      </c>
      <c r="F61" s="276">
        <f>'Приложение 9'!Q447</f>
        <v>4477.9</v>
      </c>
    </row>
    <row r="62" spans="1:6" s="268" customFormat="1" ht="31.5">
      <c r="A62" s="288" t="s">
        <v>334</v>
      </c>
      <c r="B62" s="270" t="s">
        <v>630</v>
      </c>
      <c r="C62" s="275"/>
      <c r="D62" s="275"/>
      <c r="E62" s="270"/>
      <c r="F62" s="276">
        <f>F63</f>
        <v>172.5</v>
      </c>
    </row>
    <row r="63" spans="1:6" s="268" customFormat="1" ht="15.75">
      <c r="A63" s="288" t="s">
        <v>722</v>
      </c>
      <c r="B63" s="270" t="s">
        <v>630</v>
      </c>
      <c r="C63" s="275" t="s">
        <v>731</v>
      </c>
      <c r="D63" s="275" t="s">
        <v>398</v>
      </c>
      <c r="E63" s="270">
        <v>610</v>
      </c>
      <c r="F63" s="276">
        <f>'Приложение 9'!Q472</f>
        <v>172.5</v>
      </c>
    </row>
    <row r="64" spans="1:6" s="268" customFormat="1" ht="94.5">
      <c r="A64" s="288" t="s">
        <v>333</v>
      </c>
      <c r="B64" s="270" t="s">
        <v>625</v>
      </c>
      <c r="C64" s="275"/>
      <c r="D64" s="275"/>
      <c r="E64" s="270"/>
      <c r="F64" s="276">
        <f>F65</f>
        <v>57402.5</v>
      </c>
    </row>
    <row r="65" spans="1:6" s="268" customFormat="1" ht="15.75">
      <c r="A65" s="288" t="s">
        <v>722</v>
      </c>
      <c r="B65" s="270" t="s">
        <v>625</v>
      </c>
      <c r="C65" s="275" t="s">
        <v>731</v>
      </c>
      <c r="D65" s="275" t="s">
        <v>395</v>
      </c>
      <c r="E65" s="270">
        <v>610</v>
      </c>
      <c r="F65" s="276">
        <f>'Приложение 9'!Q449</f>
        <v>57402.5</v>
      </c>
    </row>
    <row r="66" spans="1:6" s="268" customFormat="1" ht="126">
      <c r="A66" s="288" t="s">
        <v>330</v>
      </c>
      <c r="B66" s="270" t="s">
        <v>626</v>
      </c>
      <c r="C66" s="275"/>
      <c r="D66" s="275"/>
      <c r="E66" s="270"/>
      <c r="F66" s="276">
        <f>SUM(F67:F68)</f>
        <v>3557.4</v>
      </c>
    </row>
    <row r="67" spans="1:6" s="268" customFormat="1" ht="47.25">
      <c r="A67" s="288" t="s">
        <v>725</v>
      </c>
      <c r="B67" s="270" t="s">
        <v>626</v>
      </c>
      <c r="C67" s="275" t="s">
        <v>731</v>
      </c>
      <c r="D67" s="275" t="s">
        <v>397</v>
      </c>
      <c r="E67" s="270">
        <v>320</v>
      </c>
      <c r="F67" s="276">
        <f>'Приложение 9'!Q608</f>
        <v>3455.1</v>
      </c>
    </row>
    <row r="68" spans="1:6" ht="15.75">
      <c r="A68" s="288" t="s">
        <v>722</v>
      </c>
      <c r="B68" s="270" t="s">
        <v>626</v>
      </c>
      <c r="C68" s="275" t="s">
        <v>731</v>
      </c>
      <c r="D68" s="275" t="s">
        <v>396</v>
      </c>
      <c r="E68" s="270">
        <v>610</v>
      </c>
      <c r="F68" s="276">
        <f>'Приложение 9'!Q542</f>
        <v>102.3</v>
      </c>
    </row>
    <row r="69" spans="1:6" ht="31.5">
      <c r="A69" s="288" t="s">
        <v>657</v>
      </c>
      <c r="B69" s="270" t="s">
        <v>631</v>
      </c>
      <c r="C69" s="275"/>
      <c r="D69" s="275"/>
      <c r="E69" s="270"/>
      <c r="F69" s="276">
        <f>F70+F74+F81+F83+F79+F72+F77+F86</f>
        <v>160108.3</v>
      </c>
    </row>
    <row r="70" spans="1:6" ht="31.5">
      <c r="A70" s="288" t="s">
        <v>342</v>
      </c>
      <c r="B70" s="270" t="s">
        <v>640</v>
      </c>
      <c r="C70" s="275"/>
      <c r="D70" s="275"/>
      <c r="E70" s="270"/>
      <c r="F70" s="276">
        <f>F71</f>
        <v>50</v>
      </c>
    </row>
    <row r="71" spans="1:6" ht="47.25">
      <c r="A71" s="288" t="s">
        <v>720</v>
      </c>
      <c r="B71" s="270" t="s">
        <v>640</v>
      </c>
      <c r="C71" s="275" t="s">
        <v>731</v>
      </c>
      <c r="D71" s="275" t="s">
        <v>396</v>
      </c>
      <c r="E71" s="270">
        <v>240</v>
      </c>
      <c r="F71" s="276">
        <f>'Приложение 9'!Q545</f>
        <v>50</v>
      </c>
    </row>
    <row r="72" spans="1:6" ht="94.5">
      <c r="A72" s="259" t="s">
        <v>501</v>
      </c>
      <c r="B72" s="297" t="s">
        <v>136</v>
      </c>
      <c r="C72" s="275"/>
      <c r="D72" s="275"/>
      <c r="E72" s="270"/>
      <c r="F72" s="276">
        <f>F73</f>
        <v>6</v>
      </c>
    </row>
    <row r="73" spans="1:6" ht="31.5">
      <c r="A73" s="259" t="s">
        <v>723</v>
      </c>
      <c r="B73" s="297" t="s">
        <v>136</v>
      </c>
      <c r="C73" s="298" t="s">
        <v>731</v>
      </c>
      <c r="D73" s="298" t="s">
        <v>396</v>
      </c>
      <c r="E73" s="270">
        <v>110</v>
      </c>
      <c r="F73" s="276">
        <f>'Приложение 9'!Q547</f>
        <v>6</v>
      </c>
    </row>
    <row r="74" spans="1:6" ht="31.5">
      <c r="A74" s="288" t="s">
        <v>334</v>
      </c>
      <c r="B74" s="270" t="s">
        <v>632</v>
      </c>
      <c r="C74" s="275"/>
      <c r="D74" s="275"/>
      <c r="E74" s="270"/>
      <c r="F74" s="276">
        <f>SUM(F75:F76)</f>
        <v>32096.1</v>
      </c>
    </row>
    <row r="75" spans="1:6" ht="47.25">
      <c r="A75" s="288" t="s">
        <v>720</v>
      </c>
      <c r="B75" s="270" t="s">
        <v>632</v>
      </c>
      <c r="C75" s="275" t="s">
        <v>731</v>
      </c>
      <c r="D75" s="275" t="s">
        <v>398</v>
      </c>
      <c r="E75" s="270">
        <v>240</v>
      </c>
      <c r="F75" s="276">
        <f>'Приложение 9'!Q475</f>
        <v>0</v>
      </c>
    </row>
    <row r="76" spans="1:6" ht="15.75">
      <c r="A76" s="288" t="s">
        <v>722</v>
      </c>
      <c r="B76" s="270" t="s">
        <v>632</v>
      </c>
      <c r="C76" s="275" t="s">
        <v>731</v>
      </c>
      <c r="D76" s="275" t="s">
        <v>398</v>
      </c>
      <c r="E76" s="270">
        <v>610</v>
      </c>
      <c r="F76" s="276">
        <f>'Приложение 9'!Q476</f>
        <v>32096.1</v>
      </c>
    </row>
    <row r="77" spans="1:6" ht="220.5">
      <c r="A77" s="20" t="s">
        <v>226</v>
      </c>
      <c r="B77" s="297" t="s">
        <v>227</v>
      </c>
      <c r="C77" s="275"/>
      <c r="D77" s="275"/>
      <c r="E77" s="270"/>
      <c r="F77" s="276">
        <f>F78</f>
        <v>3114.4</v>
      </c>
    </row>
    <row r="78" spans="1:6" ht="15.75">
      <c r="A78" s="20" t="s">
        <v>722</v>
      </c>
      <c r="B78" s="297" t="s">
        <v>227</v>
      </c>
      <c r="C78" s="298" t="s">
        <v>731</v>
      </c>
      <c r="D78" s="298" t="s">
        <v>398</v>
      </c>
      <c r="E78" s="270">
        <v>610</v>
      </c>
      <c r="F78" s="276">
        <f>'Приложение 9'!Q478</f>
        <v>3114.4</v>
      </c>
    </row>
    <row r="79" spans="1:6" ht="78.75">
      <c r="A79" s="20" t="s">
        <v>61</v>
      </c>
      <c r="B79" s="297" t="s">
        <v>69</v>
      </c>
      <c r="C79" s="275"/>
      <c r="D79" s="275"/>
      <c r="E79" s="270"/>
      <c r="F79" s="276">
        <f>F80</f>
        <v>10448.9</v>
      </c>
    </row>
    <row r="80" spans="1:6" ht="15.75">
      <c r="A80" s="20" t="s">
        <v>722</v>
      </c>
      <c r="B80" s="297" t="s">
        <v>69</v>
      </c>
      <c r="C80" s="298" t="s">
        <v>731</v>
      </c>
      <c r="D80" s="298" t="s">
        <v>398</v>
      </c>
      <c r="E80" s="270">
        <v>610</v>
      </c>
      <c r="F80" s="276">
        <f>'Приложение 9'!Q480</f>
        <v>10448.9</v>
      </c>
    </row>
    <row r="81" spans="1:6" ht="94.5">
      <c r="A81" s="288" t="s">
        <v>333</v>
      </c>
      <c r="B81" s="270" t="s">
        <v>633</v>
      </c>
      <c r="C81" s="275"/>
      <c r="D81" s="275"/>
      <c r="E81" s="270"/>
      <c r="F81" s="276">
        <f>F82</f>
        <v>103197.9</v>
      </c>
    </row>
    <row r="82" spans="1:6" ht="15.75">
      <c r="A82" s="288" t="s">
        <v>722</v>
      </c>
      <c r="B82" s="270" t="s">
        <v>633</v>
      </c>
      <c r="C82" s="275" t="s">
        <v>731</v>
      </c>
      <c r="D82" s="275" t="s">
        <v>398</v>
      </c>
      <c r="E82" s="270">
        <v>610</v>
      </c>
      <c r="F82" s="276">
        <f>'Приложение 9'!Q482</f>
        <v>103197.9</v>
      </c>
    </row>
    <row r="83" spans="1:6" ht="126">
      <c r="A83" s="288" t="s">
        <v>330</v>
      </c>
      <c r="B83" s="270" t="s">
        <v>634</v>
      </c>
      <c r="C83" s="275"/>
      <c r="D83" s="275"/>
      <c r="E83" s="270"/>
      <c r="F83" s="276">
        <f>SUM(F84:F85)</f>
        <v>10306.5</v>
      </c>
    </row>
    <row r="84" spans="1:6" ht="47.25">
      <c r="A84" s="288" t="s">
        <v>725</v>
      </c>
      <c r="B84" s="270" t="s">
        <v>634</v>
      </c>
      <c r="C84" s="275" t="s">
        <v>731</v>
      </c>
      <c r="D84" s="275" t="s">
        <v>396</v>
      </c>
      <c r="E84" s="270">
        <v>320</v>
      </c>
      <c r="F84" s="276">
        <f>'Приложение 9'!Q549</f>
        <v>1956.6</v>
      </c>
    </row>
    <row r="85" spans="1:6" ht="15.75">
      <c r="A85" s="288" t="s">
        <v>722</v>
      </c>
      <c r="B85" s="270" t="s">
        <v>634</v>
      </c>
      <c r="C85" s="275" t="s">
        <v>731</v>
      </c>
      <c r="D85" s="275" t="s">
        <v>396</v>
      </c>
      <c r="E85" s="270">
        <v>610</v>
      </c>
      <c r="F85" s="276">
        <f>'Приложение 9'!Q550</f>
        <v>8349.9</v>
      </c>
    </row>
    <row r="86" spans="1:6" ht="78.75">
      <c r="A86" s="20" t="s">
        <v>229</v>
      </c>
      <c r="B86" s="297" t="s">
        <v>230</v>
      </c>
      <c r="C86" s="275"/>
      <c r="D86" s="275"/>
      <c r="E86" s="270"/>
      <c r="F86" s="276">
        <f>F87</f>
        <v>888.5</v>
      </c>
    </row>
    <row r="87" spans="1:6" ht="15.75">
      <c r="A87" s="20" t="s">
        <v>722</v>
      </c>
      <c r="B87" s="297" t="s">
        <v>230</v>
      </c>
      <c r="C87" s="298" t="s">
        <v>731</v>
      </c>
      <c r="D87" s="298" t="s">
        <v>398</v>
      </c>
      <c r="E87" s="270">
        <v>610</v>
      </c>
      <c r="F87" s="276">
        <f>'Приложение 9'!Q484</f>
        <v>888.5</v>
      </c>
    </row>
    <row r="88" spans="1:6" ht="47.25">
      <c r="A88" s="288" t="s">
        <v>792</v>
      </c>
      <c r="B88" s="270" t="s">
        <v>635</v>
      </c>
      <c r="C88" s="275"/>
      <c r="D88" s="275"/>
      <c r="E88" s="270"/>
      <c r="F88" s="276">
        <f>F89+F91+F93+F95+F97+F101+F99</f>
        <v>6439.700000000001</v>
      </c>
    </row>
    <row r="89" spans="1:6" ht="31.5">
      <c r="A89" s="288" t="s">
        <v>342</v>
      </c>
      <c r="B89" s="270" t="s">
        <v>752</v>
      </c>
      <c r="C89" s="275"/>
      <c r="D89" s="275"/>
      <c r="E89" s="270"/>
      <c r="F89" s="276">
        <f>F90</f>
        <v>1507</v>
      </c>
    </row>
    <row r="90" spans="1:6" ht="78.75">
      <c r="A90" s="296" t="s">
        <v>210</v>
      </c>
      <c r="B90" s="270" t="s">
        <v>752</v>
      </c>
      <c r="C90" s="275" t="s">
        <v>731</v>
      </c>
      <c r="D90" s="275" t="s">
        <v>396</v>
      </c>
      <c r="E90" s="270">
        <v>630</v>
      </c>
      <c r="F90" s="276">
        <f>'Приложение 9'!Q554</f>
        <v>1507</v>
      </c>
    </row>
    <row r="91" spans="1:6" ht="31.5">
      <c r="A91" s="288" t="s">
        <v>334</v>
      </c>
      <c r="B91" s="270" t="s">
        <v>636</v>
      </c>
      <c r="C91" s="275"/>
      <c r="D91" s="275"/>
      <c r="E91" s="270"/>
      <c r="F91" s="276">
        <f>F92</f>
        <v>122</v>
      </c>
    </row>
    <row r="92" spans="1:6" ht="15.75">
      <c r="A92" s="288" t="s">
        <v>722</v>
      </c>
      <c r="B92" s="270" t="s">
        <v>636</v>
      </c>
      <c r="C92" s="275" t="s">
        <v>731</v>
      </c>
      <c r="D92" s="275" t="s">
        <v>398</v>
      </c>
      <c r="E92" s="270">
        <v>610</v>
      </c>
      <c r="F92" s="276">
        <f>'Приложение 9'!Q487</f>
        <v>122</v>
      </c>
    </row>
    <row r="93" spans="1:6" ht="94.5">
      <c r="A93" s="288" t="s">
        <v>501</v>
      </c>
      <c r="B93" s="270" t="s">
        <v>749</v>
      </c>
      <c r="C93" s="275"/>
      <c r="D93" s="275"/>
      <c r="E93" s="270"/>
      <c r="F93" s="276">
        <f>F94</f>
        <v>5</v>
      </c>
    </row>
    <row r="94" spans="1:6" ht="47.25">
      <c r="A94" s="288" t="s">
        <v>720</v>
      </c>
      <c r="B94" s="270" t="s">
        <v>749</v>
      </c>
      <c r="C94" s="275" t="s">
        <v>731</v>
      </c>
      <c r="D94" s="275" t="s">
        <v>396</v>
      </c>
      <c r="E94" s="270">
        <v>240</v>
      </c>
      <c r="F94" s="276">
        <f>'Приложение 9'!Q556</f>
        <v>5</v>
      </c>
    </row>
    <row r="95" spans="1:6" ht="31.5">
      <c r="A95" s="288" t="s">
        <v>335</v>
      </c>
      <c r="B95" s="270" t="s">
        <v>638</v>
      </c>
      <c r="C95" s="275"/>
      <c r="D95" s="275"/>
      <c r="E95" s="270"/>
      <c r="F95" s="276">
        <f>F96</f>
        <v>2910.1</v>
      </c>
    </row>
    <row r="96" spans="1:6" ht="15.75">
      <c r="A96" s="288" t="s">
        <v>722</v>
      </c>
      <c r="B96" s="270" t="s">
        <v>638</v>
      </c>
      <c r="C96" s="275" t="s">
        <v>731</v>
      </c>
      <c r="D96" s="275" t="s">
        <v>399</v>
      </c>
      <c r="E96" s="270">
        <v>610</v>
      </c>
      <c r="F96" s="276">
        <f>'Приложение 9'!Q528</f>
        <v>2910.1</v>
      </c>
    </row>
    <row r="97" spans="1:6" ht="78.75">
      <c r="A97" s="5" t="s">
        <v>61</v>
      </c>
      <c r="B97" s="297" t="s">
        <v>70</v>
      </c>
      <c r="C97" s="275"/>
      <c r="D97" s="275"/>
      <c r="E97" s="270"/>
      <c r="F97" s="276">
        <f>F98</f>
        <v>1093.1</v>
      </c>
    </row>
    <row r="98" spans="1:6" ht="15.75">
      <c r="A98" s="5" t="s">
        <v>722</v>
      </c>
      <c r="B98" s="297" t="s">
        <v>70</v>
      </c>
      <c r="C98" s="298" t="s">
        <v>731</v>
      </c>
      <c r="D98" s="298" t="s">
        <v>399</v>
      </c>
      <c r="E98" s="270">
        <v>610</v>
      </c>
      <c r="F98" s="276">
        <f>'Приложение 9'!Q530</f>
        <v>1093.1</v>
      </c>
    </row>
    <row r="99" spans="1:6" ht="63">
      <c r="A99" s="5" t="s">
        <v>232</v>
      </c>
      <c r="B99" s="297" t="s">
        <v>233</v>
      </c>
      <c r="C99" s="298"/>
      <c r="D99" s="298"/>
      <c r="E99" s="270"/>
      <c r="F99" s="276">
        <f>F100</f>
        <v>73.7</v>
      </c>
    </row>
    <row r="100" spans="1:6" ht="15.75">
      <c r="A100" s="5" t="s">
        <v>722</v>
      </c>
      <c r="B100" s="297" t="s">
        <v>233</v>
      </c>
      <c r="C100" s="298" t="s">
        <v>731</v>
      </c>
      <c r="D100" s="298" t="s">
        <v>399</v>
      </c>
      <c r="E100" s="270">
        <v>610</v>
      </c>
      <c r="F100" s="276">
        <f>'Приложение 9'!Q532</f>
        <v>73.7</v>
      </c>
    </row>
    <row r="101" spans="1:6" ht="47.25">
      <c r="A101" s="5" t="s">
        <v>126</v>
      </c>
      <c r="B101" s="297" t="s">
        <v>127</v>
      </c>
      <c r="C101" s="298"/>
      <c r="D101" s="298"/>
      <c r="E101" s="270"/>
      <c r="F101" s="276">
        <f>F102</f>
        <v>728.8</v>
      </c>
    </row>
    <row r="102" spans="1:6" ht="78.75">
      <c r="A102" s="5" t="s">
        <v>131</v>
      </c>
      <c r="B102" s="297" t="s">
        <v>82</v>
      </c>
      <c r="C102" s="298"/>
      <c r="D102" s="298"/>
      <c r="E102" s="270"/>
      <c r="F102" s="276">
        <v>728.8</v>
      </c>
    </row>
    <row r="103" spans="1:6" ht="15.75">
      <c r="A103" s="5" t="s">
        <v>722</v>
      </c>
      <c r="B103" s="297" t="s">
        <v>82</v>
      </c>
      <c r="C103" s="298" t="s">
        <v>731</v>
      </c>
      <c r="D103" s="298" t="s">
        <v>399</v>
      </c>
      <c r="E103" s="270">
        <v>610</v>
      </c>
      <c r="F103" s="276">
        <v>728.8</v>
      </c>
    </row>
    <row r="104" spans="1:6" ht="38.25" customHeight="1">
      <c r="A104" s="288" t="s">
        <v>658</v>
      </c>
      <c r="B104" s="270" t="s">
        <v>637</v>
      </c>
      <c r="C104" s="275"/>
      <c r="D104" s="275"/>
      <c r="E104" s="270"/>
      <c r="F104" s="276">
        <f>F105+F107</f>
        <v>41.5</v>
      </c>
    </row>
    <row r="105" spans="1:6" ht="31.5">
      <c r="A105" s="288" t="s">
        <v>342</v>
      </c>
      <c r="B105" s="270" t="s">
        <v>641</v>
      </c>
      <c r="C105" s="275"/>
      <c r="D105" s="275"/>
      <c r="E105" s="270"/>
      <c r="F105" s="276">
        <f>F106</f>
        <v>41.5</v>
      </c>
    </row>
    <row r="106" spans="1:6" ht="47.25">
      <c r="A106" s="288" t="s">
        <v>720</v>
      </c>
      <c r="B106" s="270" t="s">
        <v>641</v>
      </c>
      <c r="C106" s="275" t="s">
        <v>731</v>
      </c>
      <c r="D106" s="275" t="s">
        <v>396</v>
      </c>
      <c r="E106" s="270">
        <v>240</v>
      </c>
      <c r="F106" s="276">
        <f>'Приложение 9'!Q559</f>
        <v>41.5</v>
      </c>
    </row>
    <row r="107" spans="1:6" ht="94.5" hidden="1">
      <c r="A107" s="288" t="s">
        <v>501</v>
      </c>
      <c r="B107" s="270" t="s">
        <v>312</v>
      </c>
      <c r="C107" s="275"/>
      <c r="D107" s="275"/>
      <c r="E107" s="270"/>
      <c r="F107" s="276">
        <f>F108</f>
        <v>0</v>
      </c>
    </row>
    <row r="108" spans="1:6" ht="47.25" hidden="1">
      <c r="A108" s="288" t="s">
        <v>720</v>
      </c>
      <c r="B108" s="270" t="s">
        <v>312</v>
      </c>
      <c r="C108" s="275" t="s">
        <v>731</v>
      </c>
      <c r="D108" s="275" t="s">
        <v>396</v>
      </c>
      <c r="E108" s="270">
        <v>240</v>
      </c>
      <c r="F108" s="276">
        <f>'Приложение 9'!Q561</f>
        <v>0</v>
      </c>
    </row>
    <row r="109" spans="1:6" ht="47.25">
      <c r="A109" s="296" t="s">
        <v>793</v>
      </c>
      <c r="B109" s="270" t="s">
        <v>628</v>
      </c>
      <c r="C109" s="275"/>
      <c r="D109" s="275"/>
      <c r="E109" s="270"/>
      <c r="F109" s="276">
        <f>F110+F112+F114+F116</f>
        <v>27933</v>
      </c>
    </row>
    <row r="110" spans="1:6" ht="15.75">
      <c r="A110" s="288" t="s">
        <v>331</v>
      </c>
      <c r="B110" s="270" t="s">
        <v>629</v>
      </c>
      <c r="C110" s="275"/>
      <c r="D110" s="275"/>
      <c r="E110" s="270"/>
      <c r="F110" s="276">
        <f>F111</f>
        <v>455</v>
      </c>
    </row>
    <row r="111" spans="1:6" ht="15.75">
      <c r="A111" s="288" t="s">
        <v>722</v>
      </c>
      <c r="B111" s="270" t="s">
        <v>629</v>
      </c>
      <c r="C111" s="275" t="s">
        <v>731</v>
      </c>
      <c r="D111" s="275" t="s">
        <v>395</v>
      </c>
      <c r="E111" s="270">
        <v>610</v>
      </c>
      <c r="F111" s="276">
        <f>'Приложение 9'!Q452</f>
        <v>455</v>
      </c>
    </row>
    <row r="112" spans="1:6" ht="31.5">
      <c r="A112" s="288" t="s">
        <v>334</v>
      </c>
      <c r="B112" s="270" t="s">
        <v>738</v>
      </c>
      <c r="C112" s="275"/>
      <c r="D112" s="275"/>
      <c r="E112" s="270"/>
      <c r="F112" s="276">
        <f>F113</f>
        <v>1744.8</v>
      </c>
    </row>
    <row r="113" spans="1:6" ht="15.75">
      <c r="A113" s="288" t="s">
        <v>722</v>
      </c>
      <c r="B113" s="270" t="s">
        <v>738</v>
      </c>
      <c r="C113" s="275" t="s">
        <v>731</v>
      </c>
      <c r="D113" s="275" t="s">
        <v>398</v>
      </c>
      <c r="E113" s="270">
        <v>610</v>
      </c>
      <c r="F113" s="276">
        <f>'Приложение 9'!Q490</f>
        <v>1744.8</v>
      </c>
    </row>
    <row r="114" spans="1:6" ht="48.75" customHeight="1">
      <c r="A114" s="288" t="s">
        <v>294</v>
      </c>
      <c r="B114" s="270" t="s">
        <v>772</v>
      </c>
      <c r="C114" s="275"/>
      <c r="D114" s="275"/>
      <c r="E114" s="270"/>
      <c r="F114" s="276">
        <f>F115</f>
        <v>24830</v>
      </c>
    </row>
    <row r="115" spans="1:6" ht="15.75">
      <c r="A115" s="288" t="s">
        <v>722</v>
      </c>
      <c r="B115" s="270" t="s">
        <v>772</v>
      </c>
      <c r="C115" s="275" t="s">
        <v>731</v>
      </c>
      <c r="D115" s="275" t="s">
        <v>398</v>
      </c>
      <c r="E115" s="270">
        <v>610</v>
      </c>
      <c r="F115" s="276">
        <f>'Приложение 9'!Q492</f>
        <v>24830</v>
      </c>
    </row>
    <row r="116" spans="1:6" ht="31.5">
      <c r="A116" s="320" t="s">
        <v>212</v>
      </c>
      <c r="B116" s="297" t="s">
        <v>213</v>
      </c>
      <c r="C116" s="275"/>
      <c r="D116" s="275"/>
      <c r="E116" s="270"/>
      <c r="F116" s="276">
        <f>F117</f>
        <v>903.2</v>
      </c>
    </row>
    <row r="117" spans="1:6" ht="15.75">
      <c r="A117" s="5" t="s">
        <v>722</v>
      </c>
      <c r="B117" s="297" t="s">
        <v>213</v>
      </c>
      <c r="C117" s="298" t="s">
        <v>731</v>
      </c>
      <c r="D117" s="298" t="s">
        <v>398</v>
      </c>
      <c r="E117" s="270">
        <v>610</v>
      </c>
      <c r="F117" s="276">
        <f>'Приложение 9'!Q494</f>
        <v>903.2</v>
      </c>
    </row>
    <row r="118" spans="1:6" ht="47.25">
      <c r="A118" s="288" t="s">
        <v>14</v>
      </c>
      <c r="B118" s="270" t="s">
        <v>642</v>
      </c>
      <c r="C118" s="275"/>
      <c r="D118" s="275"/>
      <c r="E118" s="270"/>
      <c r="F118" s="276">
        <f>F119+F124+F122</f>
        <v>4790.1</v>
      </c>
    </row>
    <row r="119" spans="1:6" ht="31.5">
      <c r="A119" s="288" t="s">
        <v>342</v>
      </c>
      <c r="B119" s="270" t="s">
        <v>15</v>
      </c>
      <c r="C119" s="275"/>
      <c r="D119" s="275"/>
      <c r="E119" s="270"/>
      <c r="F119" s="276">
        <f>SUM(F120:F121)</f>
        <v>3515</v>
      </c>
    </row>
    <row r="120" spans="1:6" ht="47.25">
      <c r="A120" s="288" t="s">
        <v>533</v>
      </c>
      <c r="B120" s="270" t="s">
        <v>15</v>
      </c>
      <c r="C120" s="275" t="s">
        <v>731</v>
      </c>
      <c r="D120" s="275" t="s">
        <v>396</v>
      </c>
      <c r="E120" s="270">
        <v>120</v>
      </c>
      <c r="F120" s="276">
        <f>'Приложение 9'!Q564</f>
        <v>3274.3</v>
      </c>
    </row>
    <row r="121" spans="1:6" ht="47.25">
      <c r="A121" s="288" t="s">
        <v>720</v>
      </c>
      <c r="B121" s="270" t="s">
        <v>15</v>
      </c>
      <c r="C121" s="275" t="s">
        <v>731</v>
      </c>
      <c r="D121" s="275" t="s">
        <v>396</v>
      </c>
      <c r="E121" s="270">
        <v>240</v>
      </c>
      <c r="F121" s="276">
        <f>'Приложение 9'!Q565</f>
        <v>240.7</v>
      </c>
    </row>
    <row r="122" spans="1:6" ht="78.75">
      <c r="A122" s="259" t="s">
        <v>61</v>
      </c>
      <c r="B122" s="297" t="s">
        <v>99</v>
      </c>
      <c r="C122" s="275"/>
      <c r="D122" s="275"/>
      <c r="E122" s="270"/>
      <c r="F122" s="276">
        <f>F123</f>
        <v>655.5</v>
      </c>
    </row>
    <row r="123" spans="1:6" ht="36" customHeight="1">
      <c r="A123" s="22" t="s">
        <v>533</v>
      </c>
      <c r="B123" s="297" t="s">
        <v>99</v>
      </c>
      <c r="C123" s="298" t="s">
        <v>731</v>
      </c>
      <c r="D123" s="298" t="s">
        <v>396</v>
      </c>
      <c r="E123" s="270">
        <v>120</v>
      </c>
      <c r="F123" s="276">
        <f>'Приложение 9'!Q568</f>
        <v>655.5</v>
      </c>
    </row>
    <row r="124" spans="1:6" ht="94.5">
      <c r="A124" s="288" t="s">
        <v>501</v>
      </c>
      <c r="B124" s="270" t="s">
        <v>643</v>
      </c>
      <c r="C124" s="275"/>
      <c r="D124" s="275"/>
      <c r="E124" s="270"/>
      <c r="F124" s="276">
        <f>SUM(F125:F127)</f>
        <v>619.6000000000001</v>
      </c>
    </row>
    <row r="125" spans="1:6" ht="31.5">
      <c r="A125" s="288" t="s">
        <v>723</v>
      </c>
      <c r="B125" s="270" t="s">
        <v>643</v>
      </c>
      <c r="C125" s="275" t="s">
        <v>731</v>
      </c>
      <c r="D125" s="275" t="s">
        <v>396</v>
      </c>
      <c r="E125" s="270">
        <v>110</v>
      </c>
      <c r="F125" s="276">
        <f>'Приложение 9'!Q570</f>
        <v>587.1000000000001</v>
      </c>
    </row>
    <row r="126" spans="1:6" ht="47.25">
      <c r="A126" s="288" t="s">
        <v>720</v>
      </c>
      <c r="B126" s="270" t="s">
        <v>643</v>
      </c>
      <c r="C126" s="275" t="s">
        <v>731</v>
      </c>
      <c r="D126" s="275" t="s">
        <v>396</v>
      </c>
      <c r="E126" s="270">
        <v>240</v>
      </c>
      <c r="F126" s="276">
        <f>'Приложение 9'!Q571</f>
        <v>32.2</v>
      </c>
    </row>
    <row r="127" spans="1:6" ht="15.75">
      <c r="A127" s="11" t="s">
        <v>721</v>
      </c>
      <c r="B127" s="270" t="s">
        <v>643</v>
      </c>
      <c r="C127" s="275" t="s">
        <v>731</v>
      </c>
      <c r="D127" s="275" t="s">
        <v>396</v>
      </c>
      <c r="E127" s="270">
        <v>850</v>
      </c>
      <c r="F127" s="276">
        <f>'Приложение 9'!Q572</f>
        <v>0.30000000000000004</v>
      </c>
    </row>
    <row r="128" spans="1:6" ht="47.25">
      <c r="A128" s="296" t="s">
        <v>128</v>
      </c>
      <c r="B128" s="297" t="s">
        <v>129</v>
      </c>
      <c r="C128" s="275"/>
      <c r="D128" s="275"/>
      <c r="E128" s="270"/>
      <c r="F128" s="276">
        <f>F129</f>
        <v>2234.4</v>
      </c>
    </row>
    <row r="129" spans="1:6" ht="119.25" customHeight="1">
      <c r="A129" s="288" t="s">
        <v>691</v>
      </c>
      <c r="B129" s="297" t="s">
        <v>75</v>
      </c>
      <c r="C129" s="275"/>
      <c r="D129" s="275"/>
      <c r="E129" s="270"/>
      <c r="F129" s="276">
        <f>F130</f>
        <v>2234.4</v>
      </c>
    </row>
    <row r="130" spans="1:6" ht="15.75">
      <c r="A130" s="288" t="s">
        <v>722</v>
      </c>
      <c r="B130" s="297" t="s">
        <v>75</v>
      </c>
      <c r="C130" s="275" t="s">
        <v>731</v>
      </c>
      <c r="D130" s="298" t="s">
        <v>398</v>
      </c>
      <c r="E130" s="270">
        <v>610</v>
      </c>
      <c r="F130" s="276">
        <f>'Приложение 9'!Q497</f>
        <v>2234.4</v>
      </c>
    </row>
    <row r="131" spans="1:6" s="282" customFormat="1" ht="63">
      <c r="A131" s="287" t="s">
        <v>21</v>
      </c>
      <c r="B131" s="273" t="s">
        <v>355</v>
      </c>
      <c r="C131" s="274"/>
      <c r="D131" s="274"/>
      <c r="E131" s="273"/>
      <c r="F131" s="277">
        <f>F132+F141+F146+F135+F138</f>
        <v>6388.1</v>
      </c>
    </row>
    <row r="132" spans="1:6" ht="94.5">
      <c r="A132" s="288" t="s">
        <v>348</v>
      </c>
      <c r="B132" s="270" t="s">
        <v>519</v>
      </c>
      <c r="C132" s="275"/>
      <c r="D132" s="275"/>
      <c r="E132" s="270"/>
      <c r="F132" s="276">
        <f>F133</f>
        <v>65</v>
      </c>
    </row>
    <row r="133" spans="1:6" ht="15.75">
      <c r="A133" s="288" t="s">
        <v>262</v>
      </c>
      <c r="B133" s="270" t="s">
        <v>520</v>
      </c>
      <c r="C133" s="275"/>
      <c r="D133" s="275"/>
      <c r="E133" s="270"/>
      <c r="F133" s="276">
        <f>F134</f>
        <v>65</v>
      </c>
    </row>
    <row r="134" spans="1:6" ht="15.75">
      <c r="A134" s="288" t="s">
        <v>722</v>
      </c>
      <c r="B134" s="270" t="s">
        <v>520</v>
      </c>
      <c r="C134" s="275" t="s">
        <v>730</v>
      </c>
      <c r="D134" s="275" t="s">
        <v>400</v>
      </c>
      <c r="E134" s="270">
        <v>610</v>
      </c>
      <c r="F134" s="276">
        <f>'Приложение 9'!Q141</f>
        <v>65</v>
      </c>
    </row>
    <row r="135" spans="1:6" ht="31.5">
      <c r="A135" s="108" t="s">
        <v>133</v>
      </c>
      <c r="B135" s="297" t="s">
        <v>134</v>
      </c>
      <c r="C135" s="275"/>
      <c r="D135" s="275"/>
      <c r="E135" s="270"/>
      <c r="F135" s="276">
        <f>F136</f>
        <v>20</v>
      </c>
    </row>
    <row r="136" spans="1:6" ht="15.75">
      <c r="A136" s="108" t="s">
        <v>262</v>
      </c>
      <c r="B136" s="297" t="s">
        <v>135</v>
      </c>
      <c r="C136" s="275"/>
      <c r="D136" s="275"/>
      <c r="E136" s="270"/>
      <c r="F136" s="276">
        <f>F137</f>
        <v>20</v>
      </c>
    </row>
    <row r="137" spans="1:6" ht="15.75">
      <c r="A137" s="108" t="s">
        <v>722</v>
      </c>
      <c r="B137" s="297" t="s">
        <v>135</v>
      </c>
      <c r="C137" s="298" t="s">
        <v>730</v>
      </c>
      <c r="D137" s="298" t="s">
        <v>400</v>
      </c>
      <c r="E137" s="270">
        <v>610</v>
      </c>
      <c r="F137" s="276">
        <f>'Приложение 9'!Q144</f>
        <v>20</v>
      </c>
    </row>
    <row r="138" spans="1:6" ht="47.25">
      <c r="A138" s="108" t="s">
        <v>183</v>
      </c>
      <c r="B138" s="349" t="s">
        <v>184</v>
      </c>
      <c r="C138" s="350"/>
      <c r="D138" s="350"/>
      <c r="E138" s="286"/>
      <c r="F138" s="351">
        <f>F139</f>
        <v>210</v>
      </c>
    </row>
    <row r="139" spans="1:6" ht="31.5">
      <c r="A139" s="108" t="s">
        <v>186</v>
      </c>
      <c r="B139" s="349" t="s">
        <v>187</v>
      </c>
      <c r="C139" s="350"/>
      <c r="D139" s="350"/>
      <c r="E139" s="286"/>
      <c r="F139" s="351">
        <f>F140</f>
        <v>210</v>
      </c>
    </row>
    <row r="140" spans="1:6" ht="47.25">
      <c r="A140" s="5" t="s">
        <v>720</v>
      </c>
      <c r="B140" s="349" t="s">
        <v>187</v>
      </c>
      <c r="C140" s="350" t="s">
        <v>730</v>
      </c>
      <c r="D140" s="350" t="s">
        <v>400</v>
      </c>
      <c r="E140" s="286">
        <v>240</v>
      </c>
      <c r="F140" s="351">
        <f>'Приложение 9'!Q147</f>
        <v>210</v>
      </c>
    </row>
    <row r="141" spans="1:6" ht="47.25">
      <c r="A141" s="288" t="s">
        <v>659</v>
      </c>
      <c r="B141" s="270" t="s">
        <v>521</v>
      </c>
      <c r="C141" s="275"/>
      <c r="D141" s="275"/>
      <c r="E141" s="270"/>
      <c r="F141" s="276">
        <f>F142+F144</f>
        <v>6078.1</v>
      </c>
    </row>
    <row r="142" spans="1:6" ht="15.75">
      <c r="A142" s="288" t="s">
        <v>262</v>
      </c>
      <c r="B142" s="270" t="s">
        <v>522</v>
      </c>
      <c r="C142" s="275"/>
      <c r="D142" s="275"/>
      <c r="E142" s="270"/>
      <c r="F142" s="276">
        <f>F143</f>
        <v>5436.5</v>
      </c>
    </row>
    <row r="143" spans="1:6" ht="15.75">
      <c r="A143" s="288" t="s">
        <v>722</v>
      </c>
      <c r="B143" s="270" t="s">
        <v>522</v>
      </c>
      <c r="C143" s="275" t="s">
        <v>730</v>
      </c>
      <c r="D143" s="275" t="s">
        <v>400</v>
      </c>
      <c r="E143" s="270">
        <v>610</v>
      </c>
      <c r="F143" s="276">
        <f>'Приложение 9'!Q150</f>
        <v>5436.5</v>
      </c>
    </row>
    <row r="144" spans="1:6" ht="78.75">
      <c r="A144" s="296" t="s">
        <v>61</v>
      </c>
      <c r="B144" s="297" t="s">
        <v>62</v>
      </c>
      <c r="C144" s="275"/>
      <c r="D144" s="275"/>
      <c r="E144" s="270"/>
      <c r="F144" s="276">
        <f>F145</f>
        <v>641.6</v>
      </c>
    </row>
    <row r="145" spans="1:6" ht="15.75">
      <c r="A145" s="288" t="s">
        <v>722</v>
      </c>
      <c r="B145" s="297" t="s">
        <v>62</v>
      </c>
      <c r="C145" s="298" t="s">
        <v>730</v>
      </c>
      <c r="D145" s="298" t="s">
        <v>400</v>
      </c>
      <c r="E145" s="270">
        <v>610</v>
      </c>
      <c r="F145" s="276">
        <f>'Приложение 9'!Q152</f>
        <v>641.6</v>
      </c>
    </row>
    <row r="146" spans="1:6" ht="63">
      <c r="A146" s="288" t="s">
        <v>286</v>
      </c>
      <c r="B146" s="270" t="s">
        <v>287</v>
      </c>
      <c r="C146" s="275"/>
      <c r="D146" s="275"/>
      <c r="E146" s="270"/>
      <c r="F146" s="276">
        <f>F147</f>
        <v>15</v>
      </c>
    </row>
    <row r="147" spans="1:6" ht="15.75">
      <c r="A147" s="288" t="s">
        <v>262</v>
      </c>
      <c r="B147" s="270" t="s">
        <v>288</v>
      </c>
      <c r="C147" s="275"/>
      <c r="D147" s="275"/>
      <c r="E147" s="270"/>
      <c r="F147" s="276">
        <f>F148</f>
        <v>15</v>
      </c>
    </row>
    <row r="148" spans="1:6" ht="15.75">
      <c r="A148" s="288" t="s">
        <v>722</v>
      </c>
      <c r="B148" s="270" t="s">
        <v>288</v>
      </c>
      <c r="C148" s="275" t="s">
        <v>730</v>
      </c>
      <c r="D148" s="275" t="s">
        <v>400</v>
      </c>
      <c r="E148" s="270">
        <v>610</v>
      </c>
      <c r="F148" s="276">
        <f>'Приложение 9'!Q155</f>
        <v>15</v>
      </c>
    </row>
    <row r="149" spans="1:6" ht="81" customHeight="1">
      <c r="A149" s="287" t="s">
        <v>619</v>
      </c>
      <c r="B149" s="273" t="s">
        <v>83</v>
      </c>
      <c r="C149" s="274"/>
      <c r="D149" s="274"/>
      <c r="E149" s="273"/>
      <c r="F149" s="277">
        <f>F150+F155</f>
        <v>6131.6</v>
      </c>
    </row>
    <row r="150" spans="1:6" ht="47.25">
      <c r="A150" s="296" t="s">
        <v>790</v>
      </c>
      <c r="B150" s="297" t="s">
        <v>84</v>
      </c>
      <c r="C150" s="275"/>
      <c r="D150" s="275"/>
      <c r="E150" s="270"/>
      <c r="F150" s="276">
        <f>F153+F151</f>
        <v>5881.6</v>
      </c>
    </row>
    <row r="151" spans="1:6" ht="36.75" customHeight="1">
      <c r="A151" s="296" t="s">
        <v>795</v>
      </c>
      <c r="B151" s="297" t="s">
        <v>132</v>
      </c>
      <c r="C151" s="275"/>
      <c r="D151" s="275"/>
      <c r="E151" s="270"/>
      <c r="F151" s="276">
        <f>F152</f>
        <v>522</v>
      </c>
    </row>
    <row r="152" spans="1:6" ht="15.75">
      <c r="A152" s="296" t="s">
        <v>647</v>
      </c>
      <c r="B152" s="297" t="s">
        <v>132</v>
      </c>
      <c r="C152" s="298" t="s">
        <v>730</v>
      </c>
      <c r="D152" s="298" t="s">
        <v>390</v>
      </c>
      <c r="E152" s="270">
        <v>540</v>
      </c>
      <c r="F152" s="276">
        <f>'Приложение 9'!Q49</f>
        <v>522</v>
      </c>
    </row>
    <row r="153" spans="1:6" ht="47.25">
      <c r="A153" s="296" t="s">
        <v>770</v>
      </c>
      <c r="B153" s="297" t="s">
        <v>85</v>
      </c>
      <c r="C153" s="275"/>
      <c r="D153" s="275"/>
      <c r="E153" s="270"/>
      <c r="F153" s="276">
        <f>F154</f>
        <v>5359.6</v>
      </c>
    </row>
    <row r="154" spans="1:6" ht="15.75">
      <c r="A154" s="296" t="s">
        <v>647</v>
      </c>
      <c r="B154" s="297" t="s">
        <v>85</v>
      </c>
      <c r="C154" s="298" t="s">
        <v>730</v>
      </c>
      <c r="D154" s="298" t="s">
        <v>390</v>
      </c>
      <c r="E154" s="270">
        <v>540</v>
      </c>
      <c r="F154" s="276">
        <f>'Приложение 9'!Q51</f>
        <v>5359.6</v>
      </c>
    </row>
    <row r="155" spans="1:6" ht="47.25">
      <c r="A155" s="11" t="s">
        <v>236</v>
      </c>
      <c r="B155" s="297" t="s">
        <v>238</v>
      </c>
      <c r="C155" s="298"/>
      <c r="D155" s="298"/>
      <c r="E155" s="270"/>
      <c r="F155" s="276">
        <f>F156</f>
        <v>250</v>
      </c>
    </row>
    <row r="156" spans="1:6" ht="15.75">
      <c r="A156" s="11" t="s">
        <v>237</v>
      </c>
      <c r="B156" s="297" t="s">
        <v>239</v>
      </c>
      <c r="C156" s="298"/>
      <c r="D156" s="298"/>
      <c r="E156" s="270"/>
      <c r="F156" s="276">
        <f>F157</f>
        <v>250</v>
      </c>
    </row>
    <row r="157" spans="1:6" ht="15.75">
      <c r="A157" s="11" t="s">
        <v>647</v>
      </c>
      <c r="B157" s="297" t="s">
        <v>239</v>
      </c>
      <c r="C157" s="298" t="s">
        <v>730</v>
      </c>
      <c r="D157" s="298" t="s">
        <v>390</v>
      </c>
      <c r="E157" s="270">
        <v>540</v>
      </c>
      <c r="F157" s="276">
        <f>'Приложение 9'!Q54</f>
        <v>250</v>
      </c>
    </row>
    <row r="158" spans="1:6" s="282" customFormat="1" ht="94.5">
      <c r="A158" s="287" t="s">
        <v>289</v>
      </c>
      <c r="B158" s="273" t="s">
        <v>356</v>
      </c>
      <c r="C158" s="274"/>
      <c r="D158" s="274"/>
      <c r="E158" s="273"/>
      <c r="F158" s="277">
        <f>F159+F162</f>
        <v>30</v>
      </c>
    </row>
    <row r="159" spans="1:6" ht="63">
      <c r="A159" s="288" t="s">
        <v>290</v>
      </c>
      <c r="B159" s="270" t="s">
        <v>357</v>
      </c>
      <c r="C159" s="275"/>
      <c r="D159" s="275"/>
      <c r="E159" s="270"/>
      <c r="F159" s="276">
        <f>F160</f>
        <v>20</v>
      </c>
    </row>
    <row r="160" spans="1:6" ht="47.25">
      <c r="A160" s="288" t="s">
        <v>292</v>
      </c>
      <c r="B160" s="270" t="s">
        <v>293</v>
      </c>
      <c r="C160" s="275"/>
      <c r="D160" s="275"/>
      <c r="E160" s="270"/>
      <c r="F160" s="276">
        <f>F161</f>
        <v>20</v>
      </c>
    </row>
    <row r="161" spans="1:6" ht="15.75">
      <c r="A161" s="288" t="s">
        <v>722</v>
      </c>
      <c r="B161" s="270" t="s">
        <v>293</v>
      </c>
      <c r="C161" s="298" t="s">
        <v>731</v>
      </c>
      <c r="D161" s="298" t="s">
        <v>398</v>
      </c>
      <c r="E161" s="270">
        <v>610</v>
      </c>
      <c r="F161" s="276">
        <f>'Приложение 9'!Q501</f>
        <v>20</v>
      </c>
    </row>
    <row r="162" spans="1:6" ht="94.5">
      <c r="A162" s="5" t="s">
        <v>114</v>
      </c>
      <c r="B162" s="297" t="s">
        <v>115</v>
      </c>
      <c r="C162" s="298"/>
      <c r="D162" s="275"/>
      <c r="E162" s="270"/>
      <c r="F162" s="276">
        <f>F163</f>
        <v>10</v>
      </c>
    </row>
    <row r="163" spans="1:6" ht="47.25">
      <c r="A163" s="288" t="s">
        <v>292</v>
      </c>
      <c r="B163" s="297" t="s">
        <v>116</v>
      </c>
      <c r="C163" s="298"/>
      <c r="D163" s="275"/>
      <c r="E163" s="270"/>
      <c r="F163" s="276">
        <f>F164</f>
        <v>10</v>
      </c>
    </row>
    <row r="164" spans="1:6" ht="15.75">
      <c r="A164" s="288" t="s">
        <v>722</v>
      </c>
      <c r="B164" s="297" t="s">
        <v>116</v>
      </c>
      <c r="C164" s="298" t="s">
        <v>731</v>
      </c>
      <c r="D164" s="298" t="s">
        <v>398</v>
      </c>
      <c r="E164" s="270">
        <v>610</v>
      </c>
      <c r="F164" s="276">
        <f>'Приложение 9'!Q504</f>
        <v>10</v>
      </c>
    </row>
    <row r="165" spans="1:6" s="282" customFormat="1" ht="63">
      <c r="A165" s="287" t="s">
        <v>644</v>
      </c>
      <c r="B165" s="273" t="s">
        <v>358</v>
      </c>
      <c r="C165" s="274"/>
      <c r="D165" s="274"/>
      <c r="E165" s="273"/>
      <c r="F165" s="277">
        <f>F166+F170+F173</f>
        <v>4353</v>
      </c>
    </row>
    <row r="166" spans="1:6" ht="63">
      <c r="A166" s="288" t="s">
        <v>308</v>
      </c>
      <c r="B166" s="270" t="s">
        <v>359</v>
      </c>
      <c r="C166" s="275"/>
      <c r="D166" s="275"/>
      <c r="E166" s="270"/>
      <c r="F166" s="276">
        <f>F167</f>
        <v>2845</v>
      </c>
    </row>
    <row r="167" spans="1:6" ht="15.75">
      <c r="A167" s="288" t="s">
        <v>269</v>
      </c>
      <c r="B167" s="270" t="s">
        <v>360</v>
      </c>
      <c r="C167" s="275"/>
      <c r="D167" s="275"/>
      <c r="E167" s="270"/>
      <c r="F167" s="276">
        <f>F168+F169</f>
        <v>2845</v>
      </c>
    </row>
    <row r="168" spans="1:6" ht="47.25">
      <c r="A168" s="288" t="s">
        <v>720</v>
      </c>
      <c r="B168" s="270" t="s">
        <v>360</v>
      </c>
      <c r="C168" s="275" t="s">
        <v>730</v>
      </c>
      <c r="D168" s="275" t="s">
        <v>401</v>
      </c>
      <c r="E168" s="270">
        <v>240</v>
      </c>
      <c r="F168" s="276">
        <f>'Приложение 9'!Q189</f>
        <v>65</v>
      </c>
    </row>
    <row r="169" spans="1:6" ht="15.75">
      <c r="A169" s="116" t="s">
        <v>647</v>
      </c>
      <c r="B169" s="297" t="s">
        <v>360</v>
      </c>
      <c r="C169" s="298" t="s">
        <v>730</v>
      </c>
      <c r="D169" s="298" t="s">
        <v>401</v>
      </c>
      <c r="E169" s="270">
        <v>540</v>
      </c>
      <c r="F169" s="276">
        <f>'Приложение 9'!Q190</f>
        <v>2780</v>
      </c>
    </row>
    <row r="170" spans="1:6" ht="63">
      <c r="A170" s="288" t="s">
        <v>310</v>
      </c>
      <c r="B170" s="270" t="s">
        <v>309</v>
      </c>
      <c r="C170" s="275"/>
      <c r="D170" s="275"/>
      <c r="E170" s="270"/>
      <c r="F170" s="276">
        <f>F171</f>
        <v>1508</v>
      </c>
    </row>
    <row r="171" spans="1:6" ht="15.75">
      <c r="A171" s="288" t="s">
        <v>269</v>
      </c>
      <c r="B171" s="270" t="s">
        <v>311</v>
      </c>
      <c r="C171" s="275"/>
      <c r="D171" s="275"/>
      <c r="E171" s="270"/>
      <c r="F171" s="276">
        <f>F172</f>
        <v>1508</v>
      </c>
    </row>
    <row r="172" spans="1:6" ht="47.25">
      <c r="A172" s="288" t="s">
        <v>720</v>
      </c>
      <c r="B172" s="270" t="s">
        <v>311</v>
      </c>
      <c r="C172" s="275" t="s">
        <v>730</v>
      </c>
      <c r="D172" s="275" t="s">
        <v>402</v>
      </c>
      <c r="E172" s="270">
        <v>240</v>
      </c>
      <c r="F172" s="276">
        <f>'Приложение 9'!Q221</f>
        <v>1508</v>
      </c>
    </row>
    <row r="173" spans="1:6" ht="47.25" hidden="1">
      <c r="A173" s="288" t="s">
        <v>664</v>
      </c>
      <c r="B173" s="297" t="s">
        <v>76</v>
      </c>
      <c r="C173" s="275"/>
      <c r="D173" s="275"/>
      <c r="E173" s="270"/>
      <c r="F173" s="276">
        <f>F174</f>
        <v>0</v>
      </c>
    </row>
    <row r="174" spans="1:6" ht="47.25" hidden="1">
      <c r="A174" s="288" t="s">
        <v>720</v>
      </c>
      <c r="B174" s="297" t="s">
        <v>76</v>
      </c>
      <c r="C174" s="275" t="s">
        <v>730</v>
      </c>
      <c r="D174" s="275" t="s">
        <v>401</v>
      </c>
      <c r="E174" s="270">
        <v>240</v>
      </c>
      <c r="F174" s="276">
        <f>'Приложение 9'!Q193</f>
        <v>0</v>
      </c>
    </row>
    <row r="175" spans="1:6" s="282" customFormat="1" ht="78.75">
      <c r="A175" s="287" t="s">
        <v>35</v>
      </c>
      <c r="B175" s="273" t="s">
        <v>361</v>
      </c>
      <c r="C175" s="274"/>
      <c r="D175" s="274"/>
      <c r="E175" s="273"/>
      <c r="F175" s="277">
        <f>F176+F180+F191+F195</f>
        <v>39164.7</v>
      </c>
    </row>
    <row r="176" spans="1:6" ht="63">
      <c r="A176" s="288" t="s">
        <v>385</v>
      </c>
      <c r="B176" s="270" t="s">
        <v>46</v>
      </c>
      <c r="C176" s="275"/>
      <c r="D176" s="275"/>
      <c r="E176" s="270"/>
      <c r="F176" s="276">
        <f>F177</f>
        <v>50</v>
      </c>
    </row>
    <row r="177" spans="1:6" ht="78.75">
      <c r="A177" s="288" t="s">
        <v>37</v>
      </c>
      <c r="B177" s="270" t="s">
        <v>47</v>
      </c>
      <c r="C177" s="275"/>
      <c r="D177" s="275"/>
      <c r="E177" s="270"/>
      <c r="F177" s="276">
        <f>F178</f>
        <v>50</v>
      </c>
    </row>
    <row r="178" spans="1:6" ht="31.5">
      <c r="A178" s="288" t="s">
        <v>342</v>
      </c>
      <c r="B178" s="270" t="s">
        <v>48</v>
      </c>
      <c r="C178" s="275"/>
      <c r="D178" s="275"/>
      <c r="E178" s="270"/>
      <c r="F178" s="276">
        <f>F179</f>
        <v>50</v>
      </c>
    </row>
    <row r="179" spans="1:6" ht="47.25">
      <c r="A179" s="288" t="s">
        <v>720</v>
      </c>
      <c r="B179" s="270" t="s">
        <v>48</v>
      </c>
      <c r="C179" s="275" t="s">
        <v>404</v>
      </c>
      <c r="D179" s="275" t="s">
        <v>403</v>
      </c>
      <c r="E179" s="270">
        <v>240</v>
      </c>
      <c r="F179" s="276">
        <f>'Приложение 9'!Q386</f>
        <v>50</v>
      </c>
    </row>
    <row r="180" spans="1:6" ht="78.75">
      <c r="A180" s="288" t="s">
        <v>43</v>
      </c>
      <c r="B180" s="270" t="s">
        <v>49</v>
      </c>
      <c r="C180" s="275"/>
      <c r="D180" s="275"/>
      <c r="E180" s="270"/>
      <c r="F180" s="276">
        <f>F181+F186</f>
        <v>15216.9</v>
      </c>
    </row>
    <row r="181" spans="1:6" ht="47.25">
      <c r="A181" s="288" t="s">
        <v>41</v>
      </c>
      <c r="B181" s="270" t="s">
        <v>50</v>
      </c>
      <c r="C181" s="275"/>
      <c r="D181" s="275"/>
      <c r="E181" s="270"/>
      <c r="F181" s="276">
        <f>F182+F184</f>
        <v>5032.799999999999</v>
      </c>
    </row>
    <row r="182" spans="1:6" ht="171.75" customHeight="1">
      <c r="A182" s="288" t="s">
        <v>53</v>
      </c>
      <c r="B182" s="270" t="s">
        <v>570</v>
      </c>
      <c r="C182" s="275"/>
      <c r="D182" s="275"/>
      <c r="E182" s="270"/>
      <c r="F182" s="276">
        <f>F183</f>
        <v>2865.2</v>
      </c>
    </row>
    <row r="183" spans="1:6" ht="15.75">
      <c r="A183" s="288" t="s">
        <v>726</v>
      </c>
      <c r="B183" s="270" t="s">
        <v>570</v>
      </c>
      <c r="C183" s="275" t="s">
        <v>404</v>
      </c>
      <c r="D183" s="275" t="s">
        <v>405</v>
      </c>
      <c r="E183" s="270">
        <v>510</v>
      </c>
      <c r="F183" s="276">
        <f>'Приложение 9'!Q428</f>
        <v>2865.2</v>
      </c>
    </row>
    <row r="184" spans="1:6" ht="31.5">
      <c r="A184" s="288" t="s">
        <v>55</v>
      </c>
      <c r="B184" s="297" t="s">
        <v>88</v>
      </c>
      <c r="C184" s="275"/>
      <c r="D184" s="275"/>
      <c r="E184" s="270"/>
      <c r="F184" s="276">
        <f>F185</f>
        <v>2167.6</v>
      </c>
    </row>
    <row r="185" spans="1:6" ht="15.75">
      <c r="A185" s="288" t="s">
        <v>726</v>
      </c>
      <c r="B185" s="297" t="s">
        <v>88</v>
      </c>
      <c r="C185" s="275" t="s">
        <v>404</v>
      </c>
      <c r="D185" s="275" t="s">
        <v>405</v>
      </c>
      <c r="E185" s="270">
        <v>510</v>
      </c>
      <c r="F185" s="276">
        <f>'Приложение 9'!Q430</f>
        <v>2167.6</v>
      </c>
    </row>
    <row r="186" spans="1:6" ht="47.25">
      <c r="A186" s="288" t="s">
        <v>44</v>
      </c>
      <c r="B186" s="270" t="s">
        <v>571</v>
      </c>
      <c r="C186" s="275"/>
      <c r="D186" s="275"/>
      <c r="E186" s="270"/>
      <c r="F186" s="276">
        <f>F187+F189</f>
        <v>10184.1</v>
      </c>
    </row>
    <row r="187" spans="1:6" ht="36" customHeight="1">
      <c r="A187" s="288" t="s">
        <v>42</v>
      </c>
      <c r="B187" s="297" t="s">
        <v>89</v>
      </c>
      <c r="C187" s="275"/>
      <c r="D187" s="275"/>
      <c r="E187" s="270"/>
      <c r="F187" s="276">
        <f>F188</f>
        <v>7064</v>
      </c>
    </row>
    <row r="188" spans="1:6" ht="15.75">
      <c r="A188" s="288" t="s">
        <v>726</v>
      </c>
      <c r="B188" s="297" t="s">
        <v>89</v>
      </c>
      <c r="C188" s="275" t="s">
        <v>404</v>
      </c>
      <c r="D188" s="275" t="s">
        <v>406</v>
      </c>
      <c r="E188" s="270">
        <v>510</v>
      </c>
      <c r="F188" s="276">
        <f>'Приложение 9'!Q436</f>
        <v>7064</v>
      </c>
    </row>
    <row r="189" spans="1:6" ht="78.75">
      <c r="A189" s="11" t="s">
        <v>61</v>
      </c>
      <c r="B189" s="297" t="s">
        <v>92</v>
      </c>
      <c r="C189" s="275"/>
      <c r="D189" s="275"/>
      <c r="E189" s="270"/>
      <c r="F189" s="276">
        <f>F190</f>
        <v>3120.1</v>
      </c>
    </row>
    <row r="190" spans="1:6" ht="15.75">
      <c r="A190" s="11" t="s">
        <v>726</v>
      </c>
      <c r="B190" s="297" t="s">
        <v>92</v>
      </c>
      <c r="C190" s="298" t="s">
        <v>404</v>
      </c>
      <c r="D190" s="298" t="s">
        <v>406</v>
      </c>
      <c r="E190" s="270">
        <v>510</v>
      </c>
      <c r="F190" s="276">
        <f>'Приложение 9'!Q438</f>
        <v>3120.1</v>
      </c>
    </row>
    <row r="191" spans="1:6" ht="31.5">
      <c r="A191" s="288" t="s">
        <v>40</v>
      </c>
      <c r="B191" s="270" t="s">
        <v>572</v>
      </c>
      <c r="C191" s="275"/>
      <c r="D191" s="275"/>
      <c r="E191" s="270"/>
      <c r="F191" s="276">
        <f>F192</f>
        <v>96.9</v>
      </c>
    </row>
    <row r="192" spans="1:6" ht="31.5">
      <c r="A192" s="288" t="s">
        <v>39</v>
      </c>
      <c r="B192" s="270" t="s">
        <v>573</v>
      </c>
      <c r="C192" s="275"/>
      <c r="D192" s="275"/>
      <c r="E192" s="270"/>
      <c r="F192" s="276">
        <f>F193</f>
        <v>96.9</v>
      </c>
    </row>
    <row r="193" spans="1:6" ht="31.5">
      <c r="A193" s="288" t="s">
        <v>317</v>
      </c>
      <c r="B193" s="270" t="s">
        <v>574</v>
      </c>
      <c r="C193" s="275"/>
      <c r="D193" s="275"/>
      <c r="E193" s="270"/>
      <c r="F193" s="276">
        <f>F194</f>
        <v>96.9</v>
      </c>
    </row>
    <row r="194" spans="1:6" ht="15.75">
      <c r="A194" s="288" t="s">
        <v>476</v>
      </c>
      <c r="B194" s="270" t="s">
        <v>574</v>
      </c>
      <c r="C194" s="275" t="s">
        <v>404</v>
      </c>
      <c r="D194" s="275" t="s">
        <v>407</v>
      </c>
      <c r="E194" s="270">
        <v>730</v>
      </c>
      <c r="F194" s="276">
        <f>'Приложение 9'!Q421</f>
        <v>96.9</v>
      </c>
    </row>
    <row r="195" spans="1:6" ht="78.75">
      <c r="A195" s="288" t="s">
        <v>34</v>
      </c>
      <c r="B195" s="270" t="s">
        <v>575</v>
      </c>
      <c r="C195" s="275"/>
      <c r="D195" s="275"/>
      <c r="E195" s="270"/>
      <c r="F195" s="276">
        <f>F196+F209</f>
        <v>23800.9</v>
      </c>
    </row>
    <row r="196" spans="1:6" ht="160.5" customHeight="1">
      <c r="A196" s="288" t="s">
        <v>33</v>
      </c>
      <c r="B196" s="270" t="s">
        <v>576</v>
      </c>
      <c r="C196" s="275"/>
      <c r="D196" s="275"/>
      <c r="E196" s="270"/>
      <c r="F196" s="276">
        <f>F197+F203+F206+F201</f>
        <v>6963.299999999999</v>
      </c>
    </row>
    <row r="197" spans="1:6" ht="31.5">
      <c r="A197" s="288" t="s">
        <v>342</v>
      </c>
      <c r="B197" s="270" t="s">
        <v>579</v>
      </c>
      <c r="C197" s="275"/>
      <c r="D197" s="275"/>
      <c r="E197" s="270"/>
      <c r="F197" s="276">
        <f>SUM(F198:F200)</f>
        <v>4810.099999999999</v>
      </c>
    </row>
    <row r="198" spans="1:6" ht="39" customHeight="1">
      <c r="A198" s="288" t="s">
        <v>533</v>
      </c>
      <c r="B198" s="270" t="s">
        <v>579</v>
      </c>
      <c r="C198" s="275" t="s">
        <v>404</v>
      </c>
      <c r="D198" s="275" t="s">
        <v>403</v>
      </c>
      <c r="E198" s="270">
        <v>120</v>
      </c>
      <c r="F198" s="276">
        <f>'Приложение 9'!Q390</f>
        <v>3860.2999999999997</v>
      </c>
    </row>
    <row r="199" spans="1:6" ht="47.25">
      <c r="A199" s="288" t="s">
        <v>720</v>
      </c>
      <c r="B199" s="270" t="s">
        <v>579</v>
      </c>
      <c r="C199" s="275" t="s">
        <v>404</v>
      </c>
      <c r="D199" s="275" t="s">
        <v>403</v>
      </c>
      <c r="E199" s="270">
        <v>240</v>
      </c>
      <c r="F199" s="276">
        <f>'Приложение 9'!Q391</f>
        <v>926.8</v>
      </c>
    </row>
    <row r="200" spans="1:6" ht="15.75">
      <c r="A200" s="288" t="s">
        <v>721</v>
      </c>
      <c r="B200" s="270" t="s">
        <v>579</v>
      </c>
      <c r="C200" s="275" t="s">
        <v>404</v>
      </c>
      <c r="D200" s="275" t="s">
        <v>403</v>
      </c>
      <c r="E200" s="270">
        <v>850</v>
      </c>
      <c r="F200" s="276">
        <f>'Приложение 9'!Q392</f>
        <v>23</v>
      </c>
    </row>
    <row r="201" spans="1:6" ht="78.75">
      <c r="A201" s="11" t="s">
        <v>61</v>
      </c>
      <c r="B201" s="297" t="s">
        <v>100</v>
      </c>
      <c r="C201" s="275"/>
      <c r="D201" s="275"/>
      <c r="E201" s="270"/>
      <c r="F201" s="276">
        <f>F202</f>
        <v>722</v>
      </c>
    </row>
    <row r="202" spans="1:6" ht="37.5" customHeight="1">
      <c r="A202" s="11" t="s">
        <v>533</v>
      </c>
      <c r="B202" s="297" t="s">
        <v>100</v>
      </c>
      <c r="C202" s="298" t="s">
        <v>404</v>
      </c>
      <c r="D202" s="298" t="s">
        <v>403</v>
      </c>
      <c r="E202" s="270">
        <v>120</v>
      </c>
      <c r="F202" s="276">
        <f>'Приложение 9'!Q394</f>
        <v>722</v>
      </c>
    </row>
    <row r="203" spans="1:6" ht="47.25">
      <c r="A203" s="118" t="s">
        <v>248</v>
      </c>
      <c r="B203" s="270" t="s">
        <v>577</v>
      </c>
      <c r="C203" s="275"/>
      <c r="D203" s="275"/>
      <c r="E203" s="270"/>
      <c r="F203" s="276">
        <f>SUM(F204:F205)</f>
        <v>372.9</v>
      </c>
    </row>
    <row r="204" spans="1:6" ht="47.25">
      <c r="A204" s="288" t="s">
        <v>533</v>
      </c>
      <c r="B204" s="270" t="s">
        <v>577</v>
      </c>
      <c r="C204" s="275" t="s">
        <v>408</v>
      </c>
      <c r="D204" s="275" t="s">
        <v>403</v>
      </c>
      <c r="E204" s="270">
        <v>120</v>
      </c>
      <c r="F204" s="276">
        <f>'Приложение 9'!Q396</f>
        <v>371.9</v>
      </c>
    </row>
    <row r="205" spans="1:6" ht="47.25">
      <c r="A205" s="288" t="s">
        <v>720</v>
      </c>
      <c r="B205" s="270" t="s">
        <v>577</v>
      </c>
      <c r="C205" s="275" t="s">
        <v>408</v>
      </c>
      <c r="D205" s="275" t="s">
        <v>403</v>
      </c>
      <c r="E205" s="270">
        <v>240</v>
      </c>
      <c r="F205" s="276">
        <f>'Приложение 9'!Q397</f>
        <v>1</v>
      </c>
    </row>
    <row r="206" spans="1:6" ht="94.5">
      <c r="A206" s="118" t="s">
        <v>249</v>
      </c>
      <c r="B206" s="270" t="s">
        <v>578</v>
      </c>
      <c r="C206" s="275"/>
      <c r="D206" s="275"/>
      <c r="E206" s="270"/>
      <c r="F206" s="276">
        <f>SUM(F207:F208)</f>
        <v>1058.3</v>
      </c>
    </row>
    <row r="207" spans="1:6" ht="39" customHeight="1">
      <c r="A207" s="288" t="s">
        <v>533</v>
      </c>
      <c r="B207" s="270" t="s">
        <v>578</v>
      </c>
      <c r="C207" s="275" t="s">
        <v>404</v>
      </c>
      <c r="D207" s="275" t="s">
        <v>403</v>
      </c>
      <c r="E207" s="270">
        <v>120</v>
      </c>
      <c r="F207" s="276">
        <f>'Приложение 9'!Q399</f>
        <v>999.1</v>
      </c>
    </row>
    <row r="208" spans="1:6" ht="47.25">
      <c r="A208" s="288" t="s">
        <v>720</v>
      </c>
      <c r="B208" s="270" t="s">
        <v>578</v>
      </c>
      <c r="C208" s="275" t="s">
        <v>404</v>
      </c>
      <c r="D208" s="275" t="s">
        <v>403</v>
      </c>
      <c r="E208" s="270">
        <v>240</v>
      </c>
      <c r="F208" s="276">
        <f>'Приложение 9'!Q400</f>
        <v>59.2</v>
      </c>
    </row>
    <row r="209" spans="1:6" ht="63">
      <c r="A209" s="288" t="s">
        <v>716</v>
      </c>
      <c r="B209" s="270" t="s">
        <v>804</v>
      </c>
      <c r="C209" s="275"/>
      <c r="D209" s="275"/>
      <c r="E209" s="270"/>
      <c r="F209" s="276">
        <f>F210+F217+F215</f>
        <v>16837.600000000002</v>
      </c>
    </row>
    <row r="210" spans="1:6" ht="47.25">
      <c r="A210" s="288" t="s">
        <v>344</v>
      </c>
      <c r="B210" s="270" t="s">
        <v>805</v>
      </c>
      <c r="C210" s="275"/>
      <c r="D210" s="275"/>
      <c r="E210" s="270"/>
      <c r="F210" s="276">
        <f>SUM(F211:F214)</f>
        <v>12395.400000000001</v>
      </c>
    </row>
    <row r="211" spans="1:6" ht="31.5">
      <c r="A211" s="288" t="s">
        <v>723</v>
      </c>
      <c r="B211" s="270" t="s">
        <v>805</v>
      </c>
      <c r="C211" s="275" t="s">
        <v>404</v>
      </c>
      <c r="D211" s="275" t="s">
        <v>390</v>
      </c>
      <c r="E211" s="270">
        <v>110</v>
      </c>
      <c r="F211" s="276">
        <f>'Приложение 9'!Q406</f>
        <v>11176.6</v>
      </c>
    </row>
    <row r="212" spans="1:6" ht="47.25">
      <c r="A212" s="288" t="s">
        <v>720</v>
      </c>
      <c r="B212" s="270" t="s">
        <v>805</v>
      </c>
      <c r="C212" s="275" t="s">
        <v>404</v>
      </c>
      <c r="D212" s="275" t="s">
        <v>390</v>
      </c>
      <c r="E212" s="270">
        <v>240</v>
      </c>
      <c r="F212" s="276">
        <f>'Приложение 9'!Q407</f>
        <v>1149.7</v>
      </c>
    </row>
    <row r="213" spans="1:6" ht="47.25">
      <c r="A213" s="11" t="s">
        <v>725</v>
      </c>
      <c r="B213" s="297" t="s">
        <v>805</v>
      </c>
      <c r="C213" s="298" t="s">
        <v>404</v>
      </c>
      <c r="D213" s="298" t="s">
        <v>390</v>
      </c>
      <c r="E213" s="270">
        <v>320</v>
      </c>
      <c r="F213" s="276">
        <f>'Приложение 9'!Q408</f>
        <v>68</v>
      </c>
    </row>
    <row r="214" spans="1:6" ht="15.75">
      <c r="A214" s="288" t="s">
        <v>721</v>
      </c>
      <c r="B214" s="270" t="s">
        <v>805</v>
      </c>
      <c r="C214" s="275" t="s">
        <v>404</v>
      </c>
      <c r="D214" s="275" t="s">
        <v>390</v>
      </c>
      <c r="E214" s="270">
        <v>850</v>
      </c>
      <c r="F214" s="276">
        <f>'Приложение 9'!Q409</f>
        <v>1.1</v>
      </c>
    </row>
    <row r="215" spans="1:6" ht="78.75">
      <c r="A215" s="11" t="s">
        <v>61</v>
      </c>
      <c r="B215" s="297" t="s">
        <v>234</v>
      </c>
      <c r="C215" s="275"/>
      <c r="D215" s="275"/>
      <c r="E215" s="270"/>
      <c r="F215" s="276">
        <f>F216</f>
        <v>2235.2</v>
      </c>
    </row>
    <row r="216" spans="1:6" ht="31.5">
      <c r="A216" s="11" t="s">
        <v>789</v>
      </c>
      <c r="B216" s="297" t="s">
        <v>234</v>
      </c>
      <c r="C216" s="298" t="s">
        <v>408</v>
      </c>
      <c r="D216" s="298" t="s">
        <v>390</v>
      </c>
      <c r="E216" s="270">
        <v>110</v>
      </c>
      <c r="F216" s="276">
        <f>'Приложение 9'!Q411</f>
        <v>2235.2</v>
      </c>
    </row>
    <row r="217" spans="1:6" ht="63">
      <c r="A217" s="118" t="s">
        <v>760</v>
      </c>
      <c r="B217" s="270" t="s">
        <v>806</v>
      </c>
      <c r="C217" s="275"/>
      <c r="D217" s="275"/>
      <c r="E217" s="270"/>
      <c r="F217" s="276">
        <f>SUM(F218:F219)</f>
        <v>2206.9999999999995</v>
      </c>
    </row>
    <row r="218" spans="1:6" ht="31.5">
      <c r="A218" s="288" t="s">
        <v>723</v>
      </c>
      <c r="B218" s="270" t="s">
        <v>806</v>
      </c>
      <c r="C218" s="275" t="s">
        <v>404</v>
      </c>
      <c r="D218" s="275" t="s">
        <v>390</v>
      </c>
      <c r="E218" s="270">
        <v>110</v>
      </c>
      <c r="F218" s="276">
        <f>'Приложение 9'!Q413</f>
        <v>2095.3999999999996</v>
      </c>
    </row>
    <row r="219" spans="1:6" ht="47.25">
      <c r="A219" s="288" t="s">
        <v>720</v>
      </c>
      <c r="B219" s="270" t="s">
        <v>806</v>
      </c>
      <c r="C219" s="275" t="s">
        <v>404</v>
      </c>
      <c r="D219" s="275" t="s">
        <v>390</v>
      </c>
      <c r="E219" s="270">
        <v>240</v>
      </c>
      <c r="F219" s="276">
        <f>'Приложение 9'!Q414</f>
        <v>111.6</v>
      </c>
    </row>
    <row r="220" spans="1:6" s="282" customFormat="1" ht="78.75">
      <c r="A220" s="287" t="s">
        <v>477</v>
      </c>
      <c r="B220" s="273" t="s">
        <v>362</v>
      </c>
      <c r="C220" s="274"/>
      <c r="D220" s="274"/>
      <c r="E220" s="273"/>
      <c r="F220" s="277">
        <f>F221+F225</f>
        <v>181</v>
      </c>
    </row>
    <row r="221" spans="1:6" ht="31.5">
      <c r="A221" s="5" t="s">
        <v>173</v>
      </c>
      <c r="B221" s="297" t="s">
        <v>175</v>
      </c>
      <c r="C221" s="298"/>
      <c r="D221" s="298"/>
      <c r="E221" s="297"/>
      <c r="F221" s="299">
        <f>F222</f>
        <v>15</v>
      </c>
    </row>
    <row r="222" spans="1:6" ht="94.5">
      <c r="A222" s="5" t="s">
        <v>174</v>
      </c>
      <c r="B222" s="297" t="s">
        <v>176</v>
      </c>
      <c r="C222" s="298"/>
      <c r="D222" s="298"/>
      <c r="E222" s="297"/>
      <c r="F222" s="299">
        <f>F223</f>
        <v>15</v>
      </c>
    </row>
    <row r="223" spans="1:6" ht="47.25">
      <c r="A223" s="5" t="s">
        <v>292</v>
      </c>
      <c r="B223" s="297" t="s">
        <v>177</v>
      </c>
      <c r="C223" s="298"/>
      <c r="D223" s="298"/>
      <c r="E223" s="297"/>
      <c r="F223" s="299">
        <f>F224</f>
        <v>15</v>
      </c>
    </row>
    <row r="224" spans="1:6" ht="47.25">
      <c r="A224" s="259" t="s">
        <v>720</v>
      </c>
      <c r="B224" s="297" t="s">
        <v>177</v>
      </c>
      <c r="C224" s="298" t="s">
        <v>731</v>
      </c>
      <c r="D224" s="298" t="s">
        <v>396</v>
      </c>
      <c r="E224" s="297">
        <v>240</v>
      </c>
      <c r="F224" s="299">
        <f>'Приложение 9'!Q577</f>
        <v>15</v>
      </c>
    </row>
    <row r="225" spans="1:6" ht="31.5">
      <c r="A225" s="288" t="s">
        <v>654</v>
      </c>
      <c r="B225" s="270" t="s">
        <v>363</v>
      </c>
      <c r="C225" s="275"/>
      <c r="D225" s="275"/>
      <c r="E225" s="270"/>
      <c r="F225" s="276">
        <f>F226+F230+F233</f>
        <v>166</v>
      </c>
    </row>
    <row r="226" spans="1:6" ht="31.5">
      <c r="A226" s="11" t="s">
        <v>169</v>
      </c>
      <c r="B226" s="297" t="s">
        <v>178</v>
      </c>
      <c r="C226" s="275"/>
      <c r="D226" s="275"/>
      <c r="E226" s="270"/>
      <c r="F226" s="276">
        <f>F227</f>
        <v>20</v>
      </c>
    </row>
    <row r="227" spans="1:6" ht="47.25">
      <c r="A227" s="11" t="s">
        <v>170</v>
      </c>
      <c r="B227" s="297" t="s">
        <v>179</v>
      </c>
      <c r="C227" s="275"/>
      <c r="D227" s="275"/>
      <c r="E227" s="270"/>
      <c r="F227" s="276">
        <f>F228+F229</f>
        <v>20</v>
      </c>
    </row>
    <row r="228" spans="1:6" ht="47.25">
      <c r="A228" s="34" t="s">
        <v>720</v>
      </c>
      <c r="B228" s="297" t="s">
        <v>179</v>
      </c>
      <c r="C228" s="298" t="s">
        <v>730</v>
      </c>
      <c r="D228" s="298" t="s">
        <v>409</v>
      </c>
      <c r="E228" s="270">
        <v>240</v>
      </c>
      <c r="F228" s="276">
        <f>'Приложение 9'!Q95</f>
        <v>15</v>
      </c>
    </row>
    <row r="229" spans="1:6" ht="15.75">
      <c r="A229" s="11" t="s">
        <v>168</v>
      </c>
      <c r="B229" s="297" t="s">
        <v>179</v>
      </c>
      <c r="C229" s="298" t="s">
        <v>730</v>
      </c>
      <c r="D229" s="298" t="s">
        <v>409</v>
      </c>
      <c r="E229" s="270">
        <v>360</v>
      </c>
      <c r="F229" s="276">
        <f>'Приложение 9'!Q96</f>
        <v>5</v>
      </c>
    </row>
    <row r="230" spans="1:6" ht="94.5">
      <c r="A230" s="118" t="s">
        <v>277</v>
      </c>
      <c r="B230" s="270" t="s">
        <v>523</v>
      </c>
      <c r="C230" s="275"/>
      <c r="D230" s="275"/>
      <c r="E230" s="270"/>
      <c r="F230" s="276">
        <f>F231</f>
        <v>136</v>
      </c>
    </row>
    <row r="231" spans="1:6" ht="78" customHeight="1">
      <c r="A231" s="288" t="s">
        <v>478</v>
      </c>
      <c r="B231" s="270" t="s">
        <v>364</v>
      </c>
      <c r="C231" s="275"/>
      <c r="D231" s="275"/>
      <c r="E231" s="270"/>
      <c r="F231" s="276">
        <f>F232</f>
        <v>136</v>
      </c>
    </row>
    <row r="232" spans="1:6" ht="47.25">
      <c r="A232" s="288" t="s">
        <v>720</v>
      </c>
      <c r="B232" s="270" t="s">
        <v>364</v>
      </c>
      <c r="C232" s="275" t="s">
        <v>730</v>
      </c>
      <c r="D232" s="275" t="s">
        <v>409</v>
      </c>
      <c r="E232" s="270">
        <v>240</v>
      </c>
      <c r="F232" s="276">
        <f>'Приложение 9'!Q99</f>
        <v>136</v>
      </c>
    </row>
    <row r="233" spans="1:6" ht="31.5">
      <c r="A233" s="11" t="s">
        <v>171</v>
      </c>
      <c r="B233" s="297" t="s">
        <v>180</v>
      </c>
      <c r="C233" s="275"/>
      <c r="D233" s="275"/>
      <c r="E233" s="270"/>
      <c r="F233" s="276">
        <f>F234</f>
        <v>10</v>
      </c>
    </row>
    <row r="234" spans="1:6" ht="31.5">
      <c r="A234" s="11" t="s">
        <v>172</v>
      </c>
      <c r="B234" s="297" t="s">
        <v>181</v>
      </c>
      <c r="C234" s="275"/>
      <c r="D234" s="275"/>
      <c r="E234" s="270"/>
      <c r="F234" s="276">
        <f>F235</f>
        <v>10</v>
      </c>
    </row>
    <row r="235" spans="1:6" ht="47.25">
      <c r="A235" s="34" t="s">
        <v>720</v>
      </c>
      <c r="B235" s="297" t="s">
        <v>181</v>
      </c>
      <c r="C235" s="298" t="s">
        <v>730</v>
      </c>
      <c r="D235" s="298" t="s">
        <v>409</v>
      </c>
      <c r="E235" s="270">
        <v>240</v>
      </c>
      <c r="F235" s="276">
        <f>'Приложение 9'!Q102</f>
        <v>10</v>
      </c>
    </row>
    <row r="236" spans="1:6" ht="15.75">
      <c r="A236" s="288"/>
      <c r="B236" s="270"/>
      <c r="C236" s="275"/>
      <c r="D236" s="275"/>
      <c r="E236" s="270"/>
      <c r="F236" s="276"/>
    </row>
    <row r="237" spans="1:6" s="282" customFormat="1" ht="63">
      <c r="A237" s="287" t="s">
        <v>32</v>
      </c>
      <c r="B237" s="273" t="s">
        <v>22</v>
      </c>
      <c r="C237" s="274"/>
      <c r="D237" s="274"/>
      <c r="E237" s="273"/>
      <c r="F237" s="277">
        <f>F238+F246</f>
        <v>543.6</v>
      </c>
    </row>
    <row r="238" spans="1:6" ht="63">
      <c r="A238" s="288" t="s">
        <v>30</v>
      </c>
      <c r="B238" s="270" t="s">
        <v>23</v>
      </c>
      <c r="C238" s="275"/>
      <c r="D238" s="275"/>
      <c r="E238" s="270"/>
      <c r="F238" s="276">
        <f>F239+F242+F244</f>
        <v>463.6</v>
      </c>
    </row>
    <row r="239" spans="1:6" ht="47.25">
      <c r="A239" s="288" t="s">
        <v>259</v>
      </c>
      <c r="B239" s="270" t="s">
        <v>24</v>
      </c>
      <c r="C239" s="275"/>
      <c r="D239" s="275"/>
      <c r="E239" s="270"/>
      <c r="F239" s="276">
        <f>F240+F241</f>
        <v>80</v>
      </c>
    </row>
    <row r="240" spans="1:6" ht="47.25">
      <c r="A240" s="288" t="s">
        <v>720</v>
      </c>
      <c r="B240" s="270" t="s">
        <v>24</v>
      </c>
      <c r="C240" s="275" t="s">
        <v>730</v>
      </c>
      <c r="D240" s="275" t="s">
        <v>400</v>
      </c>
      <c r="E240" s="270">
        <v>240</v>
      </c>
      <c r="F240" s="276">
        <f>'Приложение 9'!Q163</f>
        <v>10</v>
      </c>
    </row>
    <row r="241" spans="1:6" ht="78.75">
      <c r="A241" s="288" t="s">
        <v>9</v>
      </c>
      <c r="B241" s="270" t="s">
        <v>24</v>
      </c>
      <c r="C241" s="275" t="s">
        <v>730</v>
      </c>
      <c r="D241" s="275" t="s">
        <v>400</v>
      </c>
      <c r="E241" s="270">
        <v>810</v>
      </c>
      <c r="F241" s="276">
        <f>'Приложение 9'!Q164</f>
        <v>70</v>
      </c>
    </row>
    <row r="242" spans="1:6" ht="63" hidden="1">
      <c r="A242" s="288" t="s">
        <v>808</v>
      </c>
      <c r="B242" s="270" t="s">
        <v>809</v>
      </c>
      <c r="C242" s="275"/>
      <c r="D242" s="275"/>
      <c r="E242" s="270"/>
      <c r="F242" s="276">
        <f>F243</f>
        <v>0</v>
      </c>
    </row>
    <row r="243" spans="1:6" ht="78.75" hidden="1">
      <c r="A243" s="288" t="s">
        <v>9</v>
      </c>
      <c r="B243" s="270" t="s">
        <v>809</v>
      </c>
      <c r="C243" s="275" t="s">
        <v>730</v>
      </c>
      <c r="D243" s="275" t="s">
        <v>400</v>
      </c>
      <c r="E243" s="270">
        <v>810</v>
      </c>
      <c r="F243" s="276">
        <f>'Приложение 9'!Q166</f>
        <v>0</v>
      </c>
    </row>
    <row r="244" spans="1:6" ht="47.25">
      <c r="A244" s="288" t="s">
        <v>8</v>
      </c>
      <c r="B244" s="270" t="s">
        <v>276</v>
      </c>
      <c r="C244" s="275"/>
      <c r="D244" s="275"/>
      <c r="E244" s="270"/>
      <c r="F244" s="276">
        <f>F245</f>
        <v>383.6</v>
      </c>
    </row>
    <row r="245" spans="1:6" ht="78.75">
      <c r="A245" s="288" t="s">
        <v>9</v>
      </c>
      <c r="B245" s="270" t="s">
        <v>276</v>
      </c>
      <c r="C245" s="275" t="s">
        <v>730</v>
      </c>
      <c r="D245" s="275" t="s">
        <v>400</v>
      </c>
      <c r="E245" s="270">
        <v>810</v>
      </c>
      <c r="F245" s="276">
        <f>'Приложение 9'!Q168</f>
        <v>383.6</v>
      </c>
    </row>
    <row r="246" spans="1:6" ht="47.25">
      <c r="A246" s="288" t="s">
        <v>31</v>
      </c>
      <c r="B246" s="270" t="s">
        <v>25</v>
      </c>
      <c r="C246" s="275"/>
      <c r="D246" s="275"/>
      <c r="E246" s="270"/>
      <c r="F246" s="276">
        <f>F247</f>
        <v>80</v>
      </c>
    </row>
    <row r="247" spans="1:6" ht="47.25">
      <c r="A247" s="288" t="s">
        <v>261</v>
      </c>
      <c r="B247" s="270" t="s">
        <v>26</v>
      </c>
      <c r="C247" s="275"/>
      <c r="D247" s="275"/>
      <c r="E247" s="270"/>
      <c r="F247" s="276">
        <f>F248</f>
        <v>80</v>
      </c>
    </row>
    <row r="248" spans="1:6" ht="47.25">
      <c r="A248" s="288" t="s">
        <v>720</v>
      </c>
      <c r="B248" s="270" t="s">
        <v>26</v>
      </c>
      <c r="C248" s="275" t="s">
        <v>730</v>
      </c>
      <c r="D248" s="275" t="s">
        <v>400</v>
      </c>
      <c r="E248" s="270">
        <v>240</v>
      </c>
      <c r="F248" s="276">
        <f>'Приложение 9'!Q171</f>
        <v>80</v>
      </c>
    </row>
    <row r="249" spans="1:6" s="282" customFormat="1" ht="110.25">
      <c r="A249" s="287" t="s">
        <v>816</v>
      </c>
      <c r="B249" s="273" t="s">
        <v>283</v>
      </c>
      <c r="C249" s="274"/>
      <c r="D249" s="274"/>
      <c r="E249" s="273"/>
      <c r="F249" s="277">
        <f>F250</f>
        <v>43249.49999999999</v>
      </c>
    </row>
    <row r="250" spans="1:6" ht="63">
      <c r="A250" s="296" t="s">
        <v>119</v>
      </c>
      <c r="B250" s="297" t="s">
        <v>120</v>
      </c>
      <c r="C250" s="298"/>
      <c r="D250" s="298"/>
      <c r="E250" s="297"/>
      <c r="F250" s="299">
        <f>F253+F255+F251</f>
        <v>43249.49999999999</v>
      </c>
    </row>
    <row r="251" spans="1:6" ht="63">
      <c r="A251" s="18" t="s">
        <v>810</v>
      </c>
      <c r="B251" s="297" t="s">
        <v>182</v>
      </c>
      <c r="C251" s="298"/>
      <c r="D251" s="298"/>
      <c r="E251" s="297"/>
      <c r="F251" s="299">
        <f>F252</f>
        <v>40846.299999999996</v>
      </c>
    </row>
    <row r="252" spans="1:6" ht="15.75">
      <c r="A252" s="288" t="s">
        <v>525</v>
      </c>
      <c r="B252" s="297" t="s">
        <v>182</v>
      </c>
      <c r="C252" s="298" t="s">
        <v>730</v>
      </c>
      <c r="D252" s="298" t="s">
        <v>410</v>
      </c>
      <c r="E252" s="297">
        <v>410</v>
      </c>
      <c r="F252" s="299">
        <f>'Приложение 9'!Q180</f>
        <v>40846.299999999996</v>
      </c>
    </row>
    <row r="253" spans="1:6" ht="51.75" customHeight="1">
      <c r="A253" s="288" t="s">
        <v>811</v>
      </c>
      <c r="B253" s="270" t="s">
        <v>822</v>
      </c>
      <c r="C253" s="275"/>
      <c r="D253" s="275"/>
      <c r="E253" s="270"/>
      <c r="F253" s="276">
        <f>F254</f>
        <v>1702</v>
      </c>
    </row>
    <row r="254" spans="1:6" ht="15.75">
      <c r="A254" s="288" t="s">
        <v>525</v>
      </c>
      <c r="B254" s="270" t="s">
        <v>822</v>
      </c>
      <c r="C254" s="275" t="s">
        <v>730</v>
      </c>
      <c r="D254" s="275" t="s">
        <v>410</v>
      </c>
      <c r="E254" s="270">
        <v>410</v>
      </c>
      <c r="F254" s="276">
        <f>'Приложение 9'!Q182</f>
        <v>1702</v>
      </c>
    </row>
    <row r="255" spans="1:6" ht="60" customHeight="1">
      <c r="A255" s="288" t="s">
        <v>825</v>
      </c>
      <c r="B255" s="270" t="s">
        <v>826</v>
      </c>
      <c r="C255" s="275"/>
      <c r="D255" s="275"/>
      <c r="E255" s="270"/>
      <c r="F255" s="276">
        <f>F256</f>
        <v>701.2</v>
      </c>
    </row>
    <row r="256" spans="1:6" ht="15.75">
      <c r="A256" s="288" t="s">
        <v>525</v>
      </c>
      <c r="B256" s="270" t="s">
        <v>826</v>
      </c>
      <c r="C256" s="275" t="s">
        <v>730</v>
      </c>
      <c r="D256" s="275" t="s">
        <v>410</v>
      </c>
      <c r="E256" s="270">
        <v>410</v>
      </c>
      <c r="F256" s="276">
        <f>'Приложение 9'!Q184</f>
        <v>701.2</v>
      </c>
    </row>
    <row r="257" spans="1:6" s="282" customFormat="1" ht="67.5" customHeight="1">
      <c r="A257" s="287" t="s">
        <v>687</v>
      </c>
      <c r="B257" s="273" t="s">
        <v>411</v>
      </c>
      <c r="C257" s="274"/>
      <c r="D257" s="274"/>
      <c r="E257" s="273"/>
      <c r="F257" s="277">
        <f>F258+F261+F266+F271+F279</f>
        <v>550</v>
      </c>
    </row>
    <row r="258" spans="1:6" ht="67.5" customHeight="1">
      <c r="A258" s="288" t="s">
        <v>479</v>
      </c>
      <c r="B258" s="270" t="s">
        <v>412</v>
      </c>
      <c r="C258" s="275"/>
      <c r="D258" s="275"/>
      <c r="E258" s="270"/>
      <c r="F258" s="276">
        <f>F259</f>
        <v>10</v>
      </c>
    </row>
    <row r="259" spans="1:6" ht="94.5">
      <c r="A259" s="288" t="s">
        <v>501</v>
      </c>
      <c r="B259" s="270" t="s">
        <v>413</v>
      </c>
      <c r="C259" s="275"/>
      <c r="D259" s="275"/>
      <c r="E259" s="270"/>
      <c r="F259" s="276">
        <f>F260</f>
        <v>10</v>
      </c>
    </row>
    <row r="260" spans="1:6" ht="47.25">
      <c r="A260" s="288" t="s">
        <v>720</v>
      </c>
      <c r="B260" s="270" t="s">
        <v>413</v>
      </c>
      <c r="C260" s="275" t="s">
        <v>731</v>
      </c>
      <c r="D260" s="275" t="s">
        <v>396</v>
      </c>
      <c r="E260" s="270">
        <v>240</v>
      </c>
      <c r="F260" s="276">
        <f>'Приложение 9'!Q581</f>
        <v>10</v>
      </c>
    </row>
    <row r="261" spans="1:6" ht="63">
      <c r="A261" s="288" t="s">
        <v>324</v>
      </c>
      <c r="B261" s="270" t="s">
        <v>414</v>
      </c>
      <c r="C261" s="275"/>
      <c r="D261" s="275"/>
      <c r="E261" s="270"/>
      <c r="F261" s="276">
        <f>F262+F264</f>
        <v>140</v>
      </c>
    </row>
    <row r="262" spans="1:6" ht="15.75">
      <c r="A262" s="288" t="s">
        <v>331</v>
      </c>
      <c r="B262" s="270" t="s">
        <v>415</v>
      </c>
      <c r="C262" s="275"/>
      <c r="D262" s="275"/>
      <c r="E262" s="270"/>
      <c r="F262" s="276">
        <f>F263</f>
        <v>131</v>
      </c>
    </row>
    <row r="263" spans="1:6" ht="15.75">
      <c r="A263" s="288" t="s">
        <v>722</v>
      </c>
      <c r="B263" s="270" t="s">
        <v>415</v>
      </c>
      <c r="C263" s="275" t="s">
        <v>731</v>
      </c>
      <c r="D263" s="275" t="s">
        <v>395</v>
      </c>
      <c r="E263" s="270">
        <v>610</v>
      </c>
      <c r="F263" s="276">
        <f>'Приложение 9'!Q456</f>
        <v>131</v>
      </c>
    </row>
    <row r="264" spans="1:6" ht="31.5">
      <c r="A264" s="288" t="s">
        <v>334</v>
      </c>
      <c r="B264" s="270" t="s">
        <v>416</v>
      </c>
      <c r="C264" s="275"/>
      <c r="D264" s="275"/>
      <c r="E264" s="270"/>
      <c r="F264" s="276">
        <f>F265</f>
        <v>9</v>
      </c>
    </row>
    <row r="265" spans="1:6" ht="15.75">
      <c r="A265" s="288" t="s">
        <v>722</v>
      </c>
      <c r="B265" s="270" t="s">
        <v>416</v>
      </c>
      <c r="C265" s="275" t="s">
        <v>731</v>
      </c>
      <c r="D265" s="275" t="s">
        <v>398</v>
      </c>
      <c r="E265" s="270">
        <v>610</v>
      </c>
      <c r="F265" s="276">
        <f>'Приложение 9'!Q508</f>
        <v>9</v>
      </c>
    </row>
    <row r="266" spans="1:6" ht="47.25">
      <c r="A266" s="288" t="s">
        <v>320</v>
      </c>
      <c r="B266" s="270" t="s">
        <v>417</v>
      </c>
      <c r="C266" s="275"/>
      <c r="D266" s="275"/>
      <c r="E266" s="270"/>
      <c r="F266" s="276">
        <f>F267+F269</f>
        <v>34</v>
      </c>
    </row>
    <row r="267" spans="1:6" ht="15.75">
      <c r="A267" s="288" t="s">
        <v>331</v>
      </c>
      <c r="B267" s="270" t="s">
        <v>418</v>
      </c>
      <c r="C267" s="275"/>
      <c r="D267" s="275"/>
      <c r="E267" s="270"/>
      <c r="F267" s="276">
        <f>F268</f>
        <v>9</v>
      </c>
    </row>
    <row r="268" spans="1:6" ht="15.75">
      <c r="A268" s="288" t="s">
        <v>722</v>
      </c>
      <c r="B268" s="270" t="s">
        <v>418</v>
      </c>
      <c r="C268" s="275" t="s">
        <v>731</v>
      </c>
      <c r="D268" s="275" t="s">
        <v>395</v>
      </c>
      <c r="E268" s="270">
        <v>610</v>
      </c>
      <c r="F268" s="276">
        <f>'Приложение 9'!Q459</f>
        <v>9</v>
      </c>
    </row>
    <row r="269" spans="1:6" ht="31.5">
      <c r="A269" s="288" t="s">
        <v>334</v>
      </c>
      <c r="B269" s="270" t="s">
        <v>419</v>
      </c>
      <c r="C269" s="275"/>
      <c r="D269" s="275"/>
      <c r="E269" s="270"/>
      <c r="F269" s="276">
        <f>F270</f>
        <v>25</v>
      </c>
    </row>
    <row r="270" spans="1:6" ht="15.75">
      <c r="A270" s="288" t="s">
        <v>722</v>
      </c>
      <c r="B270" s="270" t="s">
        <v>419</v>
      </c>
      <c r="C270" s="275" t="s">
        <v>731</v>
      </c>
      <c r="D270" s="275" t="s">
        <v>398</v>
      </c>
      <c r="E270" s="270">
        <v>610</v>
      </c>
      <c r="F270" s="276">
        <f>'Приложение 9'!Q511</f>
        <v>25</v>
      </c>
    </row>
    <row r="271" spans="1:6" ht="81.75" customHeight="1">
      <c r="A271" s="288" t="s">
        <v>686</v>
      </c>
      <c r="B271" s="270" t="s">
        <v>420</v>
      </c>
      <c r="C271" s="275"/>
      <c r="D271" s="275"/>
      <c r="E271" s="270"/>
      <c r="F271" s="276">
        <f>F272+F274+F276</f>
        <v>166</v>
      </c>
    </row>
    <row r="272" spans="1:6" ht="15.75">
      <c r="A272" s="288" t="s">
        <v>331</v>
      </c>
      <c r="B272" s="270" t="s">
        <v>421</v>
      </c>
      <c r="C272" s="275"/>
      <c r="D272" s="275"/>
      <c r="E272" s="270"/>
      <c r="F272" s="276">
        <f>F273</f>
        <v>9</v>
      </c>
    </row>
    <row r="273" spans="1:6" ht="15.75">
      <c r="A273" s="288" t="s">
        <v>722</v>
      </c>
      <c r="B273" s="270" t="s">
        <v>421</v>
      </c>
      <c r="C273" s="275" t="s">
        <v>731</v>
      </c>
      <c r="D273" s="275" t="s">
        <v>395</v>
      </c>
      <c r="E273" s="270">
        <v>610</v>
      </c>
      <c r="F273" s="276">
        <f>'Приложение 9'!Q462</f>
        <v>9</v>
      </c>
    </row>
    <row r="274" spans="1:6" ht="31.5">
      <c r="A274" s="288" t="s">
        <v>334</v>
      </c>
      <c r="B274" s="270" t="s">
        <v>422</v>
      </c>
      <c r="C274" s="275"/>
      <c r="D274" s="275"/>
      <c r="E274" s="270"/>
      <c r="F274" s="276">
        <f>F275</f>
        <v>80</v>
      </c>
    </row>
    <row r="275" spans="1:6" ht="15.75">
      <c r="A275" s="288" t="s">
        <v>722</v>
      </c>
      <c r="B275" s="270" t="s">
        <v>422</v>
      </c>
      <c r="C275" s="275" t="s">
        <v>731</v>
      </c>
      <c r="D275" s="275" t="s">
        <v>398</v>
      </c>
      <c r="E275" s="270">
        <v>610</v>
      </c>
      <c r="F275" s="276">
        <f>'Приложение 9'!Q514</f>
        <v>80</v>
      </c>
    </row>
    <row r="276" spans="1:6" ht="94.5">
      <c r="A276" s="288" t="s">
        <v>501</v>
      </c>
      <c r="B276" s="270" t="s">
        <v>423</v>
      </c>
      <c r="C276" s="275"/>
      <c r="D276" s="275"/>
      <c r="E276" s="270"/>
      <c r="F276" s="276">
        <f>SUM(F277:F278)</f>
        <v>77</v>
      </c>
    </row>
    <row r="277" spans="1:6" ht="47.25">
      <c r="A277" s="288" t="s">
        <v>720</v>
      </c>
      <c r="B277" s="270" t="s">
        <v>423</v>
      </c>
      <c r="C277" s="275" t="s">
        <v>731</v>
      </c>
      <c r="D277" s="275" t="s">
        <v>396</v>
      </c>
      <c r="E277" s="270">
        <v>240</v>
      </c>
      <c r="F277" s="276">
        <f>'Приложение 9'!Q584</f>
        <v>7</v>
      </c>
    </row>
    <row r="278" spans="1:6" ht="47.25">
      <c r="A278" s="288" t="s">
        <v>725</v>
      </c>
      <c r="B278" s="270" t="s">
        <v>423</v>
      </c>
      <c r="C278" s="275" t="s">
        <v>731</v>
      </c>
      <c r="D278" s="275" t="s">
        <v>396</v>
      </c>
      <c r="E278" s="270">
        <v>320</v>
      </c>
      <c r="F278" s="276">
        <f>'Приложение 9'!Q585</f>
        <v>70</v>
      </c>
    </row>
    <row r="279" spans="1:6" ht="60.75" customHeight="1">
      <c r="A279" s="288" t="s">
        <v>253</v>
      </c>
      <c r="B279" s="270" t="s">
        <v>424</v>
      </c>
      <c r="C279" s="275"/>
      <c r="D279" s="275"/>
      <c r="E279" s="270"/>
      <c r="F279" s="276">
        <f>F280+F282</f>
        <v>200</v>
      </c>
    </row>
    <row r="280" spans="1:6" ht="31.5">
      <c r="A280" s="288" t="s">
        <v>334</v>
      </c>
      <c r="B280" s="270" t="s">
        <v>425</v>
      </c>
      <c r="C280" s="275"/>
      <c r="D280" s="275"/>
      <c r="E280" s="270"/>
      <c r="F280" s="276">
        <f>F281</f>
        <v>125</v>
      </c>
    </row>
    <row r="281" spans="1:6" ht="15.75">
      <c r="A281" s="288" t="s">
        <v>722</v>
      </c>
      <c r="B281" s="270" t="s">
        <v>425</v>
      </c>
      <c r="C281" s="275" t="s">
        <v>731</v>
      </c>
      <c r="D281" s="275" t="s">
        <v>398</v>
      </c>
      <c r="E281" s="270">
        <v>610</v>
      </c>
      <c r="F281" s="276">
        <f>'Приложение 9'!Q517</f>
        <v>125</v>
      </c>
    </row>
    <row r="282" spans="1:6" ht="94.5">
      <c r="A282" s="288" t="s">
        <v>501</v>
      </c>
      <c r="B282" s="270" t="s">
        <v>426</v>
      </c>
      <c r="C282" s="275"/>
      <c r="D282" s="275"/>
      <c r="E282" s="270"/>
      <c r="F282" s="276">
        <f>F283</f>
        <v>75</v>
      </c>
    </row>
    <row r="283" spans="1:6" ht="47.25">
      <c r="A283" s="288" t="s">
        <v>725</v>
      </c>
      <c r="B283" s="270" t="s">
        <v>426</v>
      </c>
      <c r="C283" s="275" t="s">
        <v>731</v>
      </c>
      <c r="D283" s="275" t="s">
        <v>396</v>
      </c>
      <c r="E283" s="270">
        <v>320</v>
      </c>
      <c r="F283" s="276">
        <f>'Приложение 9'!Q588</f>
        <v>75</v>
      </c>
    </row>
    <row r="284" spans="1:6" s="282" customFormat="1" ht="63">
      <c r="A284" s="287" t="s">
        <v>682</v>
      </c>
      <c r="B284" s="273" t="s">
        <v>427</v>
      </c>
      <c r="C284" s="274"/>
      <c r="D284" s="274"/>
      <c r="E284" s="273"/>
      <c r="F284" s="277">
        <f>F288+F285+F293</f>
        <v>37557.5</v>
      </c>
    </row>
    <row r="285" spans="1:6" ht="94.5">
      <c r="A285" s="11" t="s">
        <v>96</v>
      </c>
      <c r="B285" s="297" t="s">
        <v>97</v>
      </c>
      <c r="C285" s="298"/>
      <c r="D285" s="298"/>
      <c r="E285" s="297"/>
      <c r="F285" s="299">
        <f>F286</f>
        <v>150</v>
      </c>
    </row>
    <row r="286" spans="1:6" ht="31.5">
      <c r="A286" s="11" t="s">
        <v>314</v>
      </c>
      <c r="B286" s="297" t="s">
        <v>98</v>
      </c>
      <c r="C286" s="298"/>
      <c r="D286" s="298"/>
      <c r="E286" s="297"/>
      <c r="F286" s="299">
        <f>F287</f>
        <v>150</v>
      </c>
    </row>
    <row r="287" spans="1:6" ht="15.75">
      <c r="A287" s="11" t="s">
        <v>722</v>
      </c>
      <c r="B287" s="297" t="s">
        <v>98</v>
      </c>
      <c r="C287" s="298" t="s">
        <v>730</v>
      </c>
      <c r="D287" s="298" t="s">
        <v>430</v>
      </c>
      <c r="E287" s="297">
        <v>610</v>
      </c>
      <c r="F287" s="299">
        <f>'Приложение 9'!Q306</f>
        <v>150</v>
      </c>
    </row>
    <row r="288" spans="1:6" ht="31.5">
      <c r="A288" s="288" t="s">
        <v>315</v>
      </c>
      <c r="B288" s="270" t="s">
        <v>428</v>
      </c>
      <c r="C288" s="275"/>
      <c r="D288" s="275"/>
      <c r="E288" s="270"/>
      <c r="F288" s="276">
        <f>F289+F291</f>
        <v>8131.6</v>
      </c>
    </row>
    <row r="289" spans="1:6" ht="31.5">
      <c r="A289" s="288" t="s">
        <v>314</v>
      </c>
      <c r="B289" s="270" t="s">
        <v>429</v>
      </c>
      <c r="C289" s="275"/>
      <c r="D289" s="275"/>
      <c r="E289" s="270"/>
      <c r="F289" s="276">
        <f>F290</f>
        <v>6607.1</v>
      </c>
    </row>
    <row r="290" spans="1:6" ht="15.75">
      <c r="A290" s="288" t="s">
        <v>722</v>
      </c>
      <c r="B290" s="270" t="s">
        <v>429</v>
      </c>
      <c r="C290" s="275" t="s">
        <v>730</v>
      </c>
      <c r="D290" s="275" t="s">
        <v>430</v>
      </c>
      <c r="E290" s="270">
        <v>610</v>
      </c>
      <c r="F290" s="276">
        <f>'Приложение 9'!Q309</f>
        <v>6607.1</v>
      </c>
    </row>
    <row r="291" spans="1:6" ht="78.75">
      <c r="A291" s="11" t="s">
        <v>61</v>
      </c>
      <c r="B291" s="297" t="s">
        <v>67</v>
      </c>
      <c r="C291" s="275"/>
      <c r="D291" s="275"/>
      <c r="E291" s="270"/>
      <c r="F291" s="276">
        <f>F292</f>
        <v>1524.5</v>
      </c>
    </row>
    <row r="292" spans="1:6" ht="15.75">
      <c r="A292" s="11" t="s">
        <v>722</v>
      </c>
      <c r="B292" s="297" t="s">
        <v>67</v>
      </c>
      <c r="C292" s="298" t="s">
        <v>730</v>
      </c>
      <c r="D292" s="298" t="s">
        <v>430</v>
      </c>
      <c r="E292" s="270">
        <v>610</v>
      </c>
      <c r="F292" s="276">
        <f>'Приложение 9'!Q311</f>
        <v>1524.5</v>
      </c>
    </row>
    <row r="293" spans="1:6" ht="78.75">
      <c r="A293" s="11" t="s">
        <v>203</v>
      </c>
      <c r="B293" s="297" t="s">
        <v>205</v>
      </c>
      <c r="C293" s="298"/>
      <c r="D293" s="298"/>
      <c r="E293" s="270"/>
      <c r="F293" s="276">
        <f>F294+F296+F298</f>
        <v>29275.9</v>
      </c>
    </row>
    <row r="294" spans="1:6" ht="94.5">
      <c r="A294" s="11" t="s">
        <v>204</v>
      </c>
      <c r="B294" s="297" t="s">
        <v>206</v>
      </c>
      <c r="C294" s="298"/>
      <c r="D294" s="298"/>
      <c r="E294" s="270"/>
      <c r="F294" s="276">
        <f>F295</f>
        <v>8130</v>
      </c>
    </row>
    <row r="295" spans="1:6" ht="15.75">
      <c r="A295" s="11" t="s">
        <v>722</v>
      </c>
      <c r="B295" s="297" t="s">
        <v>206</v>
      </c>
      <c r="C295" s="298" t="s">
        <v>730</v>
      </c>
      <c r="D295" s="298" t="s">
        <v>430</v>
      </c>
      <c r="E295" s="270">
        <v>610</v>
      </c>
      <c r="F295" s="276">
        <f>'Приложение 9'!Q314</f>
        <v>8130</v>
      </c>
    </row>
    <row r="296" spans="1:6" ht="94.5">
      <c r="A296" s="11" t="s">
        <v>221</v>
      </c>
      <c r="B296" s="297" t="s">
        <v>223</v>
      </c>
      <c r="C296" s="298"/>
      <c r="D296" s="298"/>
      <c r="E296" s="270"/>
      <c r="F296" s="276">
        <f>F297</f>
        <v>259</v>
      </c>
    </row>
    <row r="297" spans="1:6" ht="15.75">
      <c r="A297" s="11" t="s">
        <v>722</v>
      </c>
      <c r="B297" s="297" t="s">
        <v>223</v>
      </c>
      <c r="C297" s="298" t="s">
        <v>730</v>
      </c>
      <c r="D297" s="298" t="s">
        <v>430</v>
      </c>
      <c r="E297" s="270">
        <v>610</v>
      </c>
      <c r="F297" s="276">
        <f>'Приложение 9'!Q316</f>
        <v>259</v>
      </c>
    </row>
    <row r="298" spans="1:6" ht="94.5">
      <c r="A298" s="11" t="s">
        <v>222</v>
      </c>
      <c r="B298" s="297" t="s">
        <v>224</v>
      </c>
      <c r="C298" s="298"/>
      <c r="D298" s="298"/>
      <c r="E298" s="270"/>
      <c r="F298" s="276">
        <f>F299</f>
        <v>20886.9</v>
      </c>
    </row>
    <row r="299" spans="1:6" ht="15.75">
      <c r="A299" s="11" t="s">
        <v>722</v>
      </c>
      <c r="B299" s="297" t="s">
        <v>224</v>
      </c>
      <c r="C299" s="298" t="s">
        <v>730</v>
      </c>
      <c r="D299" s="298" t="s">
        <v>430</v>
      </c>
      <c r="E299" s="270">
        <v>610</v>
      </c>
      <c r="F299" s="276">
        <f>'Приложение 9'!Q318</f>
        <v>20886.9</v>
      </c>
    </row>
    <row r="300" spans="1:6" s="282" customFormat="1" ht="63">
      <c r="A300" s="125" t="s">
        <v>665</v>
      </c>
      <c r="B300" s="273" t="s">
        <v>481</v>
      </c>
      <c r="C300" s="274"/>
      <c r="D300" s="274"/>
      <c r="E300" s="273"/>
      <c r="F300" s="277">
        <f>F301+F310+F315+F325</f>
        <v>52294.1</v>
      </c>
    </row>
    <row r="301" spans="1:6" ht="63">
      <c r="A301" s="24" t="s">
        <v>301</v>
      </c>
      <c r="B301" s="270" t="s">
        <v>482</v>
      </c>
      <c r="C301" s="275"/>
      <c r="D301" s="275"/>
      <c r="E301" s="270"/>
      <c r="F301" s="276">
        <f>F302+F306+F308+F304</f>
        <v>13072.400000000001</v>
      </c>
    </row>
    <row r="302" spans="1:6" ht="15.75">
      <c r="A302" s="24" t="s">
        <v>303</v>
      </c>
      <c r="B302" s="270" t="s">
        <v>483</v>
      </c>
      <c r="C302" s="275"/>
      <c r="D302" s="275"/>
      <c r="E302" s="270"/>
      <c r="F302" s="276">
        <f>F303</f>
        <v>9887.2</v>
      </c>
    </row>
    <row r="303" spans="1:6" ht="15.75">
      <c r="A303" s="288" t="s">
        <v>722</v>
      </c>
      <c r="B303" s="270" t="s">
        <v>483</v>
      </c>
      <c r="C303" s="275" t="s">
        <v>730</v>
      </c>
      <c r="D303" s="275" t="s">
        <v>484</v>
      </c>
      <c r="E303" s="270">
        <v>610</v>
      </c>
      <c r="F303" s="276">
        <f>'Приложение 9'!Q250</f>
        <v>9887.2</v>
      </c>
    </row>
    <row r="304" spans="1:6" ht="78.75">
      <c r="A304" s="257" t="s">
        <v>61</v>
      </c>
      <c r="B304" s="297" t="s">
        <v>65</v>
      </c>
      <c r="C304" s="275"/>
      <c r="D304" s="275"/>
      <c r="E304" s="270"/>
      <c r="F304" s="276">
        <f>F305</f>
        <v>1224.1</v>
      </c>
    </row>
    <row r="305" spans="1:6" ht="15.75">
      <c r="A305" s="257" t="s">
        <v>722</v>
      </c>
      <c r="B305" s="297" t="s">
        <v>65</v>
      </c>
      <c r="C305" s="298" t="s">
        <v>730</v>
      </c>
      <c r="D305" s="298" t="s">
        <v>484</v>
      </c>
      <c r="E305" s="270">
        <v>610</v>
      </c>
      <c r="F305" s="276">
        <f>'Приложение 9'!Q252</f>
        <v>1224.1</v>
      </c>
    </row>
    <row r="306" spans="1:6" ht="47.25">
      <c r="A306" s="5" t="s">
        <v>813</v>
      </c>
      <c r="B306" s="270" t="s">
        <v>485</v>
      </c>
      <c r="C306" s="275"/>
      <c r="D306" s="275"/>
      <c r="E306" s="270"/>
      <c r="F306" s="276">
        <f>F307</f>
        <v>340</v>
      </c>
    </row>
    <row r="307" spans="1:6" ht="15.75">
      <c r="A307" s="288" t="s">
        <v>722</v>
      </c>
      <c r="B307" s="270" t="s">
        <v>485</v>
      </c>
      <c r="C307" s="275" t="s">
        <v>730</v>
      </c>
      <c r="D307" s="275" t="s">
        <v>484</v>
      </c>
      <c r="E307" s="270">
        <v>610</v>
      </c>
      <c r="F307" s="276">
        <f>'Приложение 9'!Q254</f>
        <v>340</v>
      </c>
    </row>
    <row r="308" spans="1:6" ht="47.25">
      <c r="A308" s="5" t="s">
        <v>675</v>
      </c>
      <c r="B308" s="270" t="s">
        <v>486</v>
      </c>
      <c r="C308" s="275"/>
      <c r="D308" s="275"/>
      <c r="E308" s="270"/>
      <c r="F308" s="276">
        <f>F309</f>
        <v>1621.1</v>
      </c>
    </row>
    <row r="309" spans="1:6" ht="15.75">
      <c r="A309" s="288" t="s">
        <v>722</v>
      </c>
      <c r="B309" s="270" t="s">
        <v>486</v>
      </c>
      <c r="C309" s="275" t="s">
        <v>730</v>
      </c>
      <c r="D309" s="275" t="s">
        <v>484</v>
      </c>
      <c r="E309" s="270">
        <v>610</v>
      </c>
      <c r="F309" s="276">
        <f>'Приложение 9'!Q256</f>
        <v>1621.1</v>
      </c>
    </row>
    <row r="310" spans="1:6" ht="63">
      <c r="A310" s="5" t="s">
        <v>676</v>
      </c>
      <c r="B310" s="270" t="s">
        <v>487</v>
      </c>
      <c r="C310" s="275"/>
      <c r="D310" s="275"/>
      <c r="E310" s="270"/>
      <c r="F310" s="276">
        <f>F311+F313</f>
        <v>11780.6</v>
      </c>
    </row>
    <row r="311" spans="1:6" ht="15.75">
      <c r="A311" s="5" t="s">
        <v>262</v>
      </c>
      <c r="B311" s="270" t="s">
        <v>488</v>
      </c>
      <c r="C311" s="275"/>
      <c r="D311" s="275"/>
      <c r="E311" s="270"/>
      <c r="F311" s="276">
        <f>F312</f>
        <v>9107.6</v>
      </c>
    </row>
    <row r="312" spans="1:6" ht="15.75">
      <c r="A312" s="288" t="s">
        <v>722</v>
      </c>
      <c r="B312" s="270" t="s">
        <v>488</v>
      </c>
      <c r="C312" s="275" t="s">
        <v>730</v>
      </c>
      <c r="D312" s="275" t="s">
        <v>484</v>
      </c>
      <c r="E312" s="270">
        <v>610</v>
      </c>
      <c r="F312" s="276">
        <f>'Приложение 9'!Q259</f>
        <v>9107.6</v>
      </c>
    </row>
    <row r="313" spans="1:6" ht="78.75">
      <c r="A313" s="257" t="s">
        <v>61</v>
      </c>
      <c r="B313" s="297" t="s">
        <v>66</v>
      </c>
      <c r="C313" s="275"/>
      <c r="D313" s="275"/>
      <c r="E313" s="270"/>
      <c r="F313" s="276">
        <f>F314</f>
        <v>2673</v>
      </c>
    </row>
    <row r="314" spans="1:6" ht="15.75">
      <c r="A314" s="257" t="s">
        <v>722</v>
      </c>
      <c r="B314" s="297" t="s">
        <v>66</v>
      </c>
      <c r="C314" s="298" t="s">
        <v>730</v>
      </c>
      <c r="D314" s="298" t="s">
        <v>484</v>
      </c>
      <c r="E314" s="270">
        <v>610</v>
      </c>
      <c r="F314" s="276">
        <f>'Приложение 9'!Q261</f>
        <v>2673</v>
      </c>
    </row>
    <row r="315" spans="1:6" ht="63">
      <c r="A315" s="2" t="s">
        <v>368</v>
      </c>
      <c r="B315" s="270" t="s">
        <v>489</v>
      </c>
      <c r="C315" s="275"/>
      <c r="D315" s="275"/>
      <c r="E315" s="270"/>
      <c r="F315" s="276">
        <f>F318+F320+F322+F316</f>
        <v>20245</v>
      </c>
    </row>
    <row r="316" spans="1:6" ht="15.75">
      <c r="A316" s="5" t="s">
        <v>262</v>
      </c>
      <c r="B316" s="297" t="s">
        <v>93</v>
      </c>
      <c r="C316" s="275"/>
      <c r="D316" s="275"/>
      <c r="E316" s="270"/>
      <c r="F316" s="276">
        <f>F317</f>
        <v>4200</v>
      </c>
    </row>
    <row r="317" spans="1:6" ht="15.75">
      <c r="A317" s="5" t="s">
        <v>722</v>
      </c>
      <c r="B317" s="297" t="s">
        <v>93</v>
      </c>
      <c r="C317" s="298" t="s">
        <v>730</v>
      </c>
      <c r="D317" s="298" t="s">
        <v>484</v>
      </c>
      <c r="E317" s="270">
        <v>610</v>
      </c>
      <c r="F317" s="276">
        <f>'Приложение 9'!Q264</f>
        <v>4200</v>
      </c>
    </row>
    <row r="318" spans="1:6" ht="15.75">
      <c r="A318" s="2" t="s">
        <v>677</v>
      </c>
      <c r="B318" s="270" t="s">
        <v>490</v>
      </c>
      <c r="C318" s="275"/>
      <c r="D318" s="275"/>
      <c r="E318" s="270"/>
      <c r="F318" s="276">
        <f>F319</f>
        <v>70</v>
      </c>
    </row>
    <row r="319" spans="1:6" ht="15.75">
      <c r="A319" s="5" t="s">
        <v>722</v>
      </c>
      <c r="B319" s="270" t="s">
        <v>490</v>
      </c>
      <c r="C319" s="275" t="s">
        <v>730</v>
      </c>
      <c r="D319" s="275" t="s">
        <v>484</v>
      </c>
      <c r="E319" s="270">
        <v>610</v>
      </c>
      <c r="F319" s="276">
        <f>'Приложение 9'!Q266</f>
        <v>70</v>
      </c>
    </row>
    <row r="320" spans="1:6" ht="48.75" customHeight="1">
      <c r="A320" s="5" t="s">
        <v>294</v>
      </c>
      <c r="B320" s="270" t="s">
        <v>491</v>
      </c>
      <c r="C320" s="275"/>
      <c r="D320" s="275"/>
      <c r="E320" s="270"/>
      <c r="F320" s="276">
        <f>F321</f>
        <v>13375</v>
      </c>
    </row>
    <row r="321" spans="1:6" ht="15.75">
      <c r="A321" s="288" t="s">
        <v>722</v>
      </c>
      <c r="B321" s="270" t="s">
        <v>491</v>
      </c>
      <c r="C321" s="275" t="s">
        <v>730</v>
      </c>
      <c r="D321" s="275" t="s">
        <v>484</v>
      </c>
      <c r="E321" s="270">
        <v>610</v>
      </c>
      <c r="F321" s="276">
        <f>'Приложение 9'!Q268</f>
        <v>13375</v>
      </c>
    </row>
    <row r="322" spans="1:6" ht="31.5">
      <c r="A322" s="296" t="s">
        <v>124</v>
      </c>
      <c r="B322" s="297" t="s">
        <v>125</v>
      </c>
      <c r="C322" s="275"/>
      <c r="D322" s="275"/>
      <c r="E322" s="270"/>
      <c r="F322" s="276">
        <f>F323</f>
        <v>2600</v>
      </c>
    </row>
    <row r="323" spans="1:6" ht="94.5">
      <c r="A323" s="32" t="s">
        <v>797</v>
      </c>
      <c r="B323" s="297" t="s">
        <v>95</v>
      </c>
      <c r="C323" s="275"/>
      <c r="D323" s="275"/>
      <c r="E323" s="270"/>
      <c r="F323" s="276">
        <f>F324</f>
        <v>2600</v>
      </c>
    </row>
    <row r="324" spans="1:6" ht="15.75">
      <c r="A324" s="288" t="s">
        <v>722</v>
      </c>
      <c r="B324" s="297" t="s">
        <v>95</v>
      </c>
      <c r="C324" s="275" t="s">
        <v>730</v>
      </c>
      <c r="D324" s="275" t="s">
        <v>484</v>
      </c>
      <c r="E324" s="270">
        <v>610</v>
      </c>
      <c r="F324" s="276">
        <f>'Приложение 9'!Q271</f>
        <v>2600</v>
      </c>
    </row>
    <row r="325" spans="1:6" ht="78.75">
      <c r="A325" s="29" t="s">
        <v>667</v>
      </c>
      <c r="B325" s="270" t="s">
        <v>492</v>
      </c>
      <c r="C325" s="275"/>
      <c r="D325" s="275"/>
      <c r="E325" s="270"/>
      <c r="F325" s="276">
        <f>F326+F328</f>
        <v>7196.1</v>
      </c>
    </row>
    <row r="326" spans="1:6" ht="31.5">
      <c r="A326" s="29" t="s">
        <v>335</v>
      </c>
      <c r="B326" s="270" t="s">
        <v>493</v>
      </c>
      <c r="C326" s="275"/>
      <c r="D326" s="275"/>
      <c r="E326" s="270"/>
      <c r="F326" s="276">
        <f>F327</f>
        <v>5758.1</v>
      </c>
    </row>
    <row r="327" spans="1:6" ht="15.75">
      <c r="A327" s="288" t="s">
        <v>722</v>
      </c>
      <c r="B327" s="270" t="s">
        <v>493</v>
      </c>
      <c r="C327" s="275" t="s">
        <v>730</v>
      </c>
      <c r="D327" s="275" t="s">
        <v>399</v>
      </c>
      <c r="E327" s="270">
        <v>610</v>
      </c>
      <c r="F327" s="276">
        <f>'Приложение 9'!Q227</f>
        <v>5758.1</v>
      </c>
    </row>
    <row r="328" spans="1:6" ht="78.75">
      <c r="A328" s="257" t="s">
        <v>61</v>
      </c>
      <c r="B328" s="297" t="s">
        <v>64</v>
      </c>
      <c r="C328" s="275"/>
      <c r="D328" s="275"/>
      <c r="E328" s="270"/>
      <c r="F328" s="276">
        <f>F329</f>
        <v>1438</v>
      </c>
    </row>
    <row r="329" spans="1:6" ht="15.75">
      <c r="A329" s="257" t="s">
        <v>722</v>
      </c>
      <c r="B329" s="297" t="s">
        <v>64</v>
      </c>
      <c r="C329" s="298" t="s">
        <v>730</v>
      </c>
      <c r="D329" s="298" t="s">
        <v>399</v>
      </c>
      <c r="E329" s="270">
        <v>610</v>
      </c>
      <c r="F329" s="276">
        <f>'Приложение 9'!Q229</f>
        <v>1438</v>
      </c>
    </row>
    <row r="330" spans="1:6" s="282" customFormat="1" ht="40.5" customHeight="1">
      <c r="A330" s="287" t="s">
        <v>669</v>
      </c>
      <c r="B330" s="273" t="s">
        <v>452</v>
      </c>
      <c r="C330" s="274"/>
      <c r="D330" s="274"/>
      <c r="E330" s="273"/>
      <c r="F330" s="277">
        <f>F331+F338+F341+F344</f>
        <v>1146.5</v>
      </c>
    </row>
    <row r="331" spans="1:6" ht="78.75">
      <c r="A331" s="288" t="s">
        <v>671</v>
      </c>
      <c r="B331" s="270" t="s">
        <v>453</v>
      </c>
      <c r="C331" s="275"/>
      <c r="D331" s="275"/>
      <c r="E331" s="270"/>
      <c r="F331" s="276">
        <f>F332+F336+F334</f>
        <v>102.7</v>
      </c>
    </row>
    <row r="332" spans="1:6" ht="15.75">
      <c r="A332" s="288" t="s">
        <v>262</v>
      </c>
      <c r="B332" s="270" t="s">
        <v>454</v>
      </c>
      <c r="C332" s="275"/>
      <c r="D332" s="275"/>
      <c r="E332" s="270"/>
      <c r="F332" s="276">
        <f>F333</f>
        <v>22.700000000000003</v>
      </c>
    </row>
    <row r="333" spans="1:6" ht="15.75">
      <c r="A333" s="288" t="s">
        <v>722</v>
      </c>
      <c r="B333" s="270" t="s">
        <v>454</v>
      </c>
      <c r="C333" s="275" t="s">
        <v>730</v>
      </c>
      <c r="D333" s="275" t="s">
        <v>455</v>
      </c>
      <c r="E333" s="270">
        <v>610</v>
      </c>
      <c r="F333" s="276">
        <f>'Приложение 9'!Q234</f>
        <v>22.700000000000003</v>
      </c>
    </row>
    <row r="334" spans="1:6" ht="31.5">
      <c r="A334" s="257" t="s">
        <v>189</v>
      </c>
      <c r="B334" s="297" t="s">
        <v>190</v>
      </c>
      <c r="C334" s="275"/>
      <c r="D334" s="275"/>
      <c r="E334" s="270"/>
      <c r="F334" s="276">
        <f>F335</f>
        <v>40</v>
      </c>
    </row>
    <row r="335" spans="1:6" ht="47.25">
      <c r="A335" s="116" t="s">
        <v>720</v>
      </c>
      <c r="B335" s="297" t="s">
        <v>190</v>
      </c>
      <c r="C335" s="298" t="s">
        <v>730</v>
      </c>
      <c r="D335" s="298" t="s">
        <v>455</v>
      </c>
      <c r="E335" s="270">
        <v>240</v>
      </c>
      <c r="F335" s="276">
        <f>'Приложение 9'!Q236</f>
        <v>40</v>
      </c>
    </row>
    <row r="336" spans="1:6" ht="63">
      <c r="A336" s="288" t="s">
        <v>670</v>
      </c>
      <c r="B336" s="270" t="s">
        <v>456</v>
      </c>
      <c r="C336" s="275"/>
      <c r="D336" s="275"/>
      <c r="E336" s="270"/>
      <c r="F336" s="276">
        <f>F337</f>
        <v>40</v>
      </c>
    </row>
    <row r="337" spans="1:6" ht="15.75">
      <c r="A337" s="288" t="s">
        <v>722</v>
      </c>
      <c r="B337" s="270" t="s">
        <v>456</v>
      </c>
      <c r="C337" s="275" t="s">
        <v>730</v>
      </c>
      <c r="D337" s="275" t="s">
        <v>455</v>
      </c>
      <c r="E337" s="270">
        <v>610</v>
      </c>
      <c r="F337" s="276">
        <f>'Приложение 9'!Q238</f>
        <v>40</v>
      </c>
    </row>
    <row r="338" spans="1:6" ht="78.75">
      <c r="A338" s="288" t="s">
        <v>672</v>
      </c>
      <c r="B338" s="270" t="s">
        <v>457</v>
      </c>
      <c r="C338" s="275"/>
      <c r="D338" s="275"/>
      <c r="E338" s="270"/>
      <c r="F338" s="276">
        <f>F339</f>
        <v>12.5</v>
      </c>
    </row>
    <row r="339" spans="1:6" ht="15.75">
      <c r="A339" s="288" t="s">
        <v>262</v>
      </c>
      <c r="B339" s="270" t="s">
        <v>458</v>
      </c>
      <c r="C339" s="275"/>
      <c r="D339" s="275"/>
      <c r="E339" s="270"/>
      <c r="F339" s="276">
        <f>F340</f>
        <v>12.5</v>
      </c>
    </row>
    <row r="340" spans="1:6" ht="15.75">
      <c r="A340" s="288" t="s">
        <v>722</v>
      </c>
      <c r="B340" s="270" t="s">
        <v>458</v>
      </c>
      <c r="C340" s="275" t="s">
        <v>730</v>
      </c>
      <c r="D340" s="275" t="s">
        <v>455</v>
      </c>
      <c r="E340" s="270">
        <v>610</v>
      </c>
      <c r="F340" s="276">
        <f>'Приложение 9'!Q241</f>
        <v>12.5</v>
      </c>
    </row>
    <row r="341" spans="1:6" ht="63">
      <c r="A341" s="288" t="s">
        <v>673</v>
      </c>
      <c r="B341" s="270" t="s">
        <v>459</v>
      </c>
      <c r="C341" s="275"/>
      <c r="D341" s="275"/>
      <c r="E341" s="270"/>
      <c r="F341" s="276">
        <f>F342</f>
        <v>9.5</v>
      </c>
    </row>
    <row r="342" spans="1:6" ht="15.75">
      <c r="A342" s="288" t="s">
        <v>262</v>
      </c>
      <c r="B342" s="270" t="s">
        <v>460</v>
      </c>
      <c r="C342" s="275"/>
      <c r="D342" s="275"/>
      <c r="E342" s="270"/>
      <c r="F342" s="276">
        <f>F343</f>
        <v>9.5</v>
      </c>
    </row>
    <row r="343" spans="1:6" ht="15.75">
      <c r="A343" s="288" t="s">
        <v>722</v>
      </c>
      <c r="B343" s="270" t="s">
        <v>460</v>
      </c>
      <c r="C343" s="275" t="s">
        <v>730</v>
      </c>
      <c r="D343" s="275" t="s">
        <v>455</v>
      </c>
      <c r="E343" s="270">
        <v>610</v>
      </c>
      <c r="F343" s="276">
        <f>'Приложение 9'!Q244</f>
        <v>9.5</v>
      </c>
    </row>
    <row r="344" spans="1:6" ht="31.5">
      <c r="A344" s="288" t="s">
        <v>678</v>
      </c>
      <c r="B344" s="270" t="s">
        <v>461</v>
      </c>
      <c r="C344" s="275"/>
      <c r="D344" s="275"/>
      <c r="E344" s="270"/>
      <c r="F344" s="276">
        <f>F345</f>
        <v>1021.8</v>
      </c>
    </row>
    <row r="345" spans="1:6" ht="31.5">
      <c r="A345" s="288" t="s">
        <v>679</v>
      </c>
      <c r="B345" s="270" t="s">
        <v>462</v>
      </c>
      <c r="C345" s="275"/>
      <c r="D345" s="275"/>
      <c r="E345" s="270"/>
      <c r="F345" s="276">
        <f>F346</f>
        <v>1021.8</v>
      </c>
    </row>
    <row r="346" spans="1:6" ht="47.25">
      <c r="A346" s="288" t="s">
        <v>725</v>
      </c>
      <c r="B346" s="270" t="s">
        <v>462</v>
      </c>
      <c r="C346" s="275" t="s">
        <v>730</v>
      </c>
      <c r="D346" s="275" t="s">
        <v>392</v>
      </c>
      <c r="E346" s="270">
        <v>320</v>
      </c>
      <c r="F346" s="276">
        <f>'Приложение 9'!Q284</f>
        <v>1021.8</v>
      </c>
    </row>
    <row r="347" spans="1:6" s="282" customFormat="1" ht="78.75">
      <c r="A347" s="287" t="s">
        <v>800</v>
      </c>
      <c r="B347" s="273" t="s">
        <v>802</v>
      </c>
      <c r="C347" s="274"/>
      <c r="D347" s="274"/>
      <c r="E347" s="273"/>
      <c r="F347" s="277">
        <f>F348</f>
        <v>313.1</v>
      </c>
    </row>
    <row r="348" spans="1:6" ht="78.75">
      <c r="A348" s="296" t="s">
        <v>122</v>
      </c>
      <c r="B348" s="297" t="s">
        <v>123</v>
      </c>
      <c r="C348" s="298"/>
      <c r="D348" s="298"/>
      <c r="E348" s="297"/>
      <c r="F348" s="299">
        <f>F349</f>
        <v>313.1</v>
      </c>
    </row>
    <row r="349" spans="1:6" ht="31.5">
      <c r="A349" s="288" t="s">
        <v>799</v>
      </c>
      <c r="B349" s="270" t="s">
        <v>463</v>
      </c>
      <c r="C349" s="275"/>
      <c r="D349" s="275"/>
      <c r="E349" s="270"/>
      <c r="F349" s="276">
        <f>F350</f>
        <v>313.1</v>
      </c>
    </row>
    <row r="350" spans="1:6" ht="47.25">
      <c r="A350" s="288" t="s">
        <v>720</v>
      </c>
      <c r="B350" s="270" t="s">
        <v>463</v>
      </c>
      <c r="C350" s="275" t="s">
        <v>730</v>
      </c>
      <c r="D350" s="275" t="s">
        <v>464</v>
      </c>
      <c r="E350" s="270">
        <v>240</v>
      </c>
      <c r="F350" s="276">
        <f>'Приложение 9'!Q201</f>
        <v>313.1</v>
      </c>
    </row>
    <row r="351" spans="1:6" ht="78.75">
      <c r="A351" s="287" t="s">
        <v>140</v>
      </c>
      <c r="B351" s="273" t="s">
        <v>149</v>
      </c>
      <c r="C351" s="274"/>
      <c r="D351" s="274"/>
      <c r="E351" s="273"/>
      <c r="F351" s="277">
        <f>F352+F355+F358+F362+F376</f>
        <v>10726.2</v>
      </c>
    </row>
    <row r="352" spans="1:6" ht="47.25">
      <c r="A352" s="11" t="s">
        <v>142</v>
      </c>
      <c r="B352" s="297" t="s">
        <v>150</v>
      </c>
      <c r="C352" s="275"/>
      <c r="D352" s="275"/>
      <c r="E352" s="270"/>
      <c r="F352" s="276">
        <f>F353</f>
        <v>470</v>
      </c>
    </row>
    <row r="353" spans="1:6" ht="31.5">
      <c r="A353" s="11" t="s">
        <v>369</v>
      </c>
      <c r="B353" s="297" t="s">
        <v>151</v>
      </c>
      <c r="C353" s="275"/>
      <c r="D353" s="275"/>
      <c r="E353" s="270"/>
      <c r="F353" s="276">
        <f>F354</f>
        <v>470</v>
      </c>
    </row>
    <row r="354" spans="1:6" ht="47.25">
      <c r="A354" s="11" t="s">
        <v>720</v>
      </c>
      <c r="B354" s="297" t="s">
        <v>151</v>
      </c>
      <c r="C354" s="298" t="s">
        <v>394</v>
      </c>
      <c r="D354" s="298" t="s">
        <v>390</v>
      </c>
      <c r="E354" s="270">
        <v>240</v>
      </c>
      <c r="F354" s="276">
        <f>'Приложение 9'!Q618</f>
        <v>470</v>
      </c>
    </row>
    <row r="355" spans="1:6" ht="63">
      <c r="A355" s="11" t="s">
        <v>143</v>
      </c>
      <c r="B355" s="297" t="s">
        <v>152</v>
      </c>
      <c r="C355" s="275"/>
      <c r="D355" s="275"/>
      <c r="E355" s="270"/>
      <c r="F355" s="276">
        <f>F356</f>
        <v>100</v>
      </c>
    </row>
    <row r="356" spans="1:6" ht="63">
      <c r="A356" s="11" t="s">
        <v>144</v>
      </c>
      <c r="B356" s="297" t="s">
        <v>153</v>
      </c>
      <c r="C356" s="275"/>
      <c r="D356" s="275"/>
      <c r="E356" s="270"/>
      <c r="F356" s="276">
        <f>F357</f>
        <v>100</v>
      </c>
    </row>
    <row r="357" spans="1:6" ht="47.25">
      <c r="A357" s="11" t="s">
        <v>720</v>
      </c>
      <c r="B357" s="297" t="s">
        <v>153</v>
      </c>
      <c r="C357" s="298" t="s">
        <v>394</v>
      </c>
      <c r="D357" s="298" t="s">
        <v>390</v>
      </c>
      <c r="E357" s="270">
        <v>240</v>
      </c>
      <c r="F357" s="276">
        <f>'Приложение 9'!Q621</f>
        <v>100</v>
      </c>
    </row>
    <row r="358" spans="1:6" ht="78.75">
      <c r="A358" s="11" t="s">
        <v>145</v>
      </c>
      <c r="B358" s="297" t="s">
        <v>154</v>
      </c>
      <c r="C358" s="275"/>
      <c r="D358" s="275"/>
      <c r="E358" s="270"/>
      <c r="F358" s="276">
        <f>F359</f>
        <v>136.8</v>
      </c>
    </row>
    <row r="359" spans="1:6" ht="47.25">
      <c r="A359" s="11" t="s">
        <v>280</v>
      </c>
      <c r="B359" s="297" t="s">
        <v>155</v>
      </c>
      <c r="C359" s="275"/>
      <c r="D359" s="275"/>
      <c r="E359" s="270"/>
      <c r="F359" s="276">
        <f>F360+F361</f>
        <v>136.8</v>
      </c>
    </row>
    <row r="360" spans="1:6" ht="47.25">
      <c r="A360" s="11" t="s">
        <v>720</v>
      </c>
      <c r="B360" s="297" t="s">
        <v>155</v>
      </c>
      <c r="C360" s="298" t="s">
        <v>394</v>
      </c>
      <c r="D360" s="298" t="s">
        <v>390</v>
      </c>
      <c r="E360" s="270">
        <v>240</v>
      </c>
      <c r="F360" s="276">
        <f>'Приложение 9'!Q624</f>
        <v>101.2</v>
      </c>
    </row>
    <row r="361" spans="1:6" ht="15.75">
      <c r="A361" s="5" t="s">
        <v>721</v>
      </c>
      <c r="B361" s="297" t="s">
        <v>155</v>
      </c>
      <c r="C361" s="298" t="s">
        <v>394</v>
      </c>
      <c r="D361" s="298" t="s">
        <v>390</v>
      </c>
      <c r="E361" s="270">
        <v>850</v>
      </c>
      <c r="F361" s="276">
        <f>'Приложение 9'!Q625</f>
        <v>35.6</v>
      </c>
    </row>
    <row r="362" spans="1:6" ht="47.25">
      <c r="A362" s="11" t="s">
        <v>146</v>
      </c>
      <c r="B362" s="297" t="s">
        <v>156</v>
      </c>
      <c r="C362" s="275"/>
      <c r="D362" s="275"/>
      <c r="E362" s="270"/>
      <c r="F362" s="276">
        <f>F363+F368+F370+F373</f>
        <v>5030.9</v>
      </c>
    </row>
    <row r="363" spans="1:6" ht="31.5">
      <c r="A363" s="11" t="s">
        <v>342</v>
      </c>
      <c r="B363" s="297" t="s">
        <v>157</v>
      </c>
      <c r="C363" s="275"/>
      <c r="D363" s="275"/>
      <c r="E363" s="270"/>
      <c r="F363" s="276">
        <f>F364+F365+F366+F367</f>
        <v>3407.5</v>
      </c>
    </row>
    <row r="364" spans="1:6" ht="47.25">
      <c r="A364" s="11" t="s">
        <v>533</v>
      </c>
      <c r="B364" s="297" t="s">
        <v>157</v>
      </c>
      <c r="C364" s="298" t="s">
        <v>394</v>
      </c>
      <c r="D364" s="298" t="s">
        <v>390</v>
      </c>
      <c r="E364" s="270">
        <v>120</v>
      </c>
      <c r="F364" s="276">
        <f>'Приложение 9'!Q628</f>
        <v>2820.6</v>
      </c>
    </row>
    <row r="365" spans="1:6" ht="47.25">
      <c r="A365" s="11" t="s">
        <v>720</v>
      </c>
      <c r="B365" s="297" t="s">
        <v>157</v>
      </c>
      <c r="C365" s="298" t="s">
        <v>394</v>
      </c>
      <c r="D365" s="298" t="s">
        <v>390</v>
      </c>
      <c r="E365" s="270">
        <v>240</v>
      </c>
      <c r="F365" s="276">
        <f>'Приложение 9'!Q629</f>
        <v>566.9000000000001</v>
      </c>
    </row>
    <row r="366" spans="1:6" ht="15.75">
      <c r="A366" s="5" t="s">
        <v>728</v>
      </c>
      <c r="B366" s="297" t="s">
        <v>157</v>
      </c>
      <c r="C366" s="298" t="s">
        <v>394</v>
      </c>
      <c r="D366" s="298" t="s">
        <v>390</v>
      </c>
      <c r="E366" s="270">
        <v>830</v>
      </c>
      <c r="F366" s="276">
        <f>'Приложение 9'!Q630</f>
        <v>10</v>
      </c>
    </row>
    <row r="367" spans="1:6" ht="15.75">
      <c r="A367" s="5" t="s">
        <v>721</v>
      </c>
      <c r="B367" s="297" t="s">
        <v>157</v>
      </c>
      <c r="C367" s="298" t="s">
        <v>394</v>
      </c>
      <c r="D367" s="298" t="s">
        <v>390</v>
      </c>
      <c r="E367" s="270">
        <v>850</v>
      </c>
      <c r="F367" s="276">
        <f>'Приложение 9'!Q631</f>
        <v>10</v>
      </c>
    </row>
    <row r="368" spans="1:6" ht="78.75">
      <c r="A368" s="11" t="s">
        <v>61</v>
      </c>
      <c r="B368" s="297" t="s">
        <v>158</v>
      </c>
      <c r="C368" s="275"/>
      <c r="D368" s="275"/>
      <c r="E368" s="270"/>
      <c r="F368" s="276">
        <f>F369</f>
        <v>789.2</v>
      </c>
    </row>
    <row r="369" spans="1:6" ht="47.25">
      <c r="A369" s="11" t="s">
        <v>533</v>
      </c>
      <c r="B369" s="297" t="s">
        <v>158</v>
      </c>
      <c r="C369" s="298" t="s">
        <v>394</v>
      </c>
      <c r="D369" s="298" t="s">
        <v>390</v>
      </c>
      <c r="E369" s="270">
        <v>120</v>
      </c>
      <c r="F369" s="276">
        <f>'Приложение 9'!Q633</f>
        <v>789.2</v>
      </c>
    </row>
    <row r="370" spans="1:6" ht="126">
      <c r="A370" s="11" t="s">
        <v>147</v>
      </c>
      <c r="B370" s="297" t="s">
        <v>159</v>
      </c>
      <c r="C370" s="298"/>
      <c r="D370" s="298"/>
      <c r="E370" s="270"/>
      <c r="F370" s="276">
        <f>F371+F372</f>
        <v>373.8</v>
      </c>
    </row>
    <row r="371" spans="1:6" ht="47.25">
      <c r="A371" s="11" t="s">
        <v>533</v>
      </c>
      <c r="B371" s="297" t="s">
        <v>159</v>
      </c>
      <c r="C371" s="298" t="s">
        <v>394</v>
      </c>
      <c r="D371" s="298" t="s">
        <v>390</v>
      </c>
      <c r="E371" s="270">
        <v>120</v>
      </c>
      <c r="F371" s="276">
        <f>'Приложение 9'!Q635</f>
        <v>365.3</v>
      </c>
    </row>
    <row r="372" spans="1:6" ht="47.25">
      <c r="A372" s="11" t="s">
        <v>720</v>
      </c>
      <c r="B372" s="297" t="s">
        <v>159</v>
      </c>
      <c r="C372" s="298" t="s">
        <v>394</v>
      </c>
      <c r="D372" s="298" t="s">
        <v>390</v>
      </c>
      <c r="E372" s="270">
        <v>240</v>
      </c>
      <c r="F372" s="276">
        <f>'Приложение 9'!Q636</f>
        <v>8.5</v>
      </c>
    </row>
    <row r="373" spans="1:6" ht="31.5">
      <c r="A373" s="11" t="s">
        <v>148</v>
      </c>
      <c r="B373" s="297" t="s">
        <v>160</v>
      </c>
      <c r="C373" s="298"/>
      <c r="D373" s="298"/>
      <c r="E373" s="270"/>
      <c r="F373" s="276">
        <f>F374+F375</f>
        <v>460.4</v>
      </c>
    </row>
    <row r="374" spans="1:6" ht="47.25">
      <c r="A374" s="11" t="s">
        <v>533</v>
      </c>
      <c r="B374" s="297" t="s">
        <v>160</v>
      </c>
      <c r="C374" s="298" t="s">
        <v>394</v>
      </c>
      <c r="D374" s="298" t="s">
        <v>390</v>
      </c>
      <c r="E374" s="270">
        <v>120</v>
      </c>
      <c r="F374" s="276">
        <f>'Приложение 9'!Q638</f>
        <v>451.9</v>
      </c>
    </row>
    <row r="375" spans="1:6" ht="47.25">
      <c r="A375" s="11" t="s">
        <v>720</v>
      </c>
      <c r="B375" s="297" t="s">
        <v>160</v>
      </c>
      <c r="C375" s="298" t="s">
        <v>394</v>
      </c>
      <c r="D375" s="298" t="s">
        <v>390</v>
      </c>
      <c r="E375" s="270">
        <v>240</v>
      </c>
      <c r="F375" s="276">
        <f>'Приложение 9'!Q639</f>
        <v>8.5</v>
      </c>
    </row>
    <row r="376" spans="1:6" ht="110.25">
      <c r="A376" s="11" t="s">
        <v>139</v>
      </c>
      <c r="B376" s="297" t="s">
        <v>162</v>
      </c>
      <c r="C376" s="298"/>
      <c r="D376" s="298"/>
      <c r="E376" s="270"/>
      <c r="F376" s="276">
        <f>F377</f>
        <v>4988.5</v>
      </c>
    </row>
    <row r="377" spans="1:6" ht="157.5">
      <c r="A377" s="11" t="s">
        <v>298</v>
      </c>
      <c r="B377" s="297" t="s">
        <v>161</v>
      </c>
      <c r="C377" s="298"/>
      <c r="D377" s="298"/>
      <c r="E377" s="270"/>
      <c r="F377" s="276">
        <f>F378+F379</f>
        <v>4988.5</v>
      </c>
    </row>
    <row r="378" spans="1:6" ht="47.25">
      <c r="A378" s="11" t="s">
        <v>720</v>
      </c>
      <c r="B378" s="297" t="s">
        <v>161</v>
      </c>
      <c r="C378" s="298" t="s">
        <v>394</v>
      </c>
      <c r="D378" s="298" t="s">
        <v>390</v>
      </c>
      <c r="E378" s="270">
        <v>240</v>
      </c>
      <c r="F378" s="276">
        <f>'Приложение 9'!Q642</f>
        <v>73.7</v>
      </c>
    </row>
    <row r="379" spans="1:6" ht="47.25">
      <c r="A379" s="11" t="s">
        <v>725</v>
      </c>
      <c r="B379" s="297" t="s">
        <v>161</v>
      </c>
      <c r="C379" s="298" t="s">
        <v>394</v>
      </c>
      <c r="D379" s="298" t="s">
        <v>392</v>
      </c>
      <c r="E379" s="270">
        <v>320</v>
      </c>
      <c r="F379" s="276">
        <f>'Приложение 9'!Q654</f>
        <v>4914.8</v>
      </c>
    </row>
    <row r="380" spans="1:6" s="282" customFormat="1" ht="14.25">
      <c r="A380" s="392" t="s">
        <v>480</v>
      </c>
      <c r="B380" s="393"/>
      <c r="C380" s="393"/>
      <c r="D380" s="393"/>
      <c r="E380" s="394"/>
      <c r="F380" s="289">
        <f>F17+F27+F54+F131+F158+F165+F175+F220+F237+F249+F257+F284+F330+F347+F300+F149+F351</f>
        <v>546829.0999999999</v>
      </c>
    </row>
    <row r="381" ht="15">
      <c r="F381" s="339" t="s">
        <v>528</v>
      </c>
    </row>
  </sheetData>
  <sheetProtection/>
  <mergeCells count="17">
    <mergeCell ref="F14:F15"/>
    <mergeCell ref="B4:F4"/>
    <mergeCell ref="B5:F5"/>
    <mergeCell ref="B6:F6"/>
    <mergeCell ref="B7:F7"/>
    <mergeCell ref="A11:F11"/>
    <mergeCell ref="A10:F10"/>
    <mergeCell ref="A380:E380"/>
    <mergeCell ref="A14:A15"/>
    <mergeCell ref="B14:B15"/>
    <mergeCell ref="C14:C15"/>
    <mergeCell ref="D14:D15"/>
    <mergeCell ref="B1:F1"/>
    <mergeCell ref="B2:F2"/>
    <mergeCell ref="B3:F3"/>
    <mergeCell ref="A12:F12"/>
    <mergeCell ref="E14:E15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P25" sqref="P25"/>
    </sheetView>
  </sheetViews>
  <sheetFormatPr defaultColWidth="9.140625" defaultRowHeight="15"/>
  <cols>
    <col min="1" max="1" width="43.28125" style="279" customWidth="1"/>
    <col min="2" max="2" width="15.00390625" style="279" customWidth="1"/>
    <col min="3" max="3" width="6.8515625" style="283" customWidth="1"/>
    <col min="4" max="4" width="5.28125" style="283" customWidth="1"/>
    <col min="5" max="5" width="6.28125" style="279" customWidth="1"/>
    <col min="6" max="6" width="10.8515625" style="284" hidden="1" customWidth="1"/>
    <col min="7" max="7" width="10.7109375" style="284" customWidth="1"/>
    <col min="8" max="8" width="10.140625" style="284" customWidth="1"/>
    <col min="9" max="16384" width="9.140625" style="279" customWidth="1"/>
  </cols>
  <sheetData>
    <row r="1" spans="2:8" ht="18.75">
      <c r="B1" s="397" t="s">
        <v>831</v>
      </c>
      <c r="C1" s="397"/>
      <c r="D1" s="397"/>
      <c r="E1" s="397"/>
      <c r="F1" s="397"/>
      <c r="G1" s="397"/>
      <c r="H1" s="397"/>
    </row>
    <row r="2" spans="2:8" ht="18.75">
      <c r="B2" s="397" t="s">
        <v>498</v>
      </c>
      <c r="C2" s="397"/>
      <c r="D2" s="397"/>
      <c r="E2" s="397"/>
      <c r="F2" s="397"/>
      <c r="G2" s="397"/>
      <c r="H2" s="397"/>
    </row>
    <row r="3" spans="2:8" ht="18.75">
      <c r="B3" s="397" t="s">
        <v>109</v>
      </c>
      <c r="C3" s="397"/>
      <c r="D3" s="397"/>
      <c r="E3" s="397"/>
      <c r="F3" s="397"/>
      <c r="G3" s="397"/>
      <c r="H3" s="397"/>
    </row>
    <row r="4" spans="1:9" ht="22.5" customHeight="1">
      <c r="A4" s="278"/>
      <c r="B4" s="401" t="s">
        <v>112</v>
      </c>
      <c r="C4" s="401"/>
      <c r="D4" s="401"/>
      <c r="E4" s="401"/>
      <c r="F4" s="300"/>
      <c r="G4" s="300"/>
      <c r="H4" s="300"/>
      <c r="I4" s="300"/>
    </row>
    <row r="5" spans="1:9" ht="22.5" customHeight="1">
      <c r="A5" s="278"/>
      <c r="B5" s="402" t="s">
        <v>498</v>
      </c>
      <c r="C5" s="402"/>
      <c r="D5" s="402"/>
      <c r="E5" s="402"/>
      <c r="F5" s="402"/>
      <c r="G5" s="402"/>
      <c r="H5" s="402"/>
      <c r="I5" s="402"/>
    </row>
    <row r="6" spans="1:9" ht="19.5" customHeight="1">
      <c r="A6" s="278"/>
      <c r="B6" s="401" t="s">
        <v>499</v>
      </c>
      <c r="C6" s="401"/>
      <c r="D6" s="401"/>
      <c r="E6" s="401"/>
      <c r="F6" s="401"/>
      <c r="G6" s="401"/>
      <c r="H6" s="401"/>
      <c r="I6" s="401"/>
    </row>
    <row r="7" spans="1:9" ht="19.5" customHeight="1">
      <c r="A7" s="278"/>
      <c r="B7" s="401" t="s">
        <v>3</v>
      </c>
      <c r="C7" s="401"/>
      <c r="D7" s="401"/>
      <c r="E7" s="401"/>
      <c r="F7" s="401"/>
      <c r="G7" s="401"/>
      <c r="H7" s="401"/>
      <c r="I7" s="401"/>
    </row>
    <row r="8" spans="1:9" ht="18.75">
      <c r="A8" s="278"/>
      <c r="B8" s="192" t="s">
        <v>110</v>
      </c>
      <c r="C8" s="192"/>
      <c r="D8" s="192"/>
      <c r="E8" s="192"/>
      <c r="F8" s="280"/>
      <c r="G8" s="280"/>
      <c r="H8" s="281"/>
      <c r="I8" s="195"/>
    </row>
    <row r="9" spans="1:9" ht="18.75">
      <c r="A9" s="278"/>
      <c r="B9" s="192"/>
      <c r="C9" s="192"/>
      <c r="D9" s="192"/>
      <c r="E9" s="192"/>
      <c r="F9" s="280"/>
      <c r="G9" s="280"/>
      <c r="H9" s="281"/>
      <c r="I9" s="195"/>
    </row>
    <row r="10" spans="1:9" ht="18.75">
      <c r="A10" s="403" t="s">
        <v>391</v>
      </c>
      <c r="B10" s="403"/>
      <c r="C10" s="403"/>
      <c r="D10" s="403"/>
      <c r="E10" s="403"/>
      <c r="F10" s="403"/>
      <c r="G10" s="403"/>
      <c r="H10" s="403"/>
      <c r="I10" s="267"/>
    </row>
    <row r="11" spans="1:9" ht="18.75">
      <c r="A11" s="403" t="s">
        <v>769</v>
      </c>
      <c r="B11" s="403"/>
      <c r="C11" s="403"/>
      <c r="D11" s="403"/>
      <c r="E11" s="403"/>
      <c r="F11" s="403"/>
      <c r="G11" s="403"/>
      <c r="H11" s="403"/>
      <c r="I11" s="266"/>
    </row>
    <row r="12" spans="1:9" ht="18.75">
      <c r="A12" s="398" t="s">
        <v>495</v>
      </c>
      <c r="B12" s="398"/>
      <c r="C12" s="398"/>
      <c r="D12" s="398"/>
      <c r="E12" s="398"/>
      <c r="F12" s="398"/>
      <c r="G12" s="398"/>
      <c r="H12" s="398"/>
      <c r="I12" s="265"/>
    </row>
    <row r="13" spans="1:8" ht="30.75" customHeight="1">
      <c r="A13" s="290"/>
      <c r="B13" s="290"/>
      <c r="C13" s="291"/>
      <c r="D13" s="291"/>
      <c r="E13" s="290"/>
      <c r="F13" s="292"/>
      <c r="G13" s="404" t="s">
        <v>12</v>
      </c>
      <c r="H13" s="404"/>
    </row>
    <row r="14" spans="1:8" ht="15.75">
      <c r="A14" s="406" t="s">
        <v>510</v>
      </c>
      <c r="B14" s="406" t="s">
        <v>506</v>
      </c>
      <c r="C14" s="407" t="s">
        <v>509</v>
      </c>
      <c r="D14" s="407" t="s">
        <v>388</v>
      </c>
      <c r="E14" s="406" t="s">
        <v>505</v>
      </c>
      <c r="F14" s="405" t="s">
        <v>504</v>
      </c>
      <c r="G14" s="405"/>
      <c r="H14" s="405"/>
    </row>
    <row r="15" spans="1:8" ht="15.75">
      <c r="A15" s="406"/>
      <c r="B15" s="406"/>
      <c r="C15" s="407"/>
      <c r="D15" s="407"/>
      <c r="E15" s="406"/>
      <c r="F15" s="293" t="s">
        <v>10</v>
      </c>
      <c r="G15" s="293" t="s">
        <v>284</v>
      </c>
      <c r="H15" s="293" t="s">
        <v>1</v>
      </c>
    </row>
    <row r="16" spans="1:8" ht="15.75">
      <c r="A16" s="294">
        <v>1</v>
      </c>
      <c r="B16" s="294">
        <v>2</v>
      </c>
      <c r="C16" s="295">
        <v>3</v>
      </c>
      <c r="D16" s="295">
        <v>4</v>
      </c>
      <c r="E16" s="294">
        <v>5</v>
      </c>
      <c r="F16" s="295">
        <v>6</v>
      </c>
      <c r="G16" s="295" t="s">
        <v>496</v>
      </c>
      <c r="H16" s="295" t="s">
        <v>497</v>
      </c>
    </row>
    <row r="17" spans="1:8" s="282" customFormat="1" ht="81.75" customHeight="1">
      <c r="A17" s="287" t="s">
        <v>774</v>
      </c>
      <c r="B17" s="273" t="s">
        <v>734</v>
      </c>
      <c r="C17" s="274"/>
      <c r="D17" s="274"/>
      <c r="E17" s="273"/>
      <c r="F17" s="277" t="e">
        <f>F18+#REF!+F21+F24+F27+#REF!</f>
        <v>#REF!</v>
      </c>
      <c r="G17" s="277">
        <f>G18+G21+G24+G27</f>
        <v>13020.7</v>
      </c>
      <c r="H17" s="277">
        <v>0</v>
      </c>
    </row>
    <row r="18" spans="1:8" ht="31.5">
      <c r="A18" s="296" t="s">
        <v>661</v>
      </c>
      <c r="B18" s="297" t="s">
        <v>741</v>
      </c>
      <c r="C18" s="298"/>
      <c r="D18" s="298"/>
      <c r="E18" s="297"/>
      <c r="F18" s="299">
        <f>F19</f>
        <v>0</v>
      </c>
      <c r="G18" s="299">
        <f>G19</f>
        <v>1428</v>
      </c>
      <c r="H18" s="299">
        <v>0</v>
      </c>
    </row>
    <row r="19" spans="1:8" ht="47.25">
      <c r="A19" s="296" t="s">
        <v>740</v>
      </c>
      <c r="B19" s="297" t="s">
        <v>742</v>
      </c>
      <c r="C19" s="298"/>
      <c r="D19" s="298"/>
      <c r="E19" s="297"/>
      <c r="F19" s="299">
        <f>SUM(F20:F20)</f>
        <v>0</v>
      </c>
      <c r="G19" s="299">
        <f>G20</f>
        <v>1428</v>
      </c>
      <c r="H19" s="299">
        <v>0</v>
      </c>
    </row>
    <row r="20" spans="1:8" ht="47.25">
      <c r="A20" s="296" t="s">
        <v>720</v>
      </c>
      <c r="B20" s="297" t="s">
        <v>742</v>
      </c>
      <c r="C20" s="298" t="s">
        <v>730</v>
      </c>
      <c r="D20" s="298" t="s">
        <v>393</v>
      </c>
      <c r="E20" s="297">
        <v>240</v>
      </c>
      <c r="F20" s="299">
        <f>'Приложение 9'!Q114</f>
        <v>0</v>
      </c>
      <c r="G20" s="299">
        <f>'Приложение 10'!Q96</f>
        <v>1428</v>
      </c>
      <c r="H20" s="299">
        <v>0</v>
      </c>
    </row>
    <row r="21" spans="1:8" ht="47.25">
      <c r="A21" s="296" t="s">
        <v>256</v>
      </c>
      <c r="B21" s="297" t="s">
        <v>736</v>
      </c>
      <c r="C21" s="298"/>
      <c r="D21" s="298"/>
      <c r="E21" s="297"/>
      <c r="F21" s="299">
        <f>F22</f>
        <v>6250.900000000001</v>
      </c>
      <c r="G21" s="299">
        <f>G22</f>
        <v>10491</v>
      </c>
      <c r="H21" s="299">
        <v>0</v>
      </c>
    </row>
    <row r="22" spans="1:8" ht="31.5">
      <c r="A22" s="296" t="s">
        <v>762</v>
      </c>
      <c r="B22" s="297" t="s">
        <v>278</v>
      </c>
      <c r="C22" s="298"/>
      <c r="D22" s="298"/>
      <c r="E22" s="297"/>
      <c r="F22" s="299">
        <f>F23</f>
        <v>6250.900000000001</v>
      </c>
      <c r="G22" s="299">
        <f>G23</f>
        <v>10491</v>
      </c>
      <c r="H22" s="299">
        <v>0</v>
      </c>
    </row>
    <row r="23" spans="1:8" ht="47.25">
      <c r="A23" s="296" t="s">
        <v>720</v>
      </c>
      <c r="B23" s="297" t="s">
        <v>278</v>
      </c>
      <c r="C23" s="298" t="s">
        <v>730</v>
      </c>
      <c r="D23" s="298" t="s">
        <v>393</v>
      </c>
      <c r="E23" s="297">
        <v>240</v>
      </c>
      <c r="F23" s="299">
        <f>'Приложение 9'!Q121</f>
        <v>6250.900000000001</v>
      </c>
      <c r="G23" s="299">
        <f>'Приложение 10'!Q103</f>
        <v>10491</v>
      </c>
      <c r="H23" s="299">
        <v>0</v>
      </c>
    </row>
    <row r="24" spans="1:8" ht="47.25">
      <c r="A24" s="296" t="s">
        <v>776</v>
      </c>
      <c r="B24" s="297" t="s">
        <v>737</v>
      </c>
      <c r="C24" s="298"/>
      <c r="D24" s="298"/>
      <c r="E24" s="297"/>
      <c r="F24" s="299">
        <f>F25</f>
        <v>200</v>
      </c>
      <c r="G24" s="299">
        <f>G25</f>
        <v>200</v>
      </c>
      <c r="H24" s="299">
        <v>0</v>
      </c>
    </row>
    <row r="25" spans="1:8" ht="31.5">
      <c r="A25" s="296" t="s">
        <v>762</v>
      </c>
      <c r="B25" s="297" t="s">
        <v>777</v>
      </c>
      <c r="C25" s="298"/>
      <c r="D25" s="298"/>
      <c r="E25" s="297"/>
      <c r="F25" s="299">
        <f>F26</f>
        <v>200</v>
      </c>
      <c r="G25" s="299">
        <f>G26</f>
        <v>200</v>
      </c>
      <c r="H25" s="299">
        <v>0</v>
      </c>
    </row>
    <row r="26" spans="1:8" ht="47.25">
      <c r="A26" s="296" t="s">
        <v>720</v>
      </c>
      <c r="B26" s="297" t="s">
        <v>777</v>
      </c>
      <c r="C26" s="298" t="s">
        <v>394</v>
      </c>
      <c r="D26" s="298" t="s">
        <v>393</v>
      </c>
      <c r="E26" s="297">
        <v>240</v>
      </c>
      <c r="F26" s="299">
        <f>'Приложение 9'!Q648</f>
        <v>200</v>
      </c>
      <c r="G26" s="299">
        <f>'Приложение 10'!Q572</f>
        <v>200</v>
      </c>
      <c r="H26" s="299">
        <v>0</v>
      </c>
    </row>
    <row r="27" spans="1:8" ht="63">
      <c r="A27" s="296" t="s">
        <v>163</v>
      </c>
      <c r="B27" s="297" t="s">
        <v>758</v>
      </c>
      <c r="C27" s="298"/>
      <c r="D27" s="298"/>
      <c r="E27" s="297"/>
      <c r="F27" s="299" t="e">
        <f>#REF!</f>
        <v>#REF!</v>
      </c>
      <c r="G27" s="299">
        <f>G28</f>
        <v>901.7</v>
      </c>
      <c r="H27" s="299">
        <v>0</v>
      </c>
    </row>
    <row r="28" spans="1:8" ht="94.5">
      <c r="A28" s="296" t="s">
        <v>274</v>
      </c>
      <c r="B28" s="297" t="s">
        <v>275</v>
      </c>
      <c r="C28" s="298"/>
      <c r="D28" s="298"/>
      <c r="E28" s="297"/>
      <c r="F28" s="299"/>
      <c r="G28" s="299">
        <f>G29</f>
        <v>901.7</v>
      </c>
      <c r="H28" s="299">
        <v>0</v>
      </c>
    </row>
    <row r="29" spans="1:8" ht="47.25">
      <c r="A29" s="296" t="s">
        <v>720</v>
      </c>
      <c r="B29" s="297" t="s">
        <v>275</v>
      </c>
      <c r="C29" s="298" t="s">
        <v>730</v>
      </c>
      <c r="D29" s="298" t="s">
        <v>393</v>
      </c>
      <c r="E29" s="297">
        <v>240</v>
      </c>
      <c r="F29" s="299"/>
      <c r="G29" s="299">
        <f>'Приложение 10'!Q106</f>
        <v>901.7</v>
      </c>
      <c r="H29" s="299">
        <v>0</v>
      </c>
    </row>
    <row r="30" spans="1:8" s="282" customFormat="1" ht="94.5">
      <c r="A30" s="287" t="s">
        <v>289</v>
      </c>
      <c r="B30" s="273" t="s">
        <v>356</v>
      </c>
      <c r="C30" s="274"/>
      <c r="D30" s="274"/>
      <c r="E30" s="273"/>
      <c r="F30" s="277">
        <f aca="true" t="shared" si="0" ref="F30:G32">F31</f>
        <v>0</v>
      </c>
      <c r="G30" s="277">
        <f t="shared" si="0"/>
        <v>30</v>
      </c>
      <c r="H30" s="277">
        <v>0</v>
      </c>
    </row>
    <row r="31" spans="1:8" ht="63">
      <c r="A31" s="288" t="s">
        <v>290</v>
      </c>
      <c r="B31" s="270" t="s">
        <v>357</v>
      </c>
      <c r="C31" s="275"/>
      <c r="D31" s="275"/>
      <c r="E31" s="270"/>
      <c r="F31" s="276">
        <f t="shared" si="0"/>
        <v>0</v>
      </c>
      <c r="G31" s="276">
        <f t="shared" si="0"/>
        <v>30</v>
      </c>
      <c r="H31" s="276">
        <v>0</v>
      </c>
    </row>
    <row r="32" spans="1:8" ht="47.25">
      <c r="A32" s="288" t="s">
        <v>292</v>
      </c>
      <c r="B32" s="270" t="s">
        <v>293</v>
      </c>
      <c r="C32" s="275"/>
      <c r="D32" s="275"/>
      <c r="E32" s="270"/>
      <c r="F32" s="276">
        <f t="shared" si="0"/>
        <v>0</v>
      </c>
      <c r="G32" s="276">
        <f t="shared" si="0"/>
        <v>30</v>
      </c>
      <c r="H32" s="276">
        <v>0</v>
      </c>
    </row>
    <row r="33" spans="1:8" ht="47.25">
      <c r="A33" s="288" t="s">
        <v>720</v>
      </c>
      <c r="B33" s="270" t="s">
        <v>293</v>
      </c>
      <c r="C33" s="275" t="s">
        <v>730</v>
      </c>
      <c r="D33" s="275" t="s">
        <v>400</v>
      </c>
      <c r="E33" s="270">
        <v>240</v>
      </c>
      <c r="F33" s="276">
        <f>'Приложение 9'!Q41</f>
        <v>0</v>
      </c>
      <c r="G33" s="276">
        <v>30</v>
      </c>
      <c r="H33" s="276">
        <v>0</v>
      </c>
    </row>
    <row r="34" spans="1:8" s="282" customFormat="1" ht="110.25">
      <c r="A34" s="287" t="s">
        <v>816</v>
      </c>
      <c r="B34" s="273" t="s">
        <v>283</v>
      </c>
      <c r="C34" s="274"/>
      <c r="D34" s="274"/>
      <c r="E34" s="273"/>
      <c r="F34" s="277">
        <f>F36+F38</f>
        <v>2403.2</v>
      </c>
      <c r="G34" s="277">
        <f>G35</f>
        <v>3941.9</v>
      </c>
      <c r="H34" s="277">
        <f>H35</f>
        <v>3299.5</v>
      </c>
    </row>
    <row r="35" spans="1:8" s="282" customFormat="1" ht="63">
      <c r="A35" s="296" t="s">
        <v>119</v>
      </c>
      <c r="B35" s="297" t="s">
        <v>120</v>
      </c>
      <c r="C35" s="274"/>
      <c r="D35" s="274"/>
      <c r="E35" s="273"/>
      <c r="F35" s="277"/>
      <c r="G35" s="299">
        <f>G36+G38</f>
        <v>3941.9</v>
      </c>
      <c r="H35" s="299">
        <f>H36+H38</f>
        <v>3299.5</v>
      </c>
    </row>
    <row r="36" spans="1:8" ht="63">
      <c r="A36" s="296" t="s">
        <v>811</v>
      </c>
      <c r="B36" s="297" t="s">
        <v>822</v>
      </c>
      <c r="C36" s="298"/>
      <c r="D36" s="298"/>
      <c r="E36" s="297"/>
      <c r="F36" s="299">
        <f>F37</f>
        <v>1702</v>
      </c>
      <c r="G36" s="299">
        <f>G37</f>
        <v>2941.9</v>
      </c>
      <c r="H36" s="299">
        <f>H37</f>
        <v>2299.5</v>
      </c>
    </row>
    <row r="37" spans="1:8" ht="15.75">
      <c r="A37" s="296" t="s">
        <v>525</v>
      </c>
      <c r="B37" s="297" t="s">
        <v>822</v>
      </c>
      <c r="C37" s="298" t="s">
        <v>730</v>
      </c>
      <c r="D37" s="298" t="s">
        <v>410</v>
      </c>
      <c r="E37" s="297">
        <v>410</v>
      </c>
      <c r="F37" s="299">
        <f>'Приложение 9'!Q182</f>
        <v>1702</v>
      </c>
      <c r="G37" s="299">
        <f>'Приложение 10'!Q165</f>
        <v>2941.9</v>
      </c>
      <c r="H37" s="299">
        <f>'Приложение 10'!R165</f>
        <v>2299.5</v>
      </c>
    </row>
    <row r="38" spans="1:8" ht="63">
      <c r="A38" s="296" t="s">
        <v>825</v>
      </c>
      <c r="B38" s="297" t="s">
        <v>826</v>
      </c>
      <c r="C38" s="298"/>
      <c r="D38" s="298"/>
      <c r="E38" s="297"/>
      <c r="F38" s="299">
        <f>F39</f>
        <v>701.2</v>
      </c>
      <c r="G38" s="299">
        <f>G39</f>
        <v>1000</v>
      </c>
      <c r="H38" s="299">
        <f>H39</f>
        <v>1000</v>
      </c>
    </row>
    <row r="39" spans="1:8" ht="15.75">
      <c r="A39" s="296" t="s">
        <v>525</v>
      </c>
      <c r="B39" s="297" t="s">
        <v>826</v>
      </c>
      <c r="C39" s="298" t="s">
        <v>730</v>
      </c>
      <c r="D39" s="298" t="s">
        <v>410</v>
      </c>
      <c r="E39" s="297">
        <v>410</v>
      </c>
      <c r="F39" s="299">
        <f>'Приложение 9'!Q184</f>
        <v>701.2</v>
      </c>
      <c r="G39" s="299">
        <f>'Приложение 10'!Q167</f>
        <v>1000</v>
      </c>
      <c r="H39" s="299">
        <f>'Приложение 10'!R167</f>
        <v>1000</v>
      </c>
    </row>
    <row r="40" spans="1:8" s="282" customFormat="1" ht="78.75">
      <c r="A40" s="287" t="s">
        <v>687</v>
      </c>
      <c r="B40" s="273" t="s">
        <v>411</v>
      </c>
      <c r="C40" s="274"/>
      <c r="D40" s="274"/>
      <c r="E40" s="273"/>
      <c r="F40" s="277">
        <f>F41+F44+F49+F54+F62</f>
        <v>550</v>
      </c>
      <c r="G40" s="277">
        <f>G41+G44+G49+G54+G62</f>
        <v>550</v>
      </c>
      <c r="H40" s="277">
        <f>H41+H44+H49+H54+H62</f>
        <v>550</v>
      </c>
    </row>
    <row r="41" spans="1:8" ht="78.75">
      <c r="A41" s="296" t="s">
        <v>479</v>
      </c>
      <c r="B41" s="297" t="s">
        <v>412</v>
      </c>
      <c r="C41" s="298"/>
      <c r="D41" s="298"/>
      <c r="E41" s="297"/>
      <c r="F41" s="299">
        <f aca="true" t="shared" si="1" ref="F41:H42">F42</f>
        <v>10</v>
      </c>
      <c r="G41" s="299">
        <f t="shared" si="1"/>
        <v>10</v>
      </c>
      <c r="H41" s="299">
        <f t="shared" si="1"/>
        <v>10</v>
      </c>
    </row>
    <row r="42" spans="1:8" ht="94.5">
      <c r="A42" s="296" t="s">
        <v>501</v>
      </c>
      <c r="B42" s="297" t="s">
        <v>413</v>
      </c>
      <c r="C42" s="298"/>
      <c r="D42" s="298"/>
      <c r="E42" s="297"/>
      <c r="F42" s="299">
        <f t="shared" si="1"/>
        <v>10</v>
      </c>
      <c r="G42" s="299">
        <f t="shared" si="1"/>
        <v>10</v>
      </c>
      <c r="H42" s="299">
        <f t="shared" si="1"/>
        <v>10</v>
      </c>
    </row>
    <row r="43" spans="1:8" ht="47.25">
      <c r="A43" s="296" t="s">
        <v>720</v>
      </c>
      <c r="B43" s="297" t="s">
        <v>413</v>
      </c>
      <c r="C43" s="298" t="s">
        <v>731</v>
      </c>
      <c r="D43" s="298" t="s">
        <v>396</v>
      </c>
      <c r="E43" s="297">
        <v>240</v>
      </c>
      <c r="F43" s="299">
        <f>'Приложение 9'!Q581</f>
        <v>10</v>
      </c>
      <c r="G43" s="299">
        <f>'Приложение 10'!Q511</f>
        <v>10</v>
      </c>
      <c r="H43" s="299">
        <f>'Приложение 10'!R511</f>
        <v>10</v>
      </c>
    </row>
    <row r="44" spans="1:8" ht="63">
      <c r="A44" s="296" t="s">
        <v>324</v>
      </c>
      <c r="B44" s="297" t="s">
        <v>414</v>
      </c>
      <c r="C44" s="298"/>
      <c r="D44" s="298"/>
      <c r="E44" s="297"/>
      <c r="F44" s="299">
        <f>F45+F47</f>
        <v>140</v>
      </c>
      <c r="G44" s="299">
        <f>G45+G47</f>
        <v>140</v>
      </c>
      <c r="H44" s="299">
        <f>H45+H47</f>
        <v>140</v>
      </c>
    </row>
    <row r="45" spans="1:8" ht="15.75">
      <c r="A45" s="296" t="s">
        <v>331</v>
      </c>
      <c r="B45" s="297" t="s">
        <v>415</v>
      </c>
      <c r="C45" s="298"/>
      <c r="D45" s="298"/>
      <c r="E45" s="297"/>
      <c r="F45" s="299">
        <f>F46</f>
        <v>131</v>
      </c>
      <c r="G45" s="299">
        <f>G46</f>
        <v>131</v>
      </c>
      <c r="H45" s="299">
        <f>H46</f>
        <v>131</v>
      </c>
    </row>
    <row r="46" spans="1:8" ht="15.75">
      <c r="A46" s="296" t="s">
        <v>722</v>
      </c>
      <c r="B46" s="297" t="s">
        <v>415</v>
      </c>
      <c r="C46" s="298" t="s">
        <v>731</v>
      </c>
      <c r="D46" s="298" t="s">
        <v>395</v>
      </c>
      <c r="E46" s="297">
        <v>610</v>
      </c>
      <c r="F46" s="299">
        <f>'Приложение 9'!Q456</f>
        <v>131</v>
      </c>
      <c r="G46" s="299">
        <f>'Приложение 10'!Q410</f>
        <v>131</v>
      </c>
      <c r="H46" s="299">
        <f>'Приложение 10'!R410</f>
        <v>131</v>
      </c>
    </row>
    <row r="47" spans="1:8" ht="31.5">
      <c r="A47" s="296" t="s">
        <v>334</v>
      </c>
      <c r="B47" s="297" t="s">
        <v>416</v>
      </c>
      <c r="C47" s="298"/>
      <c r="D47" s="298"/>
      <c r="E47" s="297"/>
      <c r="F47" s="299">
        <f>F48</f>
        <v>9</v>
      </c>
      <c r="G47" s="299">
        <f>G48</f>
        <v>9</v>
      </c>
      <c r="H47" s="299">
        <f>H48</f>
        <v>9</v>
      </c>
    </row>
    <row r="48" spans="1:8" ht="15.75">
      <c r="A48" s="296" t="s">
        <v>722</v>
      </c>
      <c r="B48" s="297" t="s">
        <v>416</v>
      </c>
      <c r="C48" s="298" t="s">
        <v>731</v>
      </c>
      <c r="D48" s="298" t="s">
        <v>398</v>
      </c>
      <c r="E48" s="297">
        <v>610</v>
      </c>
      <c r="F48" s="299">
        <f>'Приложение 9'!Q508</f>
        <v>9</v>
      </c>
      <c r="G48" s="299">
        <f>'Приложение 10'!Q446</f>
        <v>9</v>
      </c>
      <c r="H48" s="299">
        <f>'Приложение 10'!R446</f>
        <v>9</v>
      </c>
    </row>
    <row r="49" spans="1:8" ht="47.25">
      <c r="A49" s="296" t="s">
        <v>320</v>
      </c>
      <c r="B49" s="297" t="s">
        <v>417</v>
      </c>
      <c r="C49" s="298"/>
      <c r="D49" s="298"/>
      <c r="E49" s="297"/>
      <c r="F49" s="299">
        <f>F50+F52</f>
        <v>34</v>
      </c>
      <c r="G49" s="299">
        <f>G50+G52</f>
        <v>34</v>
      </c>
      <c r="H49" s="299">
        <f>H50+H52</f>
        <v>34</v>
      </c>
    </row>
    <row r="50" spans="1:8" ht="15.75">
      <c r="A50" s="296" t="s">
        <v>331</v>
      </c>
      <c r="B50" s="297" t="s">
        <v>418</v>
      </c>
      <c r="C50" s="298"/>
      <c r="D50" s="298"/>
      <c r="E50" s="297"/>
      <c r="F50" s="299">
        <f>F51</f>
        <v>9</v>
      </c>
      <c r="G50" s="299">
        <f>G51</f>
        <v>9</v>
      </c>
      <c r="H50" s="299">
        <f>H51</f>
        <v>9</v>
      </c>
    </row>
    <row r="51" spans="1:8" ht="15.75">
      <c r="A51" s="296" t="s">
        <v>722</v>
      </c>
      <c r="B51" s="297" t="s">
        <v>418</v>
      </c>
      <c r="C51" s="298" t="s">
        <v>731</v>
      </c>
      <c r="D51" s="298" t="s">
        <v>395</v>
      </c>
      <c r="E51" s="297">
        <v>610</v>
      </c>
      <c r="F51" s="299">
        <f>'Приложение 9'!Q459</f>
        <v>9</v>
      </c>
      <c r="G51" s="299">
        <f>'Приложение 10'!Q413</f>
        <v>9</v>
      </c>
      <c r="H51" s="299">
        <f>'Приложение 10'!R413</f>
        <v>9</v>
      </c>
    </row>
    <row r="52" spans="1:8" ht="31.5">
      <c r="A52" s="296" t="s">
        <v>334</v>
      </c>
      <c r="B52" s="297" t="s">
        <v>419</v>
      </c>
      <c r="C52" s="298"/>
      <c r="D52" s="298"/>
      <c r="E52" s="297"/>
      <c r="F52" s="299">
        <f>F53</f>
        <v>25</v>
      </c>
      <c r="G52" s="299">
        <f>G53</f>
        <v>25</v>
      </c>
      <c r="H52" s="299">
        <f>H53</f>
        <v>25</v>
      </c>
    </row>
    <row r="53" spans="1:8" ht="15.75">
      <c r="A53" s="296" t="s">
        <v>722</v>
      </c>
      <c r="B53" s="297" t="s">
        <v>419</v>
      </c>
      <c r="C53" s="298" t="s">
        <v>731</v>
      </c>
      <c r="D53" s="298" t="s">
        <v>398</v>
      </c>
      <c r="E53" s="297">
        <v>610</v>
      </c>
      <c r="F53" s="299">
        <f>'Приложение 9'!Q511</f>
        <v>25</v>
      </c>
      <c r="G53" s="299">
        <f>'Приложение 10'!Q449</f>
        <v>25</v>
      </c>
      <c r="H53" s="299">
        <f>'Приложение 10'!R449</f>
        <v>25</v>
      </c>
    </row>
    <row r="54" spans="1:8" ht="94.5">
      <c r="A54" s="296" t="s">
        <v>686</v>
      </c>
      <c r="B54" s="297" t="s">
        <v>420</v>
      </c>
      <c r="C54" s="298"/>
      <c r="D54" s="298"/>
      <c r="E54" s="297"/>
      <c r="F54" s="299">
        <f>F55+F57+F59</f>
        <v>166</v>
      </c>
      <c r="G54" s="299">
        <f>G55+G57+G59</f>
        <v>166</v>
      </c>
      <c r="H54" s="299">
        <f>H55+H57+H59</f>
        <v>166</v>
      </c>
    </row>
    <row r="55" spans="1:8" ht="15.75">
      <c r="A55" s="296" t="s">
        <v>331</v>
      </c>
      <c r="B55" s="297" t="s">
        <v>421</v>
      </c>
      <c r="C55" s="298"/>
      <c r="D55" s="298"/>
      <c r="E55" s="297"/>
      <c r="F55" s="299">
        <f>F56</f>
        <v>9</v>
      </c>
      <c r="G55" s="299">
        <f>G56</f>
        <v>9</v>
      </c>
      <c r="H55" s="299">
        <f>H56</f>
        <v>9</v>
      </c>
    </row>
    <row r="56" spans="1:8" ht="15.75">
      <c r="A56" s="296" t="s">
        <v>722</v>
      </c>
      <c r="B56" s="297" t="s">
        <v>421</v>
      </c>
      <c r="C56" s="298" t="s">
        <v>731</v>
      </c>
      <c r="D56" s="298" t="s">
        <v>395</v>
      </c>
      <c r="E56" s="297">
        <v>610</v>
      </c>
      <c r="F56" s="299">
        <f>'Приложение 9'!Q462</f>
        <v>9</v>
      </c>
      <c r="G56" s="299">
        <f>'Приложение 10'!Q416</f>
        <v>9</v>
      </c>
      <c r="H56" s="299">
        <f>'Приложение 10'!R416</f>
        <v>9</v>
      </c>
    </row>
    <row r="57" spans="1:8" ht="31.5">
      <c r="A57" s="296" t="s">
        <v>334</v>
      </c>
      <c r="B57" s="297" t="s">
        <v>422</v>
      </c>
      <c r="C57" s="298"/>
      <c r="D57" s="298"/>
      <c r="E57" s="297"/>
      <c r="F57" s="299">
        <f>F58</f>
        <v>80</v>
      </c>
      <c r="G57" s="299">
        <f>G58</f>
        <v>80</v>
      </c>
      <c r="H57" s="299">
        <f>H58</f>
        <v>80</v>
      </c>
    </row>
    <row r="58" spans="1:8" ht="15.75">
      <c r="A58" s="296" t="s">
        <v>722</v>
      </c>
      <c r="B58" s="297" t="s">
        <v>422</v>
      </c>
      <c r="C58" s="298" t="s">
        <v>731</v>
      </c>
      <c r="D58" s="298" t="s">
        <v>398</v>
      </c>
      <c r="E58" s="297">
        <v>610</v>
      </c>
      <c r="F58" s="299">
        <f>'Приложение 9'!Q514</f>
        <v>80</v>
      </c>
      <c r="G58" s="299">
        <f>'Приложение 10'!Q452</f>
        <v>80</v>
      </c>
      <c r="H58" s="299">
        <f>'Приложение 10'!R452</f>
        <v>80</v>
      </c>
    </row>
    <row r="59" spans="1:8" ht="94.5">
      <c r="A59" s="296" t="s">
        <v>501</v>
      </c>
      <c r="B59" s="297" t="s">
        <v>423</v>
      </c>
      <c r="C59" s="298"/>
      <c r="D59" s="298"/>
      <c r="E59" s="297"/>
      <c r="F59" s="299">
        <f>SUM(F60:F61)</f>
        <v>77</v>
      </c>
      <c r="G59" s="299">
        <f>SUM(G60:G61)</f>
        <v>77</v>
      </c>
      <c r="H59" s="299">
        <f>SUM(H60:H61)</f>
        <v>77</v>
      </c>
    </row>
    <row r="60" spans="1:8" ht="47.25">
      <c r="A60" s="296" t="s">
        <v>720</v>
      </c>
      <c r="B60" s="297" t="s">
        <v>423</v>
      </c>
      <c r="C60" s="298" t="s">
        <v>731</v>
      </c>
      <c r="D60" s="298" t="s">
        <v>396</v>
      </c>
      <c r="E60" s="297">
        <v>240</v>
      </c>
      <c r="F60" s="299">
        <f>'Приложение 9'!Q584</f>
        <v>7</v>
      </c>
      <c r="G60" s="299">
        <f>'Приложение 10'!Q514</f>
        <v>7</v>
      </c>
      <c r="H60" s="299">
        <f>'Приложение 10'!R514</f>
        <v>7</v>
      </c>
    </row>
    <row r="61" spans="1:8" ht="47.25">
      <c r="A61" s="296" t="s">
        <v>725</v>
      </c>
      <c r="B61" s="297" t="s">
        <v>423</v>
      </c>
      <c r="C61" s="298" t="s">
        <v>731</v>
      </c>
      <c r="D61" s="298" t="s">
        <v>396</v>
      </c>
      <c r="E61" s="297">
        <v>320</v>
      </c>
      <c r="F61" s="299">
        <f>'Приложение 9'!Q585</f>
        <v>70</v>
      </c>
      <c r="G61" s="299">
        <f>'Приложение 10'!Q515</f>
        <v>70</v>
      </c>
      <c r="H61" s="299">
        <f>'Приложение 10'!R515</f>
        <v>70</v>
      </c>
    </row>
    <row r="62" spans="1:8" ht="78.75">
      <c r="A62" s="296" t="s">
        <v>253</v>
      </c>
      <c r="B62" s="297" t="s">
        <v>424</v>
      </c>
      <c r="C62" s="298"/>
      <c r="D62" s="298"/>
      <c r="E62" s="297"/>
      <c r="F62" s="299">
        <f>F63+F65</f>
        <v>200</v>
      </c>
      <c r="G62" s="299">
        <f>G63+G65</f>
        <v>200</v>
      </c>
      <c r="H62" s="299">
        <f>H63+H65</f>
        <v>200</v>
      </c>
    </row>
    <row r="63" spans="1:8" ht="31.5">
      <c r="A63" s="296" t="s">
        <v>334</v>
      </c>
      <c r="B63" s="297" t="s">
        <v>425</v>
      </c>
      <c r="C63" s="298"/>
      <c r="D63" s="298"/>
      <c r="E63" s="297"/>
      <c r="F63" s="299">
        <f>F64</f>
        <v>125</v>
      </c>
      <c r="G63" s="299">
        <f>G64</f>
        <v>125</v>
      </c>
      <c r="H63" s="299">
        <f>H64</f>
        <v>125</v>
      </c>
    </row>
    <row r="64" spans="1:8" ht="15.75">
      <c r="A64" s="296" t="s">
        <v>722</v>
      </c>
      <c r="B64" s="297" t="s">
        <v>425</v>
      </c>
      <c r="C64" s="298" t="s">
        <v>731</v>
      </c>
      <c r="D64" s="298" t="s">
        <v>398</v>
      </c>
      <c r="E64" s="297">
        <v>610</v>
      </c>
      <c r="F64" s="299">
        <f>'Приложение 9'!Q517</f>
        <v>125</v>
      </c>
      <c r="G64" s="299">
        <f>'Приложение 10'!Q455</f>
        <v>125</v>
      </c>
      <c r="H64" s="299">
        <f>'Приложение 10'!R455</f>
        <v>125</v>
      </c>
    </row>
    <row r="65" spans="1:8" ht="94.5">
      <c r="A65" s="296" t="s">
        <v>501</v>
      </c>
      <c r="B65" s="297" t="s">
        <v>426</v>
      </c>
      <c r="C65" s="298"/>
      <c r="D65" s="298"/>
      <c r="E65" s="297"/>
      <c r="F65" s="299">
        <f>F66</f>
        <v>75</v>
      </c>
      <c r="G65" s="299">
        <f>G66</f>
        <v>75</v>
      </c>
      <c r="H65" s="299">
        <f>H66</f>
        <v>75</v>
      </c>
    </row>
    <row r="66" spans="1:8" ht="47.25">
      <c r="A66" s="296" t="s">
        <v>725</v>
      </c>
      <c r="B66" s="297" t="s">
        <v>426</v>
      </c>
      <c r="C66" s="298" t="s">
        <v>731</v>
      </c>
      <c r="D66" s="298" t="s">
        <v>396</v>
      </c>
      <c r="E66" s="297">
        <v>320</v>
      </c>
      <c r="F66" s="299">
        <f>'Приложение 9'!Q588</f>
        <v>75</v>
      </c>
      <c r="G66" s="299">
        <f>'Приложение 10'!Q518</f>
        <v>75</v>
      </c>
      <c r="H66" s="299">
        <f>'Приложение 10'!R518</f>
        <v>75</v>
      </c>
    </row>
    <row r="67" spans="1:8" s="282" customFormat="1" ht="63">
      <c r="A67" s="287" t="s">
        <v>682</v>
      </c>
      <c r="B67" s="273" t="s">
        <v>427</v>
      </c>
      <c r="C67" s="274"/>
      <c r="D67" s="274"/>
      <c r="E67" s="273"/>
      <c r="F67" s="277">
        <f>F68</f>
        <v>6607.1</v>
      </c>
      <c r="G67" s="277">
        <f>G68+G73</f>
        <v>10084.8</v>
      </c>
      <c r="H67" s="277">
        <f>H68</f>
        <v>7300</v>
      </c>
    </row>
    <row r="68" spans="1:8" ht="31.5">
      <c r="A68" s="296" t="s">
        <v>315</v>
      </c>
      <c r="B68" s="297" t="s">
        <v>428</v>
      </c>
      <c r="C68" s="298"/>
      <c r="D68" s="298"/>
      <c r="E68" s="297"/>
      <c r="F68" s="299">
        <f>F69</f>
        <v>6607.1</v>
      </c>
      <c r="G68" s="299">
        <f>G69+G71</f>
        <v>7200</v>
      </c>
      <c r="H68" s="299">
        <f>H69+H71</f>
        <v>7300</v>
      </c>
    </row>
    <row r="69" spans="1:8" ht="31.5">
      <c r="A69" s="296" t="s">
        <v>314</v>
      </c>
      <c r="B69" s="297" t="s">
        <v>429</v>
      </c>
      <c r="C69" s="298"/>
      <c r="D69" s="298"/>
      <c r="E69" s="297"/>
      <c r="F69" s="299">
        <f>F70</f>
        <v>6607.1</v>
      </c>
      <c r="G69" s="299">
        <f>G70</f>
        <v>6267.3</v>
      </c>
      <c r="H69" s="299">
        <f>H70</f>
        <v>6367.3</v>
      </c>
    </row>
    <row r="70" spans="1:8" ht="15.75">
      <c r="A70" s="296" t="s">
        <v>722</v>
      </c>
      <c r="B70" s="297" t="s">
        <v>429</v>
      </c>
      <c r="C70" s="298" t="s">
        <v>730</v>
      </c>
      <c r="D70" s="298" t="s">
        <v>430</v>
      </c>
      <c r="E70" s="297">
        <v>610</v>
      </c>
      <c r="F70" s="299">
        <f>'Приложение 9'!Q309</f>
        <v>6607.1</v>
      </c>
      <c r="G70" s="299">
        <f>'Приложение 10'!Q287</f>
        <v>6267.3</v>
      </c>
      <c r="H70" s="299">
        <f>'Приложение 10'!R287</f>
        <v>6367.3</v>
      </c>
    </row>
    <row r="71" spans="1:8" ht="78.75">
      <c r="A71" s="11" t="s">
        <v>61</v>
      </c>
      <c r="B71" s="297" t="s">
        <v>67</v>
      </c>
      <c r="C71" s="275"/>
      <c r="D71" s="275"/>
      <c r="E71" s="270"/>
      <c r="F71" s="299"/>
      <c r="G71" s="299">
        <f>G72</f>
        <v>932.7</v>
      </c>
      <c r="H71" s="299">
        <f>H72</f>
        <v>932.7</v>
      </c>
    </row>
    <row r="72" spans="1:8" ht="15.75">
      <c r="A72" s="11" t="s">
        <v>722</v>
      </c>
      <c r="B72" s="297" t="s">
        <v>67</v>
      </c>
      <c r="C72" s="298" t="s">
        <v>730</v>
      </c>
      <c r="D72" s="298" t="s">
        <v>430</v>
      </c>
      <c r="E72" s="270">
        <v>610</v>
      </c>
      <c r="F72" s="299"/>
      <c r="G72" s="299">
        <f>'Приложение 10'!Q289</f>
        <v>932.7</v>
      </c>
      <c r="H72" s="299">
        <f>'Приложение 10'!R289</f>
        <v>932.7</v>
      </c>
    </row>
    <row r="73" spans="1:8" ht="63">
      <c r="A73" s="296" t="s">
        <v>685</v>
      </c>
      <c r="B73" s="297" t="s">
        <v>431</v>
      </c>
      <c r="C73" s="298"/>
      <c r="D73" s="298"/>
      <c r="E73" s="297"/>
      <c r="F73" s="299"/>
      <c r="G73" s="299">
        <f>G74</f>
        <v>2884.8</v>
      </c>
      <c r="H73" s="299">
        <v>0</v>
      </c>
    </row>
    <row r="74" spans="1:8" ht="15.75">
      <c r="A74" s="296" t="s">
        <v>722</v>
      </c>
      <c r="B74" s="297" t="s">
        <v>431</v>
      </c>
      <c r="C74" s="298" t="s">
        <v>730</v>
      </c>
      <c r="D74" s="298" t="s">
        <v>430</v>
      </c>
      <c r="E74" s="297">
        <v>610</v>
      </c>
      <c r="F74" s="299"/>
      <c r="G74" s="299">
        <f>'Приложение 10'!Q291</f>
        <v>2884.8</v>
      </c>
      <c r="H74" s="299">
        <v>0</v>
      </c>
    </row>
    <row r="75" spans="1:8" s="282" customFormat="1" ht="63">
      <c r="A75" s="287" t="s">
        <v>383</v>
      </c>
      <c r="B75" s="273" t="s">
        <v>432</v>
      </c>
      <c r="C75" s="274"/>
      <c r="D75" s="274"/>
      <c r="E75" s="273"/>
      <c r="F75" s="277"/>
      <c r="G75" s="277">
        <f>G76+G79+G84</f>
        <v>7300</v>
      </c>
      <c r="H75" s="277">
        <f>H76+H79+H84</f>
        <v>7250</v>
      </c>
    </row>
    <row r="76" spans="1:8" ht="94.5">
      <c r="A76" s="296" t="s">
        <v>348</v>
      </c>
      <c r="B76" s="297" t="s">
        <v>433</v>
      </c>
      <c r="C76" s="298"/>
      <c r="D76" s="298"/>
      <c r="E76" s="297"/>
      <c r="F76" s="299"/>
      <c r="G76" s="299">
        <f>G77</f>
        <v>200</v>
      </c>
      <c r="H76" s="299">
        <f>H77</f>
        <v>150</v>
      </c>
    </row>
    <row r="77" spans="1:8" ht="15.75">
      <c r="A77" s="296" t="s">
        <v>262</v>
      </c>
      <c r="B77" s="297" t="s">
        <v>434</v>
      </c>
      <c r="C77" s="298"/>
      <c r="D77" s="298"/>
      <c r="E77" s="297"/>
      <c r="F77" s="299"/>
      <c r="G77" s="299">
        <f>G78</f>
        <v>200</v>
      </c>
      <c r="H77" s="299">
        <f>H78</f>
        <v>150</v>
      </c>
    </row>
    <row r="78" spans="1:8" ht="15.75">
      <c r="A78" s="296" t="s">
        <v>722</v>
      </c>
      <c r="B78" s="297" t="s">
        <v>434</v>
      </c>
      <c r="C78" s="298" t="s">
        <v>730</v>
      </c>
      <c r="D78" s="298" t="s">
        <v>400</v>
      </c>
      <c r="E78" s="297">
        <v>610</v>
      </c>
      <c r="F78" s="299"/>
      <c r="G78" s="299">
        <f>'Приложение 10'!Q130</f>
        <v>200</v>
      </c>
      <c r="H78" s="299">
        <f>'Приложение 10'!R130</f>
        <v>150</v>
      </c>
    </row>
    <row r="79" spans="1:8" ht="47.25">
      <c r="A79" s="296" t="s">
        <v>659</v>
      </c>
      <c r="B79" s="297" t="s">
        <v>435</v>
      </c>
      <c r="C79" s="298"/>
      <c r="D79" s="298"/>
      <c r="E79" s="297"/>
      <c r="F79" s="299"/>
      <c r="G79" s="299">
        <f>G80+G82</f>
        <v>6750</v>
      </c>
      <c r="H79" s="299">
        <f>H80+H82</f>
        <v>6800</v>
      </c>
    </row>
    <row r="80" spans="1:8" ht="15.75">
      <c r="A80" s="296" t="s">
        <v>262</v>
      </c>
      <c r="B80" s="297" t="s">
        <v>436</v>
      </c>
      <c r="C80" s="298"/>
      <c r="D80" s="298"/>
      <c r="E80" s="297"/>
      <c r="F80" s="299"/>
      <c r="G80" s="299">
        <f>G81</f>
        <v>5881.6</v>
      </c>
      <c r="H80" s="299">
        <f>H81</f>
        <v>5689.3</v>
      </c>
    </row>
    <row r="81" spans="1:8" ht="15.75">
      <c r="A81" s="296" t="s">
        <v>722</v>
      </c>
      <c r="B81" s="297" t="s">
        <v>436</v>
      </c>
      <c r="C81" s="298" t="s">
        <v>730</v>
      </c>
      <c r="D81" s="298" t="s">
        <v>400</v>
      </c>
      <c r="E81" s="297">
        <v>610</v>
      </c>
      <c r="F81" s="299"/>
      <c r="G81" s="299">
        <f>'Приложение 10'!Q133</f>
        <v>5881.6</v>
      </c>
      <c r="H81" s="299">
        <f>'Приложение 10'!R133</f>
        <v>5689.3</v>
      </c>
    </row>
    <row r="82" spans="1:8" ht="78.75">
      <c r="A82" s="5" t="s">
        <v>61</v>
      </c>
      <c r="B82" s="297" t="s">
        <v>63</v>
      </c>
      <c r="C82" s="298"/>
      <c r="D82" s="298"/>
      <c r="E82" s="297"/>
      <c r="F82" s="299"/>
      <c r="G82" s="299">
        <f>G83</f>
        <v>868.4</v>
      </c>
      <c r="H82" s="299">
        <f>H83</f>
        <v>1110.7</v>
      </c>
    </row>
    <row r="83" spans="1:8" ht="15.75">
      <c r="A83" s="5" t="s">
        <v>722</v>
      </c>
      <c r="B83" s="297" t="s">
        <v>63</v>
      </c>
      <c r="C83" s="298" t="s">
        <v>730</v>
      </c>
      <c r="D83" s="298" t="s">
        <v>400</v>
      </c>
      <c r="E83" s="297">
        <v>610</v>
      </c>
      <c r="F83" s="299"/>
      <c r="G83" s="299">
        <f>'Приложение 10'!Q135</f>
        <v>868.4</v>
      </c>
      <c r="H83" s="299">
        <f>'Приложение 10'!R135</f>
        <v>1110.7</v>
      </c>
    </row>
    <row r="84" spans="1:8" ht="63">
      <c r="A84" s="296" t="s">
        <v>286</v>
      </c>
      <c r="B84" s="297" t="s">
        <v>437</v>
      </c>
      <c r="C84" s="298"/>
      <c r="D84" s="298"/>
      <c r="E84" s="297"/>
      <c r="F84" s="299"/>
      <c r="G84" s="299">
        <f>G85</f>
        <v>350</v>
      </c>
      <c r="H84" s="299">
        <f>H85</f>
        <v>300</v>
      </c>
    </row>
    <row r="85" spans="1:8" ht="15.75">
      <c r="A85" s="296" t="s">
        <v>262</v>
      </c>
      <c r="B85" s="297" t="s">
        <v>438</v>
      </c>
      <c r="C85" s="298"/>
      <c r="D85" s="298"/>
      <c r="E85" s="297"/>
      <c r="F85" s="299"/>
      <c r="G85" s="299">
        <f>G86</f>
        <v>350</v>
      </c>
      <c r="H85" s="299">
        <f>H86</f>
        <v>300</v>
      </c>
    </row>
    <row r="86" spans="1:8" ht="15.75">
      <c r="A86" s="296" t="s">
        <v>722</v>
      </c>
      <c r="B86" s="297" t="s">
        <v>438</v>
      </c>
      <c r="C86" s="298" t="s">
        <v>730</v>
      </c>
      <c r="D86" s="298" t="s">
        <v>400</v>
      </c>
      <c r="E86" s="297">
        <v>610</v>
      </c>
      <c r="F86" s="299"/>
      <c r="G86" s="299">
        <f>'Приложение 10'!Q138</f>
        <v>350</v>
      </c>
      <c r="H86" s="299">
        <f>'Приложение 10'!R138</f>
        <v>300</v>
      </c>
    </row>
    <row r="87" spans="1:8" ht="63">
      <c r="A87" s="287" t="s">
        <v>192</v>
      </c>
      <c r="B87" s="273" t="s">
        <v>193</v>
      </c>
      <c r="C87" s="274"/>
      <c r="D87" s="274"/>
      <c r="E87" s="273"/>
      <c r="F87" s="277">
        <f>F95+F37+F40</f>
        <v>17726.1</v>
      </c>
      <c r="G87" s="277">
        <f>G94+G88+G91</f>
        <v>48475</v>
      </c>
      <c r="H87" s="277">
        <f>H94+H88+H91</f>
        <v>1000</v>
      </c>
    </row>
    <row r="88" spans="1:8" ht="63">
      <c r="A88" s="18" t="s">
        <v>308</v>
      </c>
      <c r="B88" s="297" t="s">
        <v>196</v>
      </c>
      <c r="C88" s="298"/>
      <c r="D88" s="298"/>
      <c r="E88" s="352"/>
      <c r="F88" s="299"/>
      <c r="G88" s="299">
        <f>G89</f>
        <v>0</v>
      </c>
      <c r="H88" s="299">
        <f>H89</f>
        <v>500</v>
      </c>
    </row>
    <row r="89" spans="1:8" ht="15.75">
      <c r="A89" s="116" t="s">
        <v>269</v>
      </c>
      <c r="B89" s="297" t="s">
        <v>197</v>
      </c>
      <c r="C89" s="298"/>
      <c r="D89" s="298"/>
      <c r="E89" s="352"/>
      <c r="F89" s="299"/>
      <c r="G89" s="299">
        <f>G90</f>
        <v>0</v>
      </c>
      <c r="H89" s="299">
        <f>H90</f>
        <v>500</v>
      </c>
    </row>
    <row r="90" spans="1:8" ht="47.25">
      <c r="A90" s="116" t="s">
        <v>720</v>
      </c>
      <c r="B90" s="297" t="s">
        <v>197</v>
      </c>
      <c r="C90" s="298" t="s">
        <v>730</v>
      </c>
      <c r="D90" s="298" t="s">
        <v>401</v>
      </c>
      <c r="E90" s="353" t="s">
        <v>198</v>
      </c>
      <c r="F90" s="299"/>
      <c r="G90" s="299">
        <f>'Приложение 10'!Q182</f>
        <v>0</v>
      </c>
      <c r="H90" s="299">
        <f>'Приложение 10'!R182</f>
        <v>500</v>
      </c>
    </row>
    <row r="91" spans="1:8" ht="63">
      <c r="A91" s="116" t="s">
        <v>310</v>
      </c>
      <c r="B91" s="297" t="s">
        <v>199</v>
      </c>
      <c r="C91" s="298"/>
      <c r="D91" s="298"/>
      <c r="E91" s="352"/>
      <c r="F91" s="299"/>
      <c r="G91" s="299">
        <f>G92</f>
        <v>5200</v>
      </c>
      <c r="H91" s="299">
        <f>H92</f>
        <v>500</v>
      </c>
    </row>
    <row r="92" spans="1:8" ht="15.75">
      <c r="A92" s="116" t="s">
        <v>269</v>
      </c>
      <c r="B92" s="297" t="s">
        <v>200</v>
      </c>
      <c r="C92" s="298"/>
      <c r="D92" s="298"/>
      <c r="E92" s="352"/>
      <c r="F92" s="299"/>
      <c r="G92" s="299">
        <f>G93</f>
        <v>5200</v>
      </c>
      <c r="H92" s="299">
        <f>H93</f>
        <v>500</v>
      </c>
    </row>
    <row r="93" spans="1:8" ht="47.25">
      <c r="A93" s="116" t="s">
        <v>720</v>
      </c>
      <c r="B93" s="297" t="s">
        <v>200</v>
      </c>
      <c r="C93" s="298" t="s">
        <v>730</v>
      </c>
      <c r="D93" s="298" t="s">
        <v>402</v>
      </c>
      <c r="E93" s="352">
        <v>240</v>
      </c>
      <c r="F93" s="299"/>
      <c r="G93" s="299">
        <f>'Приложение 10'!Q208</f>
        <v>5200</v>
      </c>
      <c r="H93" s="299">
        <f>'Приложение 10'!R208</f>
        <v>500</v>
      </c>
    </row>
    <row r="94" spans="1:8" ht="63">
      <c r="A94" s="296" t="s">
        <v>121</v>
      </c>
      <c r="B94" s="297" t="s">
        <v>194</v>
      </c>
      <c r="C94" s="298"/>
      <c r="D94" s="298"/>
      <c r="E94" s="297"/>
      <c r="F94" s="299"/>
      <c r="G94" s="299">
        <f>G95</f>
        <v>43275</v>
      </c>
      <c r="H94" s="299">
        <f>H95</f>
        <v>0</v>
      </c>
    </row>
    <row r="95" spans="1:8" ht="47.25">
      <c r="A95" s="288" t="s">
        <v>664</v>
      </c>
      <c r="B95" s="297" t="s">
        <v>195</v>
      </c>
      <c r="C95" s="275"/>
      <c r="D95" s="275"/>
      <c r="E95" s="270"/>
      <c r="F95" s="276">
        <f>F96</f>
        <v>15474.099999999999</v>
      </c>
      <c r="G95" s="276">
        <f>G96</f>
        <v>43275</v>
      </c>
      <c r="H95" s="276">
        <f>H96</f>
        <v>0</v>
      </c>
    </row>
    <row r="96" spans="1:8" ht="47.25">
      <c r="A96" s="288" t="s">
        <v>720</v>
      </c>
      <c r="B96" s="297" t="s">
        <v>195</v>
      </c>
      <c r="C96" s="275" t="s">
        <v>730</v>
      </c>
      <c r="D96" s="275" t="s">
        <v>401</v>
      </c>
      <c r="E96" s="270">
        <v>240</v>
      </c>
      <c r="F96" s="276">
        <f>'Приложение 9'!Q63</f>
        <v>15474.099999999999</v>
      </c>
      <c r="G96" s="276">
        <f>'Приложение 10'!Q184</f>
        <v>43275</v>
      </c>
      <c r="H96" s="276">
        <f>'Приложение 10'!R184</f>
        <v>0</v>
      </c>
    </row>
    <row r="97" spans="1:8" s="282" customFormat="1" ht="78.75">
      <c r="A97" s="287" t="s">
        <v>708</v>
      </c>
      <c r="B97" s="273" t="s">
        <v>439</v>
      </c>
      <c r="C97" s="274"/>
      <c r="D97" s="274"/>
      <c r="E97" s="273"/>
      <c r="F97" s="277"/>
      <c r="G97" s="277">
        <f>G98+G102+G111</f>
        <v>37991</v>
      </c>
      <c r="H97" s="277">
        <f>H98+H102+H111</f>
        <v>38084</v>
      </c>
    </row>
    <row r="98" spans="1:8" ht="63">
      <c r="A98" s="296" t="s">
        <v>384</v>
      </c>
      <c r="B98" s="297" t="s">
        <v>440</v>
      </c>
      <c r="C98" s="298"/>
      <c r="D98" s="298"/>
      <c r="E98" s="297"/>
      <c r="F98" s="299"/>
      <c r="G98" s="299">
        <f aca="true" t="shared" si="2" ref="G98:H100">G99</f>
        <v>50</v>
      </c>
      <c r="H98" s="299">
        <f t="shared" si="2"/>
        <v>50</v>
      </c>
    </row>
    <row r="99" spans="1:8" ht="78.75">
      <c r="A99" s="296" t="s">
        <v>37</v>
      </c>
      <c r="B99" s="297" t="s">
        <v>441</v>
      </c>
      <c r="C99" s="298"/>
      <c r="D99" s="298"/>
      <c r="E99" s="297"/>
      <c r="F99" s="299"/>
      <c r="G99" s="299">
        <f t="shared" si="2"/>
        <v>50</v>
      </c>
      <c r="H99" s="299">
        <f t="shared" si="2"/>
        <v>50</v>
      </c>
    </row>
    <row r="100" spans="1:8" ht="31.5">
      <c r="A100" s="296" t="s">
        <v>342</v>
      </c>
      <c r="B100" s="297" t="s">
        <v>442</v>
      </c>
      <c r="C100" s="298"/>
      <c r="D100" s="298"/>
      <c r="E100" s="297"/>
      <c r="F100" s="299"/>
      <c r="G100" s="299">
        <f t="shared" si="2"/>
        <v>50</v>
      </c>
      <c r="H100" s="299">
        <f t="shared" si="2"/>
        <v>50</v>
      </c>
    </row>
    <row r="101" spans="1:8" ht="47.25">
      <c r="A101" s="296" t="s">
        <v>720</v>
      </c>
      <c r="B101" s="297" t="s">
        <v>442</v>
      </c>
      <c r="C101" s="298" t="s">
        <v>404</v>
      </c>
      <c r="D101" s="298" t="s">
        <v>403</v>
      </c>
      <c r="E101" s="297">
        <v>240</v>
      </c>
      <c r="F101" s="299"/>
      <c r="G101" s="299">
        <f>'Приложение 10'!Q349</f>
        <v>50</v>
      </c>
      <c r="H101" s="299">
        <f>'Приложение 10'!R349</f>
        <v>50</v>
      </c>
    </row>
    <row r="102" spans="1:8" ht="78.75">
      <c r="A102" s="296" t="s">
        <v>714</v>
      </c>
      <c r="B102" s="297" t="s">
        <v>443</v>
      </c>
      <c r="C102" s="298"/>
      <c r="D102" s="298"/>
      <c r="E102" s="297"/>
      <c r="F102" s="299"/>
      <c r="G102" s="299">
        <f>G103+G108</f>
        <v>17823.8</v>
      </c>
      <c r="H102" s="299">
        <f>H103+H108</f>
        <v>17916.8</v>
      </c>
    </row>
    <row r="103" spans="1:8" ht="47.25">
      <c r="A103" s="296" t="s">
        <v>41</v>
      </c>
      <c r="B103" s="297" t="s">
        <v>444</v>
      </c>
      <c r="C103" s="298"/>
      <c r="D103" s="298"/>
      <c r="E103" s="297"/>
      <c r="F103" s="299"/>
      <c r="G103" s="299">
        <f>G104+G106</f>
        <v>5252.3</v>
      </c>
      <c r="H103" s="299">
        <f>H104+H106</f>
        <v>5735.7</v>
      </c>
    </row>
    <row r="104" spans="1:8" ht="141.75">
      <c r="A104" s="296" t="s">
        <v>494</v>
      </c>
      <c r="B104" s="297" t="s">
        <v>445</v>
      </c>
      <c r="C104" s="298"/>
      <c r="D104" s="298"/>
      <c r="E104" s="297"/>
      <c r="F104" s="299"/>
      <c r="G104" s="299">
        <f>G105</f>
        <v>2747.9</v>
      </c>
      <c r="H104" s="299">
        <f>H105</f>
        <v>2974.6</v>
      </c>
    </row>
    <row r="105" spans="1:8" ht="15.75">
      <c r="A105" s="296" t="s">
        <v>726</v>
      </c>
      <c r="B105" s="297" t="s">
        <v>445</v>
      </c>
      <c r="C105" s="298" t="s">
        <v>404</v>
      </c>
      <c r="D105" s="298" t="s">
        <v>405</v>
      </c>
      <c r="E105" s="297">
        <v>510</v>
      </c>
      <c r="F105" s="299"/>
      <c r="G105" s="299">
        <f>'Приложение 10'!Q386</f>
        <v>2747.9</v>
      </c>
      <c r="H105" s="299">
        <f>'Приложение 10'!R386</f>
        <v>2974.6</v>
      </c>
    </row>
    <row r="106" spans="1:8" ht="31.5">
      <c r="A106" s="296" t="s">
        <v>55</v>
      </c>
      <c r="B106" s="297" t="s">
        <v>90</v>
      </c>
      <c r="C106" s="298"/>
      <c r="D106" s="298"/>
      <c r="E106" s="297"/>
      <c r="F106" s="299"/>
      <c r="G106" s="299">
        <f>G107</f>
        <v>2504.4</v>
      </c>
      <c r="H106" s="299">
        <f>H107</f>
        <v>2761.1</v>
      </c>
    </row>
    <row r="107" spans="1:8" ht="15.75">
      <c r="A107" s="296" t="s">
        <v>726</v>
      </c>
      <c r="B107" s="297" t="s">
        <v>90</v>
      </c>
      <c r="C107" s="298" t="s">
        <v>404</v>
      </c>
      <c r="D107" s="298" t="s">
        <v>405</v>
      </c>
      <c r="E107" s="297">
        <v>510</v>
      </c>
      <c r="F107" s="299"/>
      <c r="G107" s="299">
        <f>'Приложение 10'!Q388</f>
        <v>2504.4</v>
      </c>
      <c r="H107" s="299">
        <f>'Приложение 10'!R388</f>
        <v>2761.1</v>
      </c>
    </row>
    <row r="108" spans="1:8" ht="47.25">
      <c r="A108" s="296" t="s">
        <v>44</v>
      </c>
      <c r="B108" s="297" t="s">
        <v>446</v>
      </c>
      <c r="C108" s="298"/>
      <c r="D108" s="298"/>
      <c r="E108" s="297"/>
      <c r="F108" s="299"/>
      <c r="G108" s="299">
        <f>G109</f>
        <v>12571.5</v>
      </c>
      <c r="H108" s="299">
        <f>H109</f>
        <v>12181.1</v>
      </c>
    </row>
    <row r="109" spans="1:8" ht="35.25" customHeight="1">
      <c r="A109" s="296" t="s">
        <v>42</v>
      </c>
      <c r="B109" s="297" t="s">
        <v>91</v>
      </c>
      <c r="C109" s="298"/>
      <c r="D109" s="298"/>
      <c r="E109" s="297"/>
      <c r="F109" s="299"/>
      <c r="G109" s="299">
        <f>G110</f>
        <v>12571.5</v>
      </c>
      <c r="H109" s="299">
        <f>H110</f>
        <v>12181.1</v>
      </c>
    </row>
    <row r="110" spans="1:8" ht="15.75">
      <c r="A110" s="296" t="s">
        <v>726</v>
      </c>
      <c r="B110" s="297" t="s">
        <v>91</v>
      </c>
      <c r="C110" s="298" t="s">
        <v>404</v>
      </c>
      <c r="D110" s="298" t="s">
        <v>406</v>
      </c>
      <c r="E110" s="297">
        <v>510</v>
      </c>
      <c r="F110" s="299"/>
      <c r="G110" s="299">
        <f>'Приложение 10'!Q394</f>
        <v>12571.5</v>
      </c>
      <c r="H110" s="299">
        <f>'Приложение 10'!R394</f>
        <v>12181.1</v>
      </c>
    </row>
    <row r="111" spans="1:8" ht="78.75">
      <c r="A111" s="296" t="s">
        <v>715</v>
      </c>
      <c r="B111" s="297" t="s">
        <v>447</v>
      </c>
      <c r="C111" s="298"/>
      <c r="D111" s="298"/>
      <c r="E111" s="297"/>
      <c r="F111" s="299"/>
      <c r="G111" s="299">
        <f>G112+G117</f>
        <v>20117.2</v>
      </c>
      <c r="H111" s="299">
        <f>H112+H117</f>
        <v>20117.2</v>
      </c>
    </row>
    <row r="112" spans="1:8" ht="126">
      <c r="A112" s="296" t="s">
        <v>701</v>
      </c>
      <c r="B112" s="297" t="s">
        <v>448</v>
      </c>
      <c r="C112" s="298"/>
      <c r="D112" s="298"/>
      <c r="E112" s="297"/>
      <c r="F112" s="299"/>
      <c r="G112" s="299">
        <f>G113</f>
        <v>6721.8</v>
      </c>
      <c r="H112" s="299">
        <f>H113</f>
        <v>6721.8</v>
      </c>
    </row>
    <row r="113" spans="1:8" ht="31.5">
      <c r="A113" s="296" t="s">
        <v>342</v>
      </c>
      <c r="B113" s="297" t="s">
        <v>449</v>
      </c>
      <c r="C113" s="298"/>
      <c r="D113" s="298"/>
      <c r="E113" s="297"/>
      <c r="F113" s="299"/>
      <c r="G113" s="299">
        <f>SUM(G114:G116)</f>
        <v>6721.8</v>
      </c>
      <c r="H113" s="299">
        <f>SUM(H114:H116)</f>
        <v>6721.8</v>
      </c>
    </row>
    <row r="114" spans="1:8" ht="37.5" customHeight="1">
      <c r="A114" s="296" t="s">
        <v>533</v>
      </c>
      <c r="B114" s="297" t="s">
        <v>449</v>
      </c>
      <c r="C114" s="298" t="s">
        <v>404</v>
      </c>
      <c r="D114" s="298" t="s">
        <v>403</v>
      </c>
      <c r="E114" s="297">
        <v>120</v>
      </c>
      <c r="F114" s="299"/>
      <c r="G114" s="299">
        <f>'Приложение 10'!Q353</f>
        <v>4742.8</v>
      </c>
      <c r="H114" s="299">
        <f>'Приложение 10'!R353</f>
        <v>4742.8</v>
      </c>
    </row>
    <row r="115" spans="1:8" ht="47.25">
      <c r="A115" s="296" t="s">
        <v>720</v>
      </c>
      <c r="B115" s="297" t="s">
        <v>449</v>
      </c>
      <c r="C115" s="298" t="s">
        <v>404</v>
      </c>
      <c r="D115" s="298" t="s">
        <v>403</v>
      </c>
      <c r="E115" s="297">
        <v>240</v>
      </c>
      <c r="F115" s="299"/>
      <c r="G115" s="299">
        <f>'Приложение 10'!Q354</f>
        <v>1955.9999999999998</v>
      </c>
      <c r="H115" s="299">
        <f>'Приложение 10'!R354</f>
        <v>1955.9999999999998</v>
      </c>
    </row>
    <row r="116" spans="1:8" ht="15.75">
      <c r="A116" s="296" t="s">
        <v>721</v>
      </c>
      <c r="B116" s="297" t="s">
        <v>449</v>
      </c>
      <c r="C116" s="298" t="s">
        <v>404</v>
      </c>
      <c r="D116" s="298" t="s">
        <v>403</v>
      </c>
      <c r="E116" s="297">
        <v>850</v>
      </c>
      <c r="F116" s="299"/>
      <c r="G116" s="299">
        <f>'Приложение 10'!Q355</f>
        <v>23</v>
      </c>
      <c r="H116" s="299">
        <f>'Приложение 10'!R355</f>
        <v>23</v>
      </c>
    </row>
    <row r="117" spans="1:8" ht="63">
      <c r="A117" s="296" t="s">
        <v>716</v>
      </c>
      <c r="B117" s="297" t="s">
        <v>450</v>
      </c>
      <c r="C117" s="298"/>
      <c r="D117" s="298"/>
      <c r="E117" s="297"/>
      <c r="F117" s="299"/>
      <c r="G117" s="299">
        <f>G118</f>
        <v>13395.400000000001</v>
      </c>
      <c r="H117" s="299">
        <f>H118</f>
        <v>13395.400000000001</v>
      </c>
    </row>
    <row r="118" spans="1:8" ht="47.25">
      <c r="A118" s="296" t="s">
        <v>344</v>
      </c>
      <c r="B118" s="297" t="s">
        <v>451</v>
      </c>
      <c r="C118" s="298"/>
      <c r="D118" s="298"/>
      <c r="E118" s="297"/>
      <c r="F118" s="299"/>
      <c r="G118" s="299">
        <f>SUM(G119:G121)</f>
        <v>13395.400000000001</v>
      </c>
      <c r="H118" s="299">
        <f>SUM(H119:H121)</f>
        <v>13395.400000000001</v>
      </c>
    </row>
    <row r="119" spans="1:8" ht="31.5">
      <c r="A119" s="296" t="s">
        <v>723</v>
      </c>
      <c r="B119" s="297" t="s">
        <v>451</v>
      </c>
      <c r="C119" s="298" t="s">
        <v>404</v>
      </c>
      <c r="D119" s="298" t="s">
        <v>390</v>
      </c>
      <c r="E119" s="297">
        <v>110</v>
      </c>
      <c r="F119" s="299"/>
      <c r="G119" s="299">
        <f>'Приложение 10'!Q367</f>
        <v>11244.7</v>
      </c>
      <c r="H119" s="299">
        <f>'Приложение 10'!R367</f>
        <v>11244.7</v>
      </c>
    </row>
    <row r="120" spans="1:8" ht="47.25">
      <c r="A120" s="296" t="s">
        <v>720</v>
      </c>
      <c r="B120" s="297" t="s">
        <v>451</v>
      </c>
      <c r="C120" s="298" t="s">
        <v>404</v>
      </c>
      <c r="D120" s="298" t="s">
        <v>390</v>
      </c>
      <c r="E120" s="297">
        <v>240</v>
      </c>
      <c r="F120" s="299"/>
      <c r="G120" s="299">
        <f>'Приложение 10'!Q368</f>
        <v>2149.7</v>
      </c>
      <c r="H120" s="299">
        <f>'Приложение 10'!R368</f>
        <v>2149.7</v>
      </c>
    </row>
    <row r="121" spans="1:8" ht="15.75">
      <c r="A121" s="296" t="s">
        <v>721</v>
      </c>
      <c r="B121" s="297" t="s">
        <v>451</v>
      </c>
      <c r="C121" s="298" t="s">
        <v>404</v>
      </c>
      <c r="D121" s="298" t="s">
        <v>390</v>
      </c>
      <c r="E121" s="297">
        <v>850</v>
      </c>
      <c r="F121" s="299"/>
      <c r="G121" s="299">
        <f>'Приложение 10'!Q369</f>
        <v>1</v>
      </c>
      <c r="H121" s="299">
        <f>'Приложение 10'!R369</f>
        <v>1</v>
      </c>
    </row>
    <row r="122" spans="1:8" s="282" customFormat="1" ht="63">
      <c r="A122" s="125" t="s">
        <v>665</v>
      </c>
      <c r="B122" s="273" t="s">
        <v>481</v>
      </c>
      <c r="C122" s="274"/>
      <c r="D122" s="274"/>
      <c r="E122" s="273"/>
      <c r="F122" s="277" t="e">
        <f>F123+F132+#REF!+F137</f>
        <v>#REF!</v>
      </c>
      <c r="G122" s="277">
        <f>G123+G132+G137</f>
        <v>36683.5</v>
      </c>
      <c r="H122" s="277">
        <f>H123+H132+H137</f>
        <v>34972.6</v>
      </c>
    </row>
    <row r="123" spans="1:8" ht="63">
      <c r="A123" s="24" t="s">
        <v>301</v>
      </c>
      <c r="B123" s="297" t="s">
        <v>482</v>
      </c>
      <c r="C123" s="298"/>
      <c r="D123" s="298"/>
      <c r="E123" s="297"/>
      <c r="F123" s="299">
        <f>F124+F128+F130</f>
        <v>11848.300000000001</v>
      </c>
      <c r="G123" s="299">
        <f>G124+G128+G130+G126</f>
        <v>14682.6</v>
      </c>
      <c r="H123" s="299">
        <f>H124+H128+H130+H126</f>
        <v>14521.6</v>
      </c>
    </row>
    <row r="124" spans="1:8" ht="15.75">
      <c r="A124" s="24" t="s">
        <v>303</v>
      </c>
      <c r="B124" s="297" t="s">
        <v>483</v>
      </c>
      <c r="C124" s="298"/>
      <c r="D124" s="298"/>
      <c r="E124" s="297"/>
      <c r="F124" s="299">
        <f>F125</f>
        <v>9887.2</v>
      </c>
      <c r="G124" s="299">
        <f>G125</f>
        <v>10261.7</v>
      </c>
      <c r="H124" s="299">
        <f>H125</f>
        <v>9638.6</v>
      </c>
    </row>
    <row r="125" spans="1:8" ht="15.75">
      <c r="A125" s="296" t="s">
        <v>722</v>
      </c>
      <c r="B125" s="297" t="s">
        <v>483</v>
      </c>
      <c r="C125" s="298" t="s">
        <v>730</v>
      </c>
      <c r="D125" s="298" t="s">
        <v>484</v>
      </c>
      <c r="E125" s="297">
        <v>610</v>
      </c>
      <c r="F125" s="299">
        <f>'Приложение 9'!Q250</f>
        <v>9887.2</v>
      </c>
      <c r="G125" s="299">
        <f>'Приложение 10'!Q235</f>
        <v>10261.7</v>
      </c>
      <c r="H125" s="299">
        <f>'Приложение 10'!R235</f>
        <v>9638.6</v>
      </c>
    </row>
    <row r="126" spans="1:8" ht="78.75">
      <c r="A126" s="257" t="s">
        <v>61</v>
      </c>
      <c r="B126" s="297" t="s">
        <v>65</v>
      </c>
      <c r="C126" s="275"/>
      <c r="D126" s="275"/>
      <c r="E126" s="270"/>
      <c r="F126" s="299"/>
      <c r="G126" s="299">
        <f>G127</f>
        <v>1656.9</v>
      </c>
      <c r="H126" s="299">
        <f>H127</f>
        <v>2119</v>
      </c>
    </row>
    <row r="127" spans="1:8" ht="15.75">
      <c r="A127" s="257" t="s">
        <v>722</v>
      </c>
      <c r="B127" s="297" t="s">
        <v>65</v>
      </c>
      <c r="C127" s="298" t="s">
        <v>730</v>
      </c>
      <c r="D127" s="298" t="s">
        <v>484</v>
      </c>
      <c r="E127" s="270">
        <v>610</v>
      </c>
      <c r="F127" s="299"/>
      <c r="G127" s="299">
        <f>'Приложение 10'!Q237</f>
        <v>1656.9</v>
      </c>
      <c r="H127" s="299">
        <f>'Приложение 10'!R237</f>
        <v>2119</v>
      </c>
    </row>
    <row r="128" spans="1:8" ht="47.25">
      <c r="A128" s="5" t="s">
        <v>813</v>
      </c>
      <c r="B128" s="297" t="s">
        <v>485</v>
      </c>
      <c r="C128" s="298"/>
      <c r="D128" s="298"/>
      <c r="E128" s="297"/>
      <c r="F128" s="299">
        <f>F129</f>
        <v>340</v>
      </c>
      <c r="G128" s="299">
        <f>G129</f>
        <v>340</v>
      </c>
      <c r="H128" s="299">
        <f>H129</f>
        <v>340</v>
      </c>
    </row>
    <row r="129" spans="1:8" ht="15.75">
      <c r="A129" s="296" t="s">
        <v>722</v>
      </c>
      <c r="B129" s="297" t="s">
        <v>485</v>
      </c>
      <c r="C129" s="298" t="s">
        <v>730</v>
      </c>
      <c r="D129" s="298" t="s">
        <v>484</v>
      </c>
      <c r="E129" s="297">
        <v>610</v>
      </c>
      <c r="F129" s="299">
        <f>'Приложение 9'!Q254</f>
        <v>340</v>
      </c>
      <c r="G129" s="299">
        <f>'Приложение 10'!Q239</f>
        <v>340</v>
      </c>
      <c r="H129" s="299">
        <f>'Приложение 10'!R239</f>
        <v>340</v>
      </c>
    </row>
    <row r="130" spans="1:8" ht="47.25">
      <c r="A130" s="5" t="s">
        <v>675</v>
      </c>
      <c r="B130" s="297" t="s">
        <v>486</v>
      </c>
      <c r="C130" s="298"/>
      <c r="D130" s="298"/>
      <c r="E130" s="297"/>
      <c r="F130" s="299">
        <f>F131</f>
        <v>1621.1</v>
      </c>
      <c r="G130" s="299">
        <f>G131</f>
        <v>2424</v>
      </c>
      <c r="H130" s="299">
        <f>H131</f>
        <v>2424</v>
      </c>
    </row>
    <row r="131" spans="1:8" ht="15.75">
      <c r="A131" s="296" t="s">
        <v>722</v>
      </c>
      <c r="B131" s="297" t="s">
        <v>486</v>
      </c>
      <c r="C131" s="298" t="s">
        <v>730</v>
      </c>
      <c r="D131" s="298" t="s">
        <v>484</v>
      </c>
      <c r="E131" s="297">
        <v>610</v>
      </c>
      <c r="F131" s="299">
        <f>'Приложение 9'!Q256</f>
        <v>1621.1</v>
      </c>
      <c r="G131" s="299">
        <f>'Приложение 10'!Q241</f>
        <v>2424</v>
      </c>
      <c r="H131" s="299">
        <f>'Приложение 10'!R241</f>
        <v>2424</v>
      </c>
    </row>
    <row r="132" spans="1:8" ht="63">
      <c r="A132" s="5" t="s">
        <v>676</v>
      </c>
      <c r="B132" s="297" t="s">
        <v>487</v>
      </c>
      <c r="C132" s="298"/>
      <c r="D132" s="298"/>
      <c r="E132" s="297"/>
      <c r="F132" s="299">
        <f aca="true" t="shared" si="3" ref="F132:H133">F133</f>
        <v>9107.6</v>
      </c>
      <c r="G132" s="299">
        <f>G133+G135</f>
        <v>14000.900000000001</v>
      </c>
      <c r="H132" s="299">
        <f>H133+H135</f>
        <v>12451</v>
      </c>
    </row>
    <row r="133" spans="1:8" ht="15.75">
      <c r="A133" s="5" t="s">
        <v>262</v>
      </c>
      <c r="B133" s="297" t="s">
        <v>488</v>
      </c>
      <c r="C133" s="298"/>
      <c r="D133" s="298"/>
      <c r="E133" s="297"/>
      <c r="F133" s="299">
        <f t="shared" si="3"/>
        <v>9107.6</v>
      </c>
      <c r="G133" s="299">
        <f t="shared" si="3"/>
        <v>10383.2</v>
      </c>
      <c r="H133" s="299">
        <f t="shared" si="3"/>
        <v>7824.2</v>
      </c>
    </row>
    <row r="134" spans="1:8" ht="15.75">
      <c r="A134" s="296" t="s">
        <v>722</v>
      </c>
      <c r="B134" s="297" t="s">
        <v>488</v>
      </c>
      <c r="C134" s="298" t="s">
        <v>730</v>
      </c>
      <c r="D134" s="298" t="s">
        <v>484</v>
      </c>
      <c r="E134" s="297">
        <v>610</v>
      </c>
      <c r="F134" s="299">
        <f>'Приложение 9'!Q259</f>
        <v>9107.6</v>
      </c>
      <c r="G134" s="299">
        <f>'Приложение 10'!Q244</f>
        <v>10383.2</v>
      </c>
      <c r="H134" s="299">
        <f>'Приложение 10'!R244</f>
        <v>7824.2</v>
      </c>
    </row>
    <row r="135" spans="1:8" ht="78.75">
      <c r="A135" s="5" t="s">
        <v>61</v>
      </c>
      <c r="B135" s="297" t="s">
        <v>66</v>
      </c>
      <c r="C135" s="298"/>
      <c r="D135" s="298"/>
      <c r="E135" s="297"/>
      <c r="F135" s="299"/>
      <c r="G135" s="299">
        <f>G136</f>
        <v>3617.7</v>
      </c>
      <c r="H135" s="299">
        <f>H136</f>
        <v>4626.8</v>
      </c>
    </row>
    <row r="136" spans="1:8" ht="15.75">
      <c r="A136" s="5" t="s">
        <v>722</v>
      </c>
      <c r="B136" s="297" t="s">
        <v>66</v>
      </c>
      <c r="C136" s="298" t="s">
        <v>730</v>
      </c>
      <c r="D136" s="298" t="s">
        <v>484</v>
      </c>
      <c r="E136" s="297">
        <v>610</v>
      </c>
      <c r="F136" s="299"/>
      <c r="G136" s="299">
        <f>'Приложение 10'!Q246</f>
        <v>3617.7</v>
      </c>
      <c r="H136" s="299">
        <f>'Приложение 10'!R246</f>
        <v>4626.8</v>
      </c>
    </row>
    <row r="137" spans="1:8" ht="78.75">
      <c r="A137" s="29" t="s">
        <v>667</v>
      </c>
      <c r="B137" s="297" t="s">
        <v>492</v>
      </c>
      <c r="C137" s="298"/>
      <c r="D137" s="298"/>
      <c r="E137" s="297"/>
      <c r="F137" s="299">
        <f aca="true" t="shared" si="4" ref="F137:H138">F138</f>
        <v>5758.1</v>
      </c>
      <c r="G137" s="299">
        <f>G138+G140</f>
        <v>8000</v>
      </c>
      <c r="H137" s="299">
        <f>H138+H140</f>
        <v>8000</v>
      </c>
    </row>
    <row r="138" spans="1:8" ht="31.5">
      <c r="A138" s="29" t="s">
        <v>335</v>
      </c>
      <c r="B138" s="297" t="s">
        <v>493</v>
      </c>
      <c r="C138" s="298"/>
      <c r="D138" s="298"/>
      <c r="E138" s="297"/>
      <c r="F138" s="299">
        <f t="shared" si="4"/>
        <v>5758.1</v>
      </c>
      <c r="G138" s="299">
        <f t="shared" si="4"/>
        <v>6506.6</v>
      </c>
      <c r="H138" s="299">
        <f t="shared" si="4"/>
        <v>6179.4</v>
      </c>
    </row>
    <row r="139" spans="1:8" ht="15.75">
      <c r="A139" s="296" t="s">
        <v>722</v>
      </c>
      <c r="B139" s="297" t="s">
        <v>493</v>
      </c>
      <c r="C139" s="298" t="s">
        <v>730</v>
      </c>
      <c r="D139" s="298" t="s">
        <v>399</v>
      </c>
      <c r="E139" s="297">
        <v>610</v>
      </c>
      <c r="F139" s="299">
        <f>'Приложение 9'!Q227</f>
        <v>5758.1</v>
      </c>
      <c r="G139" s="299">
        <f>'Приложение 10'!Q214</f>
        <v>6506.6</v>
      </c>
      <c r="H139" s="299">
        <f>'Приложение 10'!R214</f>
        <v>6179.4</v>
      </c>
    </row>
    <row r="140" spans="1:8" ht="78.75">
      <c r="A140" s="257" t="s">
        <v>61</v>
      </c>
      <c r="B140" s="297" t="s">
        <v>64</v>
      </c>
      <c r="C140" s="298"/>
      <c r="D140" s="298"/>
      <c r="E140" s="297"/>
      <c r="F140" s="299"/>
      <c r="G140" s="299">
        <f>G141</f>
        <v>1493.4</v>
      </c>
      <c r="H140" s="299">
        <f>H141</f>
        <v>1820.6</v>
      </c>
    </row>
    <row r="141" spans="1:8" ht="15.75">
      <c r="A141" s="257" t="s">
        <v>722</v>
      </c>
      <c r="B141" s="297" t="s">
        <v>64</v>
      </c>
      <c r="C141" s="298" t="s">
        <v>730</v>
      </c>
      <c r="D141" s="298" t="s">
        <v>399</v>
      </c>
      <c r="E141" s="297">
        <v>610</v>
      </c>
      <c r="F141" s="299"/>
      <c r="G141" s="299">
        <f>'Приложение 10'!Q216</f>
        <v>1493.4</v>
      </c>
      <c r="H141" s="299">
        <f>'Приложение 10'!R216</f>
        <v>1820.6</v>
      </c>
    </row>
    <row r="142" spans="1:8" s="282" customFormat="1" ht="47.25">
      <c r="A142" s="287" t="s">
        <v>669</v>
      </c>
      <c r="B142" s="273" t="s">
        <v>452</v>
      </c>
      <c r="C142" s="274"/>
      <c r="D142" s="274"/>
      <c r="E142" s="273"/>
      <c r="F142" s="277" t="e">
        <f>F143+F146+F149+F152</f>
        <v>#REF!</v>
      </c>
      <c r="G142" s="277">
        <f>G143+G146+G149+G152</f>
        <v>720.5</v>
      </c>
      <c r="H142" s="277">
        <f>H143+H146+H149+H152</f>
        <v>719.9</v>
      </c>
    </row>
    <row r="143" spans="1:8" ht="78.75">
      <c r="A143" s="296" t="s">
        <v>671</v>
      </c>
      <c r="B143" s="297" t="s">
        <v>453</v>
      </c>
      <c r="C143" s="298"/>
      <c r="D143" s="298"/>
      <c r="E143" s="297"/>
      <c r="F143" s="299" t="e">
        <f>F144+#REF!</f>
        <v>#REF!</v>
      </c>
      <c r="G143" s="299">
        <f>G144</f>
        <v>200</v>
      </c>
      <c r="H143" s="299">
        <f>H144</f>
        <v>200</v>
      </c>
    </row>
    <row r="144" spans="1:8" ht="15.75">
      <c r="A144" s="296" t="s">
        <v>262</v>
      </c>
      <c r="B144" s="297" t="s">
        <v>454</v>
      </c>
      <c r="C144" s="298"/>
      <c r="D144" s="298"/>
      <c r="E144" s="297"/>
      <c r="F144" s="299">
        <f>F145</f>
        <v>22.700000000000003</v>
      </c>
      <c r="G144" s="299">
        <f>G145</f>
        <v>200</v>
      </c>
      <c r="H144" s="299">
        <f>H145</f>
        <v>200</v>
      </c>
    </row>
    <row r="145" spans="1:8" ht="15.75">
      <c r="A145" s="296" t="s">
        <v>722</v>
      </c>
      <c r="B145" s="297" t="s">
        <v>454</v>
      </c>
      <c r="C145" s="298" t="s">
        <v>730</v>
      </c>
      <c r="D145" s="298" t="s">
        <v>455</v>
      </c>
      <c r="E145" s="297">
        <v>610</v>
      </c>
      <c r="F145" s="299">
        <f>'Приложение 9'!Q234</f>
        <v>22.700000000000003</v>
      </c>
      <c r="G145" s="299">
        <f>'Приложение 10'!Q221</f>
        <v>200</v>
      </c>
      <c r="H145" s="299">
        <f>'Приложение 10'!R221</f>
        <v>200</v>
      </c>
    </row>
    <row r="146" spans="1:8" ht="94.5">
      <c r="A146" s="296" t="s">
        <v>672</v>
      </c>
      <c r="B146" s="297" t="s">
        <v>457</v>
      </c>
      <c r="C146" s="298"/>
      <c r="D146" s="298"/>
      <c r="E146" s="297"/>
      <c r="F146" s="299">
        <f aca="true" t="shared" si="5" ref="F146:H147">F147</f>
        <v>12.5</v>
      </c>
      <c r="G146" s="299">
        <f t="shared" si="5"/>
        <v>200</v>
      </c>
      <c r="H146" s="299">
        <f t="shared" si="5"/>
        <v>200</v>
      </c>
    </row>
    <row r="147" spans="1:8" ht="15.75">
      <c r="A147" s="296" t="s">
        <v>262</v>
      </c>
      <c r="B147" s="297" t="s">
        <v>458</v>
      </c>
      <c r="C147" s="298"/>
      <c r="D147" s="298"/>
      <c r="E147" s="297"/>
      <c r="F147" s="299">
        <f t="shared" si="5"/>
        <v>12.5</v>
      </c>
      <c r="G147" s="299">
        <f t="shared" si="5"/>
        <v>200</v>
      </c>
      <c r="H147" s="299">
        <f t="shared" si="5"/>
        <v>200</v>
      </c>
    </row>
    <row r="148" spans="1:8" ht="15.75">
      <c r="A148" s="296" t="s">
        <v>722</v>
      </c>
      <c r="B148" s="297" t="s">
        <v>458</v>
      </c>
      <c r="C148" s="298" t="s">
        <v>730</v>
      </c>
      <c r="D148" s="298" t="s">
        <v>455</v>
      </c>
      <c r="E148" s="297">
        <v>610</v>
      </c>
      <c r="F148" s="299">
        <f>'Приложение 9'!Q241</f>
        <v>12.5</v>
      </c>
      <c r="G148" s="299">
        <f>'Приложение 10'!Q226</f>
        <v>200</v>
      </c>
      <c r="H148" s="299">
        <f>'Приложение 10'!R226</f>
        <v>200</v>
      </c>
    </row>
    <row r="149" spans="1:8" ht="63">
      <c r="A149" s="296" t="s">
        <v>673</v>
      </c>
      <c r="B149" s="297" t="s">
        <v>459</v>
      </c>
      <c r="C149" s="298"/>
      <c r="D149" s="298"/>
      <c r="E149" s="297"/>
      <c r="F149" s="299">
        <f aca="true" t="shared" si="6" ref="F149:H150">F150</f>
        <v>9.5</v>
      </c>
      <c r="G149" s="299">
        <f t="shared" si="6"/>
        <v>150</v>
      </c>
      <c r="H149" s="299">
        <f t="shared" si="6"/>
        <v>150</v>
      </c>
    </row>
    <row r="150" spans="1:8" ht="15.75">
      <c r="A150" s="296" t="s">
        <v>262</v>
      </c>
      <c r="B150" s="297" t="s">
        <v>460</v>
      </c>
      <c r="C150" s="298"/>
      <c r="D150" s="298"/>
      <c r="E150" s="297"/>
      <c r="F150" s="299">
        <f t="shared" si="6"/>
        <v>9.5</v>
      </c>
      <c r="G150" s="299">
        <f t="shared" si="6"/>
        <v>150</v>
      </c>
      <c r="H150" s="299">
        <f t="shared" si="6"/>
        <v>150</v>
      </c>
    </row>
    <row r="151" spans="1:8" ht="15.75">
      <c r="A151" s="296" t="s">
        <v>722</v>
      </c>
      <c r="B151" s="297" t="s">
        <v>460</v>
      </c>
      <c r="C151" s="298" t="s">
        <v>730</v>
      </c>
      <c r="D151" s="298" t="s">
        <v>455</v>
      </c>
      <c r="E151" s="297">
        <v>610</v>
      </c>
      <c r="F151" s="299">
        <f>'Приложение 9'!Q244</f>
        <v>9.5</v>
      </c>
      <c r="G151" s="299">
        <f>'Приложение 10'!Q229</f>
        <v>150</v>
      </c>
      <c r="H151" s="299">
        <f>'Приложение 10'!R229</f>
        <v>150</v>
      </c>
    </row>
    <row r="152" spans="1:8" ht="31.5">
      <c r="A152" s="296" t="s">
        <v>678</v>
      </c>
      <c r="B152" s="297" t="s">
        <v>461</v>
      </c>
      <c r="C152" s="298"/>
      <c r="D152" s="298"/>
      <c r="E152" s="297"/>
      <c r="F152" s="299">
        <f aca="true" t="shared" si="7" ref="F152:H153">F153</f>
        <v>1021.8</v>
      </c>
      <c r="G152" s="299">
        <f t="shared" si="7"/>
        <v>170.5</v>
      </c>
      <c r="H152" s="299">
        <f t="shared" si="7"/>
        <v>169.9</v>
      </c>
    </row>
    <row r="153" spans="1:8" ht="31.5">
      <c r="A153" s="296" t="s">
        <v>679</v>
      </c>
      <c r="B153" s="297" t="s">
        <v>462</v>
      </c>
      <c r="C153" s="298"/>
      <c r="D153" s="298"/>
      <c r="E153" s="297"/>
      <c r="F153" s="299">
        <f t="shared" si="7"/>
        <v>1021.8</v>
      </c>
      <c r="G153" s="299">
        <f t="shared" si="7"/>
        <v>170.5</v>
      </c>
      <c r="H153" s="299">
        <f t="shared" si="7"/>
        <v>169.9</v>
      </c>
    </row>
    <row r="154" spans="1:8" ht="47.25">
      <c r="A154" s="296" t="s">
        <v>725</v>
      </c>
      <c r="B154" s="297" t="s">
        <v>462</v>
      </c>
      <c r="C154" s="298" t="s">
        <v>730</v>
      </c>
      <c r="D154" s="298" t="s">
        <v>392</v>
      </c>
      <c r="E154" s="297">
        <v>320</v>
      </c>
      <c r="F154" s="299">
        <f>'Приложение 9'!Q284</f>
        <v>1021.8</v>
      </c>
      <c r="G154" s="299">
        <f>'Приложение 10'!Q266</f>
        <v>170.5</v>
      </c>
      <c r="H154" s="299">
        <f>'Приложение 10'!R266</f>
        <v>169.9</v>
      </c>
    </row>
    <row r="155" spans="1:8" s="282" customFormat="1" ht="78.75">
      <c r="A155" s="287" t="s">
        <v>800</v>
      </c>
      <c r="B155" s="273" t="s">
        <v>802</v>
      </c>
      <c r="C155" s="274"/>
      <c r="D155" s="274"/>
      <c r="E155" s="273"/>
      <c r="F155" s="277">
        <f>F157</f>
        <v>313.1</v>
      </c>
      <c r="G155" s="277">
        <f aca="true" t="shared" si="8" ref="G155:H157">G156</f>
        <v>284.3</v>
      </c>
      <c r="H155" s="277">
        <f t="shared" si="8"/>
        <v>225.7</v>
      </c>
    </row>
    <row r="156" spans="1:8" ht="78.75">
      <c r="A156" s="296" t="s">
        <v>122</v>
      </c>
      <c r="B156" s="297" t="s">
        <v>123</v>
      </c>
      <c r="C156" s="298"/>
      <c r="D156" s="298"/>
      <c r="E156" s="297"/>
      <c r="F156" s="299"/>
      <c r="G156" s="299">
        <f t="shared" si="8"/>
        <v>284.3</v>
      </c>
      <c r="H156" s="299">
        <f t="shared" si="8"/>
        <v>225.7</v>
      </c>
    </row>
    <row r="157" spans="1:8" ht="31.5">
      <c r="A157" s="296" t="s">
        <v>799</v>
      </c>
      <c r="B157" s="297" t="s">
        <v>463</v>
      </c>
      <c r="C157" s="298"/>
      <c r="D157" s="298"/>
      <c r="E157" s="297"/>
      <c r="F157" s="299">
        <f>F158</f>
        <v>313.1</v>
      </c>
      <c r="G157" s="299">
        <f t="shared" si="8"/>
        <v>284.3</v>
      </c>
      <c r="H157" s="299">
        <f t="shared" si="8"/>
        <v>225.7</v>
      </c>
    </row>
    <row r="158" spans="1:8" ht="47.25">
      <c r="A158" s="296" t="s">
        <v>720</v>
      </c>
      <c r="B158" s="297" t="s">
        <v>463</v>
      </c>
      <c r="C158" s="298" t="s">
        <v>730</v>
      </c>
      <c r="D158" s="298" t="s">
        <v>464</v>
      </c>
      <c r="E158" s="297">
        <v>240</v>
      </c>
      <c r="F158" s="299">
        <f>'Приложение 9'!Q201</f>
        <v>313.1</v>
      </c>
      <c r="G158" s="299">
        <f>'Приложение 10'!Q189</f>
        <v>284.3</v>
      </c>
      <c r="H158" s="299">
        <f>'Приложение 10'!R189</f>
        <v>225.7</v>
      </c>
    </row>
    <row r="159" spans="1:8" s="282" customFormat="1" ht="94.5">
      <c r="A159" s="287" t="s">
        <v>387</v>
      </c>
      <c r="B159" s="273" t="s">
        <v>465</v>
      </c>
      <c r="C159" s="274"/>
      <c r="D159" s="274"/>
      <c r="E159" s="273"/>
      <c r="F159" s="277">
        <f>F160+F163+F166+F169</f>
        <v>0</v>
      </c>
      <c r="G159" s="277">
        <v>0</v>
      </c>
      <c r="H159" s="277">
        <f>H160+H163+H166+H169</f>
        <v>13445.7</v>
      </c>
    </row>
    <row r="160" spans="1:8" ht="31.5">
      <c r="A160" s="296" t="s">
        <v>661</v>
      </c>
      <c r="B160" s="297" t="s">
        <v>466</v>
      </c>
      <c r="C160" s="298"/>
      <c r="D160" s="298"/>
      <c r="E160" s="297"/>
      <c r="F160" s="299">
        <f>F161</f>
        <v>0</v>
      </c>
      <c r="G160" s="299">
        <v>0</v>
      </c>
      <c r="H160" s="299">
        <f>H161</f>
        <v>1428</v>
      </c>
    </row>
    <row r="161" spans="1:8" ht="47.25">
      <c r="A161" s="296" t="s">
        <v>740</v>
      </c>
      <c r="B161" s="297" t="s">
        <v>467</v>
      </c>
      <c r="C161" s="298"/>
      <c r="D161" s="298"/>
      <c r="E161" s="297"/>
      <c r="F161" s="299">
        <f>F162</f>
        <v>0</v>
      </c>
      <c r="G161" s="299">
        <v>0</v>
      </c>
      <c r="H161" s="299">
        <f>H162</f>
        <v>1428</v>
      </c>
    </row>
    <row r="162" spans="1:8" ht="47.25">
      <c r="A162" s="296" t="s">
        <v>720</v>
      </c>
      <c r="B162" s="297" t="s">
        <v>467</v>
      </c>
      <c r="C162" s="298" t="s">
        <v>730</v>
      </c>
      <c r="D162" s="298" t="s">
        <v>393</v>
      </c>
      <c r="E162" s="297">
        <v>240</v>
      </c>
      <c r="F162" s="299"/>
      <c r="G162" s="299">
        <v>0</v>
      </c>
      <c r="H162" s="299">
        <f>'Приложение 10'!R114</f>
        <v>1428</v>
      </c>
    </row>
    <row r="163" spans="1:8" ht="29.25" customHeight="1">
      <c r="A163" s="296" t="s">
        <v>256</v>
      </c>
      <c r="B163" s="297" t="s">
        <v>468</v>
      </c>
      <c r="C163" s="298"/>
      <c r="D163" s="298"/>
      <c r="E163" s="297"/>
      <c r="F163" s="299">
        <f>F164</f>
        <v>0</v>
      </c>
      <c r="G163" s="299">
        <v>0</v>
      </c>
      <c r="H163" s="299">
        <f>H164</f>
        <v>10916</v>
      </c>
    </row>
    <row r="164" spans="1:8" ht="31.5">
      <c r="A164" s="296" t="s">
        <v>762</v>
      </c>
      <c r="B164" s="297" t="s">
        <v>469</v>
      </c>
      <c r="C164" s="298"/>
      <c r="D164" s="298"/>
      <c r="E164" s="297"/>
      <c r="F164" s="299">
        <f>F165</f>
        <v>0</v>
      </c>
      <c r="G164" s="299">
        <v>0</v>
      </c>
      <c r="H164" s="299">
        <f>H165</f>
        <v>10916</v>
      </c>
    </row>
    <row r="165" spans="1:8" ht="47.25">
      <c r="A165" s="296" t="s">
        <v>720</v>
      </c>
      <c r="B165" s="297" t="s">
        <v>469</v>
      </c>
      <c r="C165" s="298" t="s">
        <v>730</v>
      </c>
      <c r="D165" s="298" t="s">
        <v>393</v>
      </c>
      <c r="E165" s="297">
        <v>240</v>
      </c>
      <c r="F165" s="299"/>
      <c r="G165" s="299">
        <v>0</v>
      </c>
      <c r="H165" s="299">
        <f>'Приложение 10'!R121</f>
        <v>10916</v>
      </c>
    </row>
    <row r="166" spans="1:8" ht="47.25">
      <c r="A166" s="296" t="s">
        <v>776</v>
      </c>
      <c r="B166" s="297" t="s">
        <v>470</v>
      </c>
      <c r="C166" s="298"/>
      <c r="D166" s="298"/>
      <c r="E166" s="297"/>
      <c r="F166" s="299">
        <f>F167</f>
        <v>0</v>
      </c>
      <c r="G166" s="299">
        <v>0</v>
      </c>
      <c r="H166" s="299">
        <f>H167</f>
        <v>200</v>
      </c>
    </row>
    <row r="167" spans="1:8" ht="31.5">
      <c r="A167" s="296" t="s">
        <v>762</v>
      </c>
      <c r="B167" s="297" t="s">
        <v>471</v>
      </c>
      <c r="C167" s="298"/>
      <c r="D167" s="298"/>
      <c r="E167" s="297"/>
      <c r="F167" s="299">
        <f>F168</f>
        <v>0</v>
      </c>
      <c r="G167" s="299">
        <v>0</v>
      </c>
      <c r="H167" s="299">
        <f>H168</f>
        <v>200</v>
      </c>
    </row>
    <row r="168" spans="1:8" ht="47.25">
      <c r="A168" s="296" t="s">
        <v>720</v>
      </c>
      <c r="B168" s="297" t="s">
        <v>471</v>
      </c>
      <c r="C168" s="298" t="s">
        <v>394</v>
      </c>
      <c r="D168" s="298" t="s">
        <v>393</v>
      </c>
      <c r="E168" s="297">
        <v>240</v>
      </c>
      <c r="F168" s="299"/>
      <c r="G168" s="299">
        <v>0</v>
      </c>
      <c r="H168" s="299">
        <f>'Приложение 10'!R576</f>
        <v>200</v>
      </c>
    </row>
    <row r="169" spans="1:8" ht="63">
      <c r="A169" s="296" t="s">
        <v>163</v>
      </c>
      <c r="B169" s="297" t="s">
        <v>472</v>
      </c>
      <c r="C169" s="298"/>
      <c r="D169" s="298"/>
      <c r="E169" s="297"/>
      <c r="F169" s="299">
        <f>F170</f>
        <v>0</v>
      </c>
      <c r="G169" s="299">
        <v>0</v>
      </c>
      <c r="H169" s="299">
        <f>H170</f>
        <v>901.7</v>
      </c>
    </row>
    <row r="170" spans="1:8" ht="94.5">
      <c r="A170" s="296" t="s">
        <v>274</v>
      </c>
      <c r="B170" s="297" t="s">
        <v>473</v>
      </c>
      <c r="C170" s="298"/>
      <c r="D170" s="298"/>
      <c r="E170" s="297"/>
      <c r="F170" s="299">
        <f>F171</f>
        <v>0</v>
      </c>
      <c r="G170" s="299">
        <v>0</v>
      </c>
      <c r="H170" s="299">
        <f>H171</f>
        <v>901.7</v>
      </c>
    </row>
    <row r="171" spans="1:8" ht="53.25" customHeight="1">
      <c r="A171" s="296" t="s">
        <v>720</v>
      </c>
      <c r="B171" s="297" t="s">
        <v>473</v>
      </c>
      <c r="C171" s="298" t="s">
        <v>730</v>
      </c>
      <c r="D171" s="298" t="s">
        <v>393</v>
      </c>
      <c r="E171" s="297">
        <v>240</v>
      </c>
      <c r="F171" s="299"/>
      <c r="G171" s="299">
        <v>0</v>
      </c>
      <c r="H171" s="299">
        <f>'Приложение 10'!R124</f>
        <v>901.7</v>
      </c>
    </row>
    <row r="172" spans="1:8" ht="80.25" customHeight="1">
      <c r="A172" s="287" t="s">
        <v>140</v>
      </c>
      <c r="B172" s="273" t="s">
        <v>149</v>
      </c>
      <c r="C172" s="274"/>
      <c r="D172" s="274"/>
      <c r="E172" s="273"/>
      <c r="F172" s="277" t="e">
        <f>F173+F176+F179+F183+F189</f>
        <v>#REF!</v>
      </c>
      <c r="G172" s="277">
        <f>G173+G176+G179+G183+G189</f>
        <v>9665.3</v>
      </c>
      <c r="H172" s="277">
        <f>H173+H176+H179+H183+H189</f>
        <v>10665.3</v>
      </c>
    </row>
    <row r="173" spans="1:8" ht="53.25" customHeight="1">
      <c r="A173" s="11" t="s">
        <v>142</v>
      </c>
      <c r="B173" s="297" t="s">
        <v>150</v>
      </c>
      <c r="C173" s="275"/>
      <c r="D173" s="275"/>
      <c r="E173" s="270"/>
      <c r="F173" s="276">
        <f aca="true" t="shared" si="9" ref="F173:H174">F174</f>
        <v>0</v>
      </c>
      <c r="G173" s="299">
        <f t="shared" si="9"/>
        <v>470</v>
      </c>
      <c r="H173" s="299">
        <f t="shared" si="9"/>
        <v>470</v>
      </c>
    </row>
    <row r="174" spans="1:8" ht="36" customHeight="1">
      <c r="A174" s="11" t="s">
        <v>369</v>
      </c>
      <c r="B174" s="297" t="s">
        <v>151</v>
      </c>
      <c r="C174" s="275"/>
      <c r="D174" s="275"/>
      <c r="E174" s="270"/>
      <c r="F174" s="276">
        <f t="shared" si="9"/>
        <v>0</v>
      </c>
      <c r="G174" s="299">
        <f t="shared" si="9"/>
        <v>470</v>
      </c>
      <c r="H174" s="299">
        <f t="shared" si="9"/>
        <v>470</v>
      </c>
    </row>
    <row r="175" spans="1:8" ht="53.25" customHeight="1">
      <c r="A175" s="11" t="s">
        <v>720</v>
      </c>
      <c r="B175" s="297" t="s">
        <v>151</v>
      </c>
      <c r="C175" s="298" t="s">
        <v>394</v>
      </c>
      <c r="D175" s="298" t="s">
        <v>390</v>
      </c>
      <c r="E175" s="270">
        <v>240</v>
      </c>
      <c r="F175" s="276">
        <f>'Приложение 9'!Q465</f>
        <v>0</v>
      </c>
      <c r="G175" s="299">
        <f>'Приложение 10'!Q550</f>
        <v>470</v>
      </c>
      <c r="H175" s="299">
        <f>'Приложение 10'!R550</f>
        <v>470</v>
      </c>
    </row>
    <row r="176" spans="1:8" ht="53.25" customHeight="1">
      <c r="A176" s="11" t="s">
        <v>143</v>
      </c>
      <c r="B176" s="297" t="s">
        <v>152</v>
      </c>
      <c r="C176" s="275"/>
      <c r="D176" s="275"/>
      <c r="E176" s="270"/>
      <c r="F176" s="276">
        <f aca="true" t="shared" si="10" ref="F176:H177">F177</f>
        <v>180021.69999999998</v>
      </c>
      <c r="G176" s="299">
        <f t="shared" si="10"/>
        <v>100</v>
      </c>
      <c r="H176" s="299">
        <f t="shared" si="10"/>
        <v>100</v>
      </c>
    </row>
    <row r="177" spans="1:8" ht="53.25" customHeight="1">
      <c r="A177" s="11" t="s">
        <v>144</v>
      </c>
      <c r="B177" s="297" t="s">
        <v>153</v>
      </c>
      <c r="C177" s="275"/>
      <c r="D177" s="275"/>
      <c r="E177" s="270"/>
      <c r="F177" s="276">
        <f t="shared" si="10"/>
        <v>180021.69999999998</v>
      </c>
      <c r="G177" s="299">
        <f t="shared" si="10"/>
        <v>100</v>
      </c>
      <c r="H177" s="299">
        <f t="shared" si="10"/>
        <v>100</v>
      </c>
    </row>
    <row r="178" spans="1:8" ht="53.25" customHeight="1">
      <c r="A178" s="11" t="s">
        <v>720</v>
      </c>
      <c r="B178" s="297" t="s">
        <v>153</v>
      </c>
      <c r="C178" s="298" t="s">
        <v>394</v>
      </c>
      <c r="D178" s="298" t="s">
        <v>390</v>
      </c>
      <c r="E178" s="270">
        <v>240</v>
      </c>
      <c r="F178" s="276">
        <f>'Приложение 9'!Q468</f>
        <v>180021.69999999998</v>
      </c>
      <c r="G178" s="299">
        <f>'Приложение 10'!Q553</f>
        <v>100</v>
      </c>
      <c r="H178" s="299">
        <f>'Приложение 10'!R553</f>
        <v>100</v>
      </c>
    </row>
    <row r="179" spans="1:8" ht="53.25" customHeight="1">
      <c r="A179" s="11" t="s">
        <v>145</v>
      </c>
      <c r="B179" s="297" t="s">
        <v>154</v>
      </c>
      <c r="C179" s="275"/>
      <c r="D179" s="275"/>
      <c r="E179" s="270"/>
      <c r="F179" s="276">
        <f>F180</f>
        <v>345</v>
      </c>
      <c r="G179" s="299">
        <f>G180</f>
        <v>185.6</v>
      </c>
      <c r="H179" s="299">
        <f>H180</f>
        <v>185.6</v>
      </c>
    </row>
    <row r="180" spans="1:8" ht="53.25" customHeight="1">
      <c r="A180" s="11" t="s">
        <v>280</v>
      </c>
      <c r="B180" s="297" t="s">
        <v>155</v>
      </c>
      <c r="C180" s="275"/>
      <c r="D180" s="275"/>
      <c r="E180" s="270"/>
      <c r="F180" s="276">
        <f>F181+F182</f>
        <v>345</v>
      </c>
      <c r="G180" s="299">
        <f>G181+G182</f>
        <v>185.6</v>
      </c>
      <c r="H180" s="299">
        <f>H181+H182</f>
        <v>185.6</v>
      </c>
    </row>
    <row r="181" spans="1:8" ht="53.25" customHeight="1">
      <c r="A181" s="11" t="s">
        <v>720</v>
      </c>
      <c r="B181" s="297" t="s">
        <v>155</v>
      </c>
      <c r="C181" s="298" t="s">
        <v>394</v>
      </c>
      <c r="D181" s="298" t="s">
        <v>390</v>
      </c>
      <c r="E181" s="270">
        <v>240</v>
      </c>
      <c r="F181" s="276">
        <f>'Приложение 9'!Q471</f>
        <v>172.5</v>
      </c>
      <c r="G181" s="299">
        <f>'Приложение 10'!Q556</f>
        <v>150</v>
      </c>
      <c r="H181" s="299">
        <f>'Приложение 10'!R556</f>
        <v>150</v>
      </c>
    </row>
    <row r="182" spans="1:8" ht="24" customHeight="1">
      <c r="A182" s="5" t="s">
        <v>721</v>
      </c>
      <c r="B182" s="297" t="s">
        <v>155</v>
      </c>
      <c r="C182" s="298" t="s">
        <v>394</v>
      </c>
      <c r="D182" s="298" t="s">
        <v>390</v>
      </c>
      <c r="E182" s="270">
        <v>850</v>
      </c>
      <c r="F182" s="276">
        <f>'Приложение 9'!Q472</f>
        <v>172.5</v>
      </c>
      <c r="G182" s="299">
        <f>'Приложение 10'!Q557</f>
        <v>35.6</v>
      </c>
      <c r="H182" s="299">
        <f>'Приложение 10'!R557</f>
        <v>35.6</v>
      </c>
    </row>
    <row r="183" spans="1:8" ht="53.25" customHeight="1">
      <c r="A183" s="11" t="s">
        <v>146</v>
      </c>
      <c r="B183" s="297" t="s">
        <v>156</v>
      </c>
      <c r="C183" s="275"/>
      <c r="D183" s="275"/>
      <c r="E183" s="270"/>
      <c r="F183" s="276" t="e">
        <f>F184+#REF!+#REF!+#REF!</f>
        <v>#REF!</v>
      </c>
      <c r="G183" s="299">
        <f>G184</f>
        <v>3921.2</v>
      </c>
      <c r="H183" s="299">
        <f>H184</f>
        <v>4921.2</v>
      </c>
    </row>
    <row r="184" spans="1:8" ht="41.25" customHeight="1">
      <c r="A184" s="11" t="s">
        <v>342</v>
      </c>
      <c r="B184" s="297" t="s">
        <v>157</v>
      </c>
      <c r="C184" s="275"/>
      <c r="D184" s="275"/>
      <c r="E184" s="270"/>
      <c r="F184" s="276">
        <f>F185+F186+F187+F188</f>
        <v>52993.9</v>
      </c>
      <c r="G184" s="299">
        <f>G185+G186+G187+G188</f>
        <v>3921.2</v>
      </c>
      <c r="H184" s="299">
        <f>H185+H186+H187+H188</f>
        <v>4921.2</v>
      </c>
    </row>
    <row r="185" spans="1:8" ht="46.5" customHeight="1">
      <c r="A185" s="11" t="s">
        <v>533</v>
      </c>
      <c r="B185" s="297" t="s">
        <v>157</v>
      </c>
      <c r="C185" s="298" t="s">
        <v>394</v>
      </c>
      <c r="D185" s="298" t="s">
        <v>390</v>
      </c>
      <c r="E185" s="270">
        <v>120</v>
      </c>
      <c r="F185" s="276">
        <f>'Приложение 9'!Q475</f>
        <v>0</v>
      </c>
      <c r="G185" s="299">
        <f>'Приложение 10'!Q560</f>
        <v>3383.1</v>
      </c>
      <c r="H185" s="299">
        <f>'Приложение 10'!R560</f>
        <v>3383.1</v>
      </c>
    </row>
    <row r="186" spans="1:8" ht="53.25" customHeight="1">
      <c r="A186" s="11" t="s">
        <v>720</v>
      </c>
      <c r="B186" s="297" t="s">
        <v>157</v>
      </c>
      <c r="C186" s="298" t="s">
        <v>394</v>
      </c>
      <c r="D186" s="298" t="s">
        <v>390</v>
      </c>
      <c r="E186" s="270">
        <v>240</v>
      </c>
      <c r="F186" s="276">
        <f>'Приложение 9'!Q476</f>
        <v>32096.1</v>
      </c>
      <c r="G186" s="299">
        <f>'Приложение 10'!Q561</f>
        <v>518.1</v>
      </c>
      <c r="H186" s="299">
        <f>'Приложение 10'!R561</f>
        <v>1518.1</v>
      </c>
    </row>
    <row r="187" spans="1:8" ht="23.25" customHeight="1">
      <c r="A187" s="5" t="s">
        <v>728</v>
      </c>
      <c r="B187" s="297" t="s">
        <v>157</v>
      </c>
      <c r="C187" s="298" t="s">
        <v>394</v>
      </c>
      <c r="D187" s="298" t="s">
        <v>390</v>
      </c>
      <c r="E187" s="270">
        <v>830</v>
      </c>
      <c r="F187" s="276">
        <f>'Приложение 9'!Q479</f>
        <v>10448.9</v>
      </c>
      <c r="G187" s="299">
        <f>'Приложение 10'!Q562</f>
        <v>10</v>
      </c>
      <c r="H187" s="299">
        <f>'Приложение 10'!R562</f>
        <v>10</v>
      </c>
    </row>
    <row r="188" spans="1:8" ht="22.5" customHeight="1">
      <c r="A188" s="5" t="s">
        <v>721</v>
      </c>
      <c r="B188" s="297" t="s">
        <v>157</v>
      </c>
      <c r="C188" s="298" t="s">
        <v>394</v>
      </c>
      <c r="D188" s="298" t="s">
        <v>390</v>
      </c>
      <c r="E188" s="270">
        <v>850</v>
      </c>
      <c r="F188" s="276">
        <f>'Приложение 9'!Q480</f>
        <v>10448.9</v>
      </c>
      <c r="G188" s="299">
        <f>'Приложение 10'!Q563</f>
        <v>10</v>
      </c>
      <c r="H188" s="299">
        <f>'Приложение 10'!R563</f>
        <v>10</v>
      </c>
    </row>
    <row r="189" spans="1:8" ht="53.25" customHeight="1">
      <c r="A189" s="11" t="s">
        <v>139</v>
      </c>
      <c r="B189" s="297" t="s">
        <v>162</v>
      </c>
      <c r="C189" s="298"/>
      <c r="D189" s="298"/>
      <c r="E189" s="270"/>
      <c r="F189" s="276">
        <f>F190</f>
        <v>55</v>
      </c>
      <c r="G189" s="299">
        <f>G190</f>
        <v>4988.5</v>
      </c>
      <c r="H189" s="299">
        <f>H190</f>
        <v>4988.5</v>
      </c>
    </row>
    <row r="190" spans="1:8" ht="53.25" customHeight="1">
      <c r="A190" s="11" t="s">
        <v>298</v>
      </c>
      <c r="B190" s="297" t="s">
        <v>161</v>
      </c>
      <c r="C190" s="298"/>
      <c r="D190" s="298"/>
      <c r="E190" s="270"/>
      <c r="F190" s="276">
        <f>F191+F192</f>
        <v>55</v>
      </c>
      <c r="G190" s="299">
        <f>G191+G192</f>
        <v>4988.5</v>
      </c>
      <c r="H190" s="299">
        <f>H191+H192</f>
        <v>4988.5</v>
      </c>
    </row>
    <row r="191" spans="1:8" ht="53.25" customHeight="1">
      <c r="A191" s="11" t="s">
        <v>720</v>
      </c>
      <c r="B191" s="297" t="s">
        <v>161</v>
      </c>
      <c r="C191" s="298" t="s">
        <v>394</v>
      </c>
      <c r="D191" s="298" t="s">
        <v>390</v>
      </c>
      <c r="E191" s="270">
        <v>240</v>
      </c>
      <c r="F191" s="276">
        <f>'Приложение 9'!Q498</f>
        <v>30</v>
      </c>
      <c r="G191" s="299">
        <f>'Приложение 10'!Q566</f>
        <v>73.7</v>
      </c>
      <c r="H191" s="299">
        <f>'Приложение 10'!R566</f>
        <v>73.7</v>
      </c>
    </row>
    <row r="192" spans="1:8" ht="53.25" customHeight="1">
      <c r="A192" s="11" t="s">
        <v>725</v>
      </c>
      <c r="B192" s="297" t="s">
        <v>161</v>
      </c>
      <c r="C192" s="298" t="s">
        <v>394</v>
      </c>
      <c r="D192" s="298" t="s">
        <v>392</v>
      </c>
      <c r="E192" s="270">
        <v>320</v>
      </c>
      <c r="F192" s="276">
        <f>'Приложение 9'!Q510</f>
        <v>25</v>
      </c>
      <c r="G192" s="299">
        <f>'Приложение 10'!Q582</f>
        <v>4914.8</v>
      </c>
      <c r="H192" s="299">
        <f>'Приложение 10'!R582</f>
        <v>4914.8</v>
      </c>
    </row>
    <row r="193" spans="1:8" s="282" customFormat="1" ht="14.25">
      <c r="A193" s="392" t="s">
        <v>480</v>
      </c>
      <c r="B193" s="393"/>
      <c r="C193" s="393"/>
      <c r="D193" s="393"/>
      <c r="E193" s="394"/>
      <c r="F193" s="289" t="e">
        <f>#REF!+F17+#REF!+#REF!+#REF!+#REF!+#REF!+#REF!+#REF!+F34+F40+F67+F75+F97+F142+F155+F159+F122</f>
        <v>#REF!</v>
      </c>
      <c r="G193" s="289">
        <f>G17+G34+G40+G67+G75+G97+G142+G155+G159+G122+G30+G87+G172</f>
        <v>168747</v>
      </c>
      <c r="H193" s="289">
        <f>H17+H34+H40+H67+H75+H97+H142+H155+H159+H122+H30+H87+H172</f>
        <v>117512.7</v>
      </c>
    </row>
    <row r="194" ht="15">
      <c r="H194" s="339" t="s">
        <v>528</v>
      </c>
    </row>
  </sheetData>
  <sheetProtection/>
  <mergeCells count="18">
    <mergeCell ref="F14:H14"/>
    <mergeCell ref="A11:H11"/>
    <mergeCell ref="A193:E193"/>
    <mergeCell ref="A14:A15"/>
    <mergeCell ref="B14:B15"/>
    <mergeCell ref="C14:C15"/>
    <mergeCell ref="D14:D15"/>
    <mergeCell ref="E14:E15"/>
    <mergeCell ref="A10:H10"/>
    <mergeCell ref="A12:H12"/>
    <mergeCell ref="G13:H13"/>
    <mergeCell ref="B5:I5"/>
    <mergeCell ref="B1:H1"/>
    <mergeCell ref="B2:H2"/>
    <mergeCell ref="B3:H3"/>
    <mergeCell ref="B4:E4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2020-04-27T14:18:46Z</cp:lastPrinted>
  <dcterms:created xsi:type="dcterms:W3CDTF">2012-10-30T08:30:04Z</dcterms:created>
  <dcterms:modified xsi:type="dcterms:W3CDTF">2020-04-30T09:13:02Z</dcterms:modified>
  <cp:category/>
  <cp:version/>
  <cp:contentType/>
  <cp:contentStatus/>
</cp:coreProperties>
</file>