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0" windowWidth="15210" windowHeight="8220" tabRatio="641" activeTab="3"/>
  </bookViews>
  <sheets>
    <sheet name="приложение 6" sheetId="1" r:id="rId1"/>
    <sheet name="Приложение 7" sheetId="2" r:id="rId2"/>
    <sheet name="Приложение 8" sheetId="3" r:id="rId3"/>
    <sheet name="Приложение 9" sheetId="4" r:id="rId4"/>
    <sheet name="Приложение 10" sheetId="5" r:id="rId5"/>
    <sheet name="Приложение 12" sheetId="6" r:id="rId6"/>
    <sheet name="Приложение 13" sheetId="7" state="hidden" r:id="rId7"/>
  </sheets>
  <definedNames>
    <definedName name="_xlnm.Print_Titles" localSheetId="4">'Приложение 10'!$12:$14</definedName>
    <definedName name="_xlnm.Print_Titles" localSheetId="0">'приложение 6'!$15:$17</definedName>
    <definedName name="_xlnm.Print_Titles" localSheetId="3">'Приложение 9'!$12:$13</definedName>
    <definedName name="_xlnm.Print_Area" localSheetId="0">'приложение 6'!$A$1:$F$69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<sst xmlns="http://schemas.openxmlformats.org/spreadsheetml/2006/main" count="11296" uniqueCount="872">
  <si>
    <t xml:space="preserve">                                                                 период 2021 и 2022 годов"</t>
  </si>
  <si>
    <t>2022 год</t>
  </si>
  <si>
    <t xml:space="preserve">бюджете на 2020 год и плановый </t>
  </si>
  <si>
    <t>период 2021 и 2022 годов"</t>
  </si>
  <si>
    <t xml:space="preserve">                                                            классификации расходов на 2020 год и плановый период 2021 и 2022 годов</t>
  </si>
  <si>
    <t>90270</t>
  </si>
  <si>
    <t>S1900</t>
  </si>
  <si>
    <t>S1250</t>
  </si>
  <si>
    <t>Развитие мобильной торговли в малонаселенных и труднодоступных населенных пунктах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</si>
  <si>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</si>
  <si>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2020 год</t>
  </si>
  <si>
    <t xml:space="preserve">                                                             к решению Представительного Собрания района</t>
  </si>
  <si>
    <t>(тыс.рублей)</t>
  </si>
  <si>
    <t xml:space="preserve">                                                                 к решению Представительного Собрания района</t>
  </si>
  <si>
    <t>Основное мероприятие "Обеспечение создания условий для реализации муниципальной программы"</t>
  </si>
  <si>
    <t>06 0 06 00190</t>
  </si>
  <si>
    <t>Итого расходов</t>
  </si>
  <si>
    <t>Условно утверждаемые расходы</t>
  </si>
  <si>
    <t>ИТОГО РАСХОДОВ</t>
  </si>
  <si>
    <t>03 0 03 20210</t>
  </si>
  <si>
    <t>03 0 03 00000</t>
  </si>
  <si>
    <t>Муниципальная программа развития туризма в Белозерском муниципальном районе  «Белозерск – Былинный город» на 2018-2020 годы</t>
  </si>
  <si>
    <t>20 0 00 00000</t>
  </si>
  <si>
    <t>20 0 01 00000</t>
  </si>
  <si>
    <t>20 0 01 20450</t>
  </si>
  <si>
    <t>20 0 02 00000</t>
  </si>
  <si>
    <t>20 0 02 20460</t>
  </si>
  <si>
    <t>Основное мероприятие «Осуществление целевой подготовки кадров»</t>
  </si>
  <si>
    <t>Основное мероприятие «Профессиональное обучение и переподготовка»</t>
  </si>
  <si>
    <t>Муниципальная  программа основных направлений кадровой  политики в Белозерском муниципальном районе на 2018 – 2020 годы</t>
  </si>
  <si>
    <t>Основное мероприятие «Развитие малого и среднего предпринимательства на территории Белозерского муниципального района»</t>
  </si>
  <si>
    <t>Основное мероприятие "Повышение инвестиционной привлекательности Белозерского муниципального района"</t>
  </si>
  <si>
    <t>Муниципальная   программа «Экономическое развитие Белозерского муниципального района на 2018 – 2020 годы»</t>
  </si>
  <si>
    <t>Основное мероприятие "Обеспечение деятельности финансового управления Белозерского муниципального района, как ответственного исполнителя муниципальной программы, организация и осуществление контроля за соблюдением законодательства РФ при использовании средств районного бюджета, а также материальных ценностей, находящихся в собственности района"</t>
  </si>
  <si>
    <t>Подпрограмма "Обеспечение реализации муниципальной программы "Управление муниципальными финансами Белозерского муниципального района на 2018-2020 годы"</t>
  </si>
  <si>
    <t>Муниципальная программа «Управление муниципальными финансами Белозерского муниципального района на 2018-2020 годы»</t>
  </si>
  <si>
    <t>Подпрограмма "Обеспечение сбалансированности районного бюджета и повышение эффективности бюджетных расходов на 2018-2019 год"</t>
  </si>
  <si>
    <t>Основное мероприятие "Укрепление доходной базы районного бюджета и оптимизация расходов в целях обеспечения исполнения районного бюджета"</t>
  </si>
  <si>
    <t>3</t>
  </si>
  <si>
    <t>Основное мероприятие "Обслуживание муниципального долга района"</t>
  </si>
  <si>
    <t>Подпрограмма "Обслуживание муниципального долга района"</t>
  </si>
  <si>
    <t>Основное мероприятие "Выравнивание бюджетной обеспеченности муниципальных образований района"</t>
  </si>
  <si>
    <t>Дотации на поддержку мер по обеспечению сбалансированности бюджетов</t>
  </si>
  <si>
    <t>Подпрограмма "Поддержание устойчивого исполнения местных бюджетов и повышение качества управления муниципальными финансами на 2018-2020 годы"</t>
  </si>
  <si>
    <t>Основное мероприятие "Поддержка мер по обеспечению сбалансированности бюджетов поселений"</t>
  </si>
  <si>
    <t>20</t>
  </si>
  <si>
    <t>11 1 00 00000</t>
  </si>
  <si>
    <t>11 1 01 00000</t>
  </si>
  <si>
    <t>11 1 01 00190</t>
  </si>
  <si>
    <t>11 2 00 00000</t>
  </si>
  <si>
    <t>11 2 01 00000</t>
  </si>
  <si>
    <t>62010</t>
  </si>
  <si>
    <t>Субсидии на муниципальную поддержку общероссийских общественных организаций инвалидов</t>
  </si>
  <si>
    <t>Осуществление отдельных государственных полномочий в соответствии с законом области от 6 декабря 2013 года № 3223-ОЗ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</si>
  <si>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90510</t>
  </si>
  <si>
    <t>Дотации  на выравнивание бюджетной обеспеченности</t>
  </si>
  <si>
    <t>90520</t>
  </si>
  <si>
    <t>90110</t>
  </si>
  <si>
    <t>Осуществление переданных полномочий по правовому обеспечению деятельности органов местного самоуправления</t>
  </si>
  <si>
    <t>90150</t>
  </si>
  <si>
    <t>70030</t>
  </si>
  <si>
    <t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t>
  </si>
  <si>
    <t>07 0 05 70030</t>
  </si>
  <si>
    <t>31 0 05 70030</t>
  </si>
  <si>
    <t>34 0 04 70030</t>
  </si>
  <si>
    <t>34 0 01 70030</t>
  </si>
  <si>
    <t>34 0 02 70030</t>
  </si>
  <si>
    <t>29 0 02 70030</t>
  </si>
  <si>
    <t>06 0 01 70030</t>
  </si>
  <si>
    <t>06 0 02 70030</t>
  </si>
  <si>
    <t>06 0 03 70030</t>
  </si>
  <si>
    <t>52100</t>
  </si>
  <si>
    <t>51690</t>
  </si>
  <si>
    <t>52280</t>
  </si>
  <si>
    <t>52430</t>
  </si>
  <si>
    <t>06 0 E1 51690</t>
  </si>
  <si>
    <t>Осуществление полномочий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</si>
  <si>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 xml:space="preserve">91  </t>
  </si>
  <si>
    <t>90280</t>
  </si>
  <si>
    <t>E2</t>
  </si>
  <si>
    <t>54910</t>
  </si>
  <si>
    <t>06 0 E2 54910</t>
  </si>
  <si>
    <t>08 0 00 00000</t>
  </si>
  <si>
    <t>08 0 02 00000</t>
  </si>
  <si>
    <t>08 0 02 S1600</t>
  </si>
  <si>
    <t>70010</t>
  </si>
  <si>
    <t>70020</t>
  </si>
  <si>
    <t>11 2 01 70010</t>
  </si>
  <si>
    <t>11 2 02 70020</t>
  </si>
  <si>
    <t>33 2 01 70010</t>
  </si>
  <si>
    <t>33 2 02 70020</t>
  </si>
  <si>
    <t>11 2 02 70030</t>
  </si>
  <si>
    <t>34 0 03 01590</t>
  </si>
  <si>
    <t>A1</t>
  </si>
  <si>
    <t>34 0 A1 S1800</t>
  </si>
  <si>
    <t>Основное мероприятие «Увеличение уровня вовлеченности населения в систематические занятия физической культурой и спортом и популяризации здорового образа жизни, физической культуры и спорта»</t>
  </si>
  <si>
    <t>29 0 01 00000</t>
  </si>
  <si>
    <t>29 0 01 16590</t>
  </si>
  <si>
    <t>06 0 06 70030</t>
  </si>
  <si>
    <t>11 4 01 70030</t>
  </si>
  <si>
    <t xml:space="preserve">от 23.12.2019 № 104      </t>
  </si>
  <si>
    <t>"Приложение 6</t>
  </si>
  <si>
    <t xml:space="preserve">                                                                 "Приложение 9</t>
  </si>
  <si>
    <t xml:space="preserve">                                                                 от 23.12.2019 № 104</t>
  </si>
  <si>
    <t xml:space="preserve">                                                             "Приложение 7</t>
  </si>
  <si>
    <t xml:space="preserve">                                                             "Приложение 8</t>
  </si>
  <si>
    <t xml:space="preserve">                                                                 "Приложение 10</t>
  </si>
  <si>
    <t>от _______________ № ________</t>
  </si>
  <si>
    <t>от 23.12.2019 № 104</t>
  </si>
  <si>
    <t>"Приложение 12</t>
  </si>
  <si>
    <t>"Приложение 13</t>
  </si>
  <si>
    <t xml:space="preserve">                                                            от 23.12.2019 №104     </t>
  </si>
  <si>
    <t>Основное мероприятие "Проведение соревнований, игр, конкурсов творческих работ среди детей по безопасности дорожного движения, конкурсы и викторины по ПДД в летних детских оздоровительных лагерях"</t>
  </si>
  <si>
    <t>09 0 02 00000</t>
  </si>
  <si>
    <t>09 0 02 20440</t>
  </si>
  <si>
    <t>20030</t>
  </si>
  <si>
    <t>Расходы на содержание и организацию деятельности аварийно-спасательной службы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</si>
  <si>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фонда"</t>
  </si>
  <si>
    <t>26 0 F3 00000</t>
  </si>
  <si>
    <t>Основное мероприятие "Строительство и реконструкция (модернизация) объектов питьевого водоснабжения в рамках федерального проекта "Чистая вода"</t>
  </si>
  <si>
    <t>Основное мероприятие "Реализация регионального проекта "Формирование комфортной городской среды" в части благоустройства дворовых территорий муниципальных образований области"</t>
  </si>
  <si>
    <t>46 0 F2 00000</t>
  </si>
  <si>
    <t>Основное мероприятие "Реализация регионального проекта "Культурная среда"</t>
  </si>
  <si>
    <t>34 0 A1 00000</t>
  </si>
  <si>
    <t>Основное мероприятие "Реализация регионального проекта "Успех каждого ребенка"</t>
  </si>
  <si>
    <t>06 0 E2 00000</t>
  </si>
  <si>
    <t>Основное мероприятие "Реализация регионального проекта "Современная школа"</t>
  </si>
  <si>
    <t>06 0 E1 00000</t>
  </si>
  <si>
    <t>Основное мероприятие "Реализация регионального проекта "Цифровая образовательная среда"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</si>
  <si>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</si>
  <si>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08 0 02 20130</t>
  </si>
  <si>
    <t>Основное мероприятие "Расширение внешних связей"</t>
  </si>
  <si>
    <t>07 0 02 00000</t>
  </si>
  <si>
    <t>07 0 02 01590</t>
  </si>
  <si>
    <t>06 0 02 14590</t>
  </si>
  <si>
    <t>P1</t>
  </si>
  <si>
    <t>48</t>
  </si>
  <si>
    <t>Основное мероприятие «Реализация регионального проекта «Финансовая поддержка семей при рождении детей» в части организации и предоставления денежной выплаты взамен предоставления земельного участка гражданам, имеющих трех и более детей»</t>
  </si>
  <si>
    <t>Муниципальная программа «Управление и распоряжение муниципальным имуществом Белозерского муниципального района на 2020-2025 годы»</t>
  </si>
  <si>
    <t>Р1</t>
  </si>
  <si>
    <t>Основное мероприятие «Осуществление кадастрового учета объектов недвижимости и земельных участков»</t>
  </si>
  <si>
    <t>Основное мероприятие «Проведение работ по оценке стоимости аренды, продажи или залоговой стоимости объектов»</t>
  </si>
  <si>
    <t>Оценка недвижимости, признание прав и регулирование отношений по государственной  (муниципальной)  собственности</t>
  </si>
  <si>
    <t>Основное мероприятие «Содержание объектов муниципальной собственности, находящихся в казне муниципального имущества Белозерского муниципального района»</t>
  </si>
  <si>
    <t>Основное мероприятие «Обеспечение деятельности Управления имущественных отношений»</t>
  </si>
  <si>
    <t>Осуществление полномочий по владению, пользованию и распоряжению имуществом, находящимся в муниципальной собственности, и обеспечение выполнения работ, необходимых для создания искусственных земельных участков для нужд поселения</t>
  </si>
  <si>
    <t>Осуществление земельного контроля в границах поселения</t>
  </si>
  <si>
    <t>48 0 00 00000</t>
  </si>
  <si>
    <t>48 0 01 00000</t>
  </si>
  <si>
    <t>48 0 01 20520</t>
  </si>
  <si>
    <t>48 0 02 00000</t>
  </si>
  <si>
    <t>48 0 02 20510</t>
  </si>
  <si>
    <t>48 0 03 00000</t>
  </si>
  <si>
    <t>48 0 03 20530</t>
  </si>
  <si>
    <t>48 0 04 00000</t>
  </si>
  <si>
    <t>48 0 04 00190</t>
  </si>
  <si>
    <t>48 0 04 70030</t>
  </si>
  <si>
    <t>48 0 04 90190</t>
  </si>
  <si>
    <t>48 0 04 90200</t>
  </si>
  <si>
    <t>48 0 P1 72300</t>
  </si>
  <si>
    <t>48 0 P1 00000</t>
  </si>
  <si>
    <t>Основное мероприятие «Ремонт автодороги западного района г.Белозерска (подъезд к участкам отдельных категорий граждан)»</t>
  </si>
  <si>
    <t>Основное мероприятие "Разработка комплексной схемы организации дорожного движения"</t>
  </si>
  <si>
    <t>04 0 07 00000</t>
  </si>
  <si>
    <t>04 0 07 20300</t>
  </si>
  <si>
    <t>23060</t>
  </si>
  <si>
    <t>Иные выплаты населению</t>
  </si>
  <si>
    <t>Основное мероприятие "Предупреждение экстремизма и терроризма"</t>
  </si>
  <si>
    <t>Реализация мероприятий, направленных на предупреждение экстремизма и терроризма</t>
  </si>
  <si>
    <t>Основное мероприятие "Правовое информирование граждан"</t>
  </si>
  <si>
    <t>Мероприятия, направленные на правовое информирование граждан</t>
  </si>
  <si>
    <t>Подпрограмма "Безопасность дорожного движения"</t>
  </si>
  <si>
    <t>Основное мероприятие "Предупреждение опасного поведения участников дорожного движения путем организации и проведения профилактических мероприятий, и их информационно-пропагандистское сопровождение"</t>
  </si>
  <si>
    <t>13 1 00 00000</t>
  </si>
  <si>
    <t>13 1 02 00000</t>
  </si>
  <si>
    <t>13 1 02 20440</t>
  </si>
  <si>
    <t>13 2 03 00000</t>
  </si>
  <si>
    <t>13 2 03 23060</t>
  </si>
  <si>
    <t>13 2 07 00000</t>
  </si>
  <si>
    <t>13 2 07 20450</t>
  </si>
  <si>
    <t>26 0 F3 67483</t>
  </si>
  <si>
    <t>Основное мероприятие "Сохранение и популяризация объектов культурного наследия"</t>
  </si>
  <si>
    <t>07 0 03 00000</t>
  </si>
  <si>
    <t>41010</t>
  </si>
  <si>
    <t xml:space="preserve"> Разработка проектно-сметной документации</t>
  </si>
  <si>
    <t>07 0 03 41010</t>
  </si>
  <si>
    <t>20590</t>
  </si>
  <si>
    <t>Проведение мероприятий для детей и молодежи</t>
  </si>
  <si>
    <t>36 0 01 20590</t>
  </si>
  <si>
    <t>32</t>
  </si>
  <si>
    <t>Муниципальная программа охраны окружающей среды и рационального использования природных ресурсов на 2021-2025 годы</t>
  </si>
  <si>
    <t>32 0 00 00000</t>
  </si>
  <si>
    <t>32 0 G5 00000</t>
  </si>
  <si>
    <t>32 0 G5 52430</t>
  </si>
  <si>
    <t>32 0 01 00000</t>
  </si>
  <si>
    <t>32 0 01 20110</t>
  </si>
  <si>
    <t>240</t>
  </si>
  <si>
    <t>32 0 02 00000</t>
  </si>
  <si>
    <t>32 0 02 20110</t>
  </si>
  <si>
    <t>04 0 03 S1350</t>
  </si>
  <si>
    <t>23280</t>
  </si>
  <si>
    <t>Основное мероприятие «Развитие инфраструктуры физической культуры и спорта, в том числе для лиц с ограниченными возможностями здоровья и инвалидов»</t>
  </si>
  <si>
    <t>Расходы на проектирование, строительство, реконструкцию и капитальный ремонт объектов социальной инфраструктуры муниципальной собственности за счет средств районного бюджета</t>
  </si>
  <si>
    <t>29 0 03 00000</t>
  </si>
  <si>
    <t>29 0 03 23280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</si>
  <si>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</si>
  <si>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S1330</t>
  </si>
  <si>
    <t>Создание условий по организации дошкольного и общего образования</t>
  </si>
  <si>
    <t>06 0 05 S1330</t>
  </si>
  <si>
    <t>Основное мероприятие «Разработка ПКРТИ»</t>
  </si>
  <si>
    <t>04 0 08 00000</t>
  </si>
  <si>
    <t>04 0 08 20300</t>
  </si>
  <si>
    <t>S1370</t>
  </si>
  <si>
    <t>Организация транспортного обслуживания населения на муниципальных маршрутах регулярных перевозок по регулируемым тарифам</t>
  </si>
  <si>
    <t>S1120</t>
  </si>
  <si>
    <t>S3280</t>
  </si>
  <si>
    <t>Обустройство объектов городской и сельской инфраструктуры, парковых и рекреационных зон для занятий физической культурой и спортом, в том числе видами спорта, популярными в молодежной среде</t>
  </si>
  <si>
    <t>Расходы на проектирование, строительство, реконструкцию и капитальный ремонт объектов социальной инфраструктуры муниципальной собственности за счет прочих безвозмездных поступлений</t>
  </si>
  <si>
    <t>29 0 03 S1120</t>
  </si>
  <si>
    <t>29 0 03 S3280</t>
  </si>
  <si>
    <t>53031</t>
  </si>
  <si>
    <t>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</si>
  <si>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06 0 02 53031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</si>
  <si>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</si>
  <si>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S1420</t>
  </si>
  <si>
    <t>Создание в муниципальных общеобразовательных организациях кружков по развитию предпринимательства</t>
  </si>
  <si>
    <t>06 0 03 S1420</t>
  </si>
  <si>
    <t>11 4 02 70030</t>
  </si>
  <si>
    <t>20140</t>
  </si>
  <si>
    <t>Основное мероприятие "Строительство фельдерско-акушерских пунктов и офисов врача общей практики"</t>
  </si>
  <si>
    <t>Мероприятия по строительству ФАПов</t>
  </si>
  <si>
    <t>08 0 03 00000</t>
  </si>
  <si>
    <t>08 0 03 20140</t>
  </si>
  <si>
    <t>Осуществление полномочий по созданию условий для обеспечения жителей поселения услугами связи, общественного питания, торговли и бытового обслуживания,  содействию в развитии сельскохозяйственного производства, созданию условий для развития малого и среднего предпринимательства</t>
  </si>
  <si>
    <t>90170</t>
  </si>
  <si>
    <t>90130</t>
  </si>
  <si>
    <t>Осуществление переданных полномочий в области внешнего финансового контроля</t>
  </si>
  <si>
    <t>90160</t>
  </si>
  <si>
    <t>Осуществление полномочий в части по определению поставщиков (подрядчиков, исполнителей) при осуществлении закупок товаров, работ и услуг для обеспечения государственных и муниципальных нужд</t>
  </si>
  <si>
    <t>90120</t>
  </si>
  <si>
    <t>90140</t>
  </si>
  <si>
    <t>Осуществление переданных полномочий по осуществлению внутреннего муниципального финансового контроля</t>
  </si>
  <si>
    <t>Осуществление полномочий 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</si>
  <si>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Мероприятия по совершенствованию системы муниципальной службы и правового регулирования организации и функционирования муниципальной службы</t>
  </si>
  <si>
    <t>20210</t>
  </si>
  <si>
    <t>Муниципальная программа "Обеспечение законности, правопорядка и общественной безопасности в Белозерском районе на 2014 -2020 годы"</t>
  </si>
  <si>
    <t>Основное мероприятие «Организация временного трудоустройства несовершеннолетних граждан в возрасте от 14 до 18 лет в свободное от учебы время»</t>
  </si>
  <si>
    <t>Иные межбюджетные трансферты на капитальный ремонт и ремонт автомобильных дорог местного значения в границах населенных пунктов</t>
  </si>
  <si>
    <t>90030</t>
  </si>
  <si>
    <t>Основное мероприятие «Содержание сети автомобильных дорог районного значения»</t>
  </si>
  <si>
    <t>Основное мероприятие «Передача полномочий администрациям сельских поселений на осуществление дорожной деятельности»</t>
  </si>
  <si>
    <t>20450</t>
  </si>
  <si>
    <t>Реализация мероприятий, направленных на популяризацию предпринимательской деятельности</t>
  </si>
  <si>
    <t>20460</t>
  </si>
  <si>
    <t>Реализация мероприятий, направленных на повышение инвестиционной и деловой активности</t>
  </si>
  <si>
    <t>Учреждения культуры</t>
  </si>
  <si>
    <t>01590</t>
  </si>
  <si>
    <t>Расходы на осуществление переданных полномочий по содержанию муниципального жилищного фонда, обеспечения проживающих в поселении и нуждающихся в жилых помещениях малоимущих граждан жилыми помещениями, организация строительства муниципального жилищного фонда</t>
  </si>
  <si>
    <t>90020</t>
  </si>
  <si>
    <t>Расходы на осуществление переданных полномочий в части организации в границах поселения электро-, тепло-, газо- и водоснабжения населения, водоотведения, снабжения населения топливом</t>
  </si>
  <si>
    <t>Расходы на обеспечение функций муниципальных органов (Взносы в ФКР)</t>
  </si>
  <si>
    <t>20110</t>
  </si>
  <si>
    <t>Природоохранные мероприятия</t>
  </si>
  <si>
    <t>15590</t>
  </si>
  <si>
    <t>Муниципальная программа "Развитие системы образования Белозерского муниципального района на 2018-2020 годы"</t>
  </si>
  <si>
    <t>L4970</t>
  </si>
  <si>
    <t>S1360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</si>
  <si>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</si>
  <si>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04 0 05 S1360</t>
  </si>
  <si>
    <t>20 0 01 S1250</t>
  </si>
  <si>
    <t>Основное мероприятие «Внедрение и (или) эксплуатация аппаратно-программного комплекса "Безопасный город" для обеспечения общественного  порядка, предупреждения терроризма и экстремизма, борьбы с преступностью»</t>
  </si>
  <si>
    <t>04 0 03 20300</t>
  </si>
  <si>
    <t>20530</t>
  </si>
  <si>
    <t>Выполнение других обязательств, связанных с содержанием имущества, находящегося в казне района</t>
  </si>
  <si>
    <t>Благоустройство</t>
  </si>
  <si>
    <t>26</t>
  </si>
  <si>
    <t>26 0 00 00000</t>
  </si>
  <si>
    <t>2021 год</t>
  </si>
  <si>
    <t>Проведение комплексных кадастровых работ</t>
  </si>
  <si>
    <t>Основное мероприятие "Создание условий для возрождения, сохранения и развития традиционных народных промыслов и ремесел"</t>
  </si>
  <si>
    <t>07 0 07 00000</t>
  </si>
  <si>
    <t>07 0 07 01590</t>
  </si>
  <si>
    <t>Муниципальная  программа "Формирование законопослушного поведения участников дорожного движения в Белозерском муниципальном районе на 2019-2021 годы"</t>
  </si>
  <si>
    <t>Основное мероприятие "Разработка проекта, приобретение, размещение социальной рекламы по обеспечению безопасности дорожного движения"</t>
  </si>
  <si>
    <t>20440</t>
  </si>
  <si>
    <t>Реализация мероприятий, направленных на обеспечение безопасности дорожного движения</t>
  </si>
  <si>
    <t>09 0 01 20440</t>
  </si>
  <si>
    <t>Капитальный ремонт объектов социальной и коммунальной инфраструктур муниципальной собственности</t>
  </si>
  <si>
    <t>S1220</t>
  </si>
  <si>
    <t>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</si>
  <si>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</si>
  <si>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Осуществление отдельных государственных полномочий в соответствии с законом области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</si>
  <si>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Обеспечение деятельности органов местного самоуправления</t>
  </si>
  <si>
    <t>14590</t>
  </si>
  <si>
    <t>Основное мероприятие «Организация библиотечно-информационного обслуживания населения муниципальными учреждениями района»</t>
  </si>
  <si>
    <t>03590</t>
  </si>
  <si>
    <t>Библиотеки</t>
  </si>
  <si>
    <t>Доплаты к пенсиям  муниципальных служащих</t>
  </si>
  <si>
    <t>83010</t>
  </si>
  <si>
    <t>83020</t>
  </si>
  <si>
    <t>Расходы на выплату ЕДК за коммунальные услуги</t>
  </si>
  <si>
    <t>Основное мероприятие "Мероприятия по охране и комплексному использованию водных ресурсов, обеспечение населения качественной питьевой водой""</t>
  </si>
  <si>
    <t>10 0 02 00000</t>
  </si>
  <si>
    <t>Основное мероприятие "Мероприятия по предотвращению загрязнения природной среды отходами производства и потребления"</t>
  </si>
  <si>
    <t>10 0 02 20110</t>
  </si>
  <si>
    <t>06 0 04 14590</t>
  </si>
  <si>
    <t>16590</t>
  </si>
  <si>
    <t>Учреждения физической культуры и спорта</t>
  </si>
  <si>
    <t>Основное мероприятие «Развитие детско-юношеского спорта»</t>
  </si>
  <si>
    <t>20990</t>
  </si>
  <si>
    <t>Процентные платежи по долговым обязательствам района</t>
  </si>
  <si>
    <t>20510</t>
  </si>
  <si>
    <t>20520</t>
  </si>
  <si>
    <t>Основное мероприятие «Обеспечение благоприятных и безопасных условий для отдыха и оздоровления детей»</t>
  </si>
  <si>
    <t>12590</t>
  </si>
  <si>
    <t xml:space="preserve"> Детские дошкольные учреждения</t>
  </si>
  <si>
    <t>13590</t>
  </si>
  <si>
    <t>Основное мероприятие «Сохранение и развитие системы организаций отдыха и оздоровления детей, их материально-техническое оснащение»</t>
  </si>
  <si>
    <t xml:space="preserve"> Школы - детские сады, школы начальные, неполные средние и средние</t>
  </si>
  <si>
    <t xml:space="preserve"> Основное мероприятие «Обеспечение благоприятных и безопасных условий для отдыха и оздоровления детей»</t>
  </si>
  <si>
    <t xml:space="preserve">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</si>
  <si>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Основное мероприятие «Организационное и информационно-методическое обеспечение отдыха и оздоровления детей в каникулярное время»</t>
  </si>
  <si>
    <t>72020</t>
  </si>
  <si>
    <t>Осуществление отдельных государственных полномочий,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</si>
  <si>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Детские дошкольные учреждения</t>
  </si>
  <si>
    <t>72010</t>
  </si>
  <si>
    <t>Обеспечение дошкольного образования в муниципальных дошкольных образовательных организациях области и общеобразовательного процесса в муниципальных общеобразовательных организациях области</t>
  </si>
  <si>
    <t>Школы - детские сады, школы начальные, неполные средние и средние</t>
  </si>
  <si>
    <t>Учреждения по внешкольной работе с детьми</t>
  </si>
  <si>
    <t xml:space="preserve"> Основное мероприятие "Развитие системы дошкольного образования"</t>
  </si>
  <si>
    <t>Дорожное хозяйство (дорожные фонды)</t>
  </si>
  <si>
    <t>Молодежная политика</t>
  </si>
  <si>
    <t>МЕЖБЮДЖЕТНЫЕ ТРАНСФЕРТЫ ОБЩЕГО ХАРАКТЕРА БЮДЖЕТАМ БЮДЖЕТНОЙ СИСТЕМЫ РОССИЙСКОЙ ФЕДЕРАЦИИ</t>
  </si>
  <si>
    <t>Межбюджетные трансферты общего характера бюджетам бюджетной системы Российской Федерации</t>
  </si>
  <si>
    <t>Обеспечение деятельности органов местного самоуравления</t>
  </si>
  <si>
    <t>Расходы на обеспечение функций муниципальных органов</t>
  </si>
  <si>
    <t>70</t>
  </si>
  <si>
    <t>Расходы на обеспечение деятельности (оказание услуг) муниципальных учреждений</t>
  </si>
  <si>
    <t>00590</t>
  </si>
  <si>
    <t>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</t>
  </si>
  <si>
    <t>Дополнительное образование детей</t>
  </si>
  <si>
    <t>Основное мероприятие "Создание положительного туристического имиджа района, совершенствование системы информационного обеспечения туристской деятельности, активная рекламная политика"</t>
  </si>
  <si>
    <t>S1350</t>
  </si>
  <si>
    <t xml:space="preserve">от ____________ № ____      </t>
  </si>
  <si>
    <t>S1060</t>
  </si>
  <si>
    <t>Транспорт</t>
  </si>
  <si>
    <t>Резервные фонды местных администраций</t>
  </si>
  <si>
    <t>02000</t>
  </si>
  <si>
    <t>07 0 00 00000</t>
  </si>
  <si>
    <t>09 0 00 00000</t>
  </si>
  <si>
    <t>09 0 01 00000</t>
  </si>
  <si>
    <t>10 0 00 00000</t>
  </si>
  <si>
    <t>10 0 01 00000</t>
  </si>
  <si>
    <t>10 0 01 20110</t>
  </si>
  <si>
    <t>11 0 00 00000</t>
  </si>
  <si>
    <t>13 0 00 00000</t>
  </si>
  <si>
    <t>13 2 00 00000</t>
  </si>
  <si>
    <t>13 2 04 S1060</t>
  </si>
  <si>
    <t xml:space="preserve">                                                      Распределение бюджетных ассигнований по разделам, подразделам, </t>
  </si>
  <si>
    <t xml:space="preserve">к решению Представительного </t>
  </si>
  <si>
    <t>Собрания района "О районном</t>
  </si>
  <si>
    <t>Основное мероприятие «Реализация проектов, мероприятий, направленных на формирование и сохранение единого культурного пространства района»</t>
  </si>
  <si>
    <t>Выполнение других обязательств государства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</si>
  <si>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</si>
  <si>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</si>
  <si>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Управление муниципального  заказа района</t>
  </si>
  <si>
    <t>Контрольно-счетная комиссия района</t>
  </si>
  <si>
    <t>Финансовое управление района</t>
  </si>
  <si>
    <t>Управление образования района</t>
  </si>
  <si>
    <t>Дошкольное образование</t>
  </si>
  <si>
    <t>Охрана семьи и детства</t>
  </si>
  <si>
    <t xml:space="preserve">Физическая культура </t>
  </si>
  <si>
    <t>Социальное обслуживание населения</t>
  </si>
  <si>
    <t>Пенсионное обеспечение</t>
  </si>
  <si>
    <t>Культура</t>
  </si>
  <si>
    <t>Муниципальная программа "Развитие и совершенствование сети автомобильных дорог общего пользования местного значения в белозерском муниципальном районе на 2022-2025 годы"</t>
  </si>
  <si>
    <t>Муниципальная программа развития туризма в Белозерском муниципальном районе  «Белозерск – Былинный город» на 2021-2025 годы</t>
  </si>
  <si>
    <t>Подпрограмма "Обеспечение сбалансированности районного бюджета и повышение эффективности бюджетных расходов на 2020-2021 год"</t>
  </si>
  <si>
    <t>Подпрограмма "Обеспечение сбалансированности районного бюджета и повышение эффективности бюджетных расходов на 2018-2020 год"</t>
  </si>
  <si>
    <t>Осуществление отдельных государственных полномочий в соответствии с законом области от 10 декабря 2014 года № 3526-ОЗ «О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услуг»</t>
  </si>
  <si>
    <t>Муниципальная программа "Развитие и совершенствование сети автомобильных дорог общего пользования местного значения в Белозерском муниципальном районе на 2022-2025 годы"</t>
  </si>
  <si>
    <t>РзПр</t>
  </si>
  <si>
    <t>028</t>
  </si>
  <si>
    <t>0113</t>
  </si>
  <si>
    <t xml:space="preserve">         РАСПРЕДЕЛЕНИЕ</t>
  </si>
  <si>
    <t>1003</t>
  </si>
  <si>
    <t>0409</t>
  </si>
  <si>
    <t>664</t>
  </si>
  <si>
    <t>0701</t>
  </si>
  <si>
    <t>0709</t>
  </si>
  <si>
    <t>1004</t>
  </si>
  <si>
    <t>0702</t>
  </si>
  <si>
    <t>0703</t>
  </si>
  <si>
    <t>0412</t>
  </si>
  <si>
    <t>0502</t>
  </si>
  <si>
    <t>0605</t>
  </si>
  <si>
    <t>0106</t>
  </si>
  <si>
    <t>661</t>
  </si>
  <si>
    <t>1401</t>
  </si>
  <si>
    <t>1402</t>
  </si>
  <si>
    <t>1301</t>
  </si>
  <si>
    <t xml:space="preserve">661 </t>
  </si>
  <si>
    <t>0314</t>
  </si>
  <si>
    <t>0501</t>
  </si>
  <si>
    <t>27 0 00 00000</t>
  </si>
  <si>
    <t>27 0 01 00000</t>
  </si>
  <si>
    <t>27 0 01 14590</t>
  </si>
  <si>
    <t>27 0 02 00000</t>
  </si>
  <si>
    <t>27 0 02 12590</t>
  </si>
  <si>
    <t>27 0 02 13590</t>
  </si>
  <si>
    <t>27 0 03 00000</t>
  </si>
  <si>
    <t>27 0 03 12590</t>
  </si>
  <si>
    <t>27 0 03 13590</t>
  </si>
  <si>
    <t>27 0 04 00000</t>
  </si>
  <si>
    <t>27 0 04 12590</t>
  </si>
  <si>
    <t>27 0 04 13590</t>
  </si>
  <si>
    <t>27 0 04 14590</t>
  </si>
  <si>
    <t>27 0 05 00000</t>
  </si>
  <si>
    <t>27 0 05 13590</t>
  </si>
  <si>
    <t>27 0 05 14590</t>
  </si>
  <si>
    <t>29 0 00 00000</t>
  </si>
  <si>
    <t>29 0 02 00000</t>
  </si>
  <si>
    <t>29 0 02 16590</t>
  </si>
  <si>
    <t>1101</t>
  </si>
  <si>
    <t>29 0 P5 S2280</t>
  </si>
  <si>
    <t>31 0 00 00000</t>
  </si>
  <si>
    <t>31 0 01 00000</t>
  </si>
  <si>
    <t>31 0 01 01590</t>
  </si>
  <si>
    <t>31 0 05 00000</t>
  </si>
  <si>
    <t>31 0 05 01590</t>
  </si>
  <si>
    <t>31 0 07 00000</t>
  </si>
  <si>
    <t>31 0 07 01590</t>
  </si>
  <si>
    <t>33 0 00 00000</t>
  </si>
  <si>
    <t>33 1 00 00000</t>
  </si>
  <si>
    <t>33 1 01 00000</t>
  </si>
  <si>
    <t>33 1 01 00190</t>
  </si>
  <si>
    <t>33 2 00 00000</t>
  </si>
  <si>
    <t>33 2 01 00000</t>
  </si>
  <si>
    <t>33 2 01 72220</t>
  </si>
  <si>
    <t>33 2 02 00000</t>
  </si>
  <si>
    <t>33 4 00 00000</t>
  </si>
  <si>
    <t>33 4 01 00000</t>
  </si>
  <si>
    <t>33 4 01 00190</t>
  </si>
  <si>
    <t>33 4 02 00000</t>
  </si>
  <si>
    <t>33 4 02 00590</t>
  </si>
  <si>
    <t>36 0 00 00000</t>
  </si>
  <si>
    <t>36 0 01 00000</t>
  </si>
  <si>
    <t>36 0 01 01590</t>
  </si>
  <si>
    <t>0707</t>
  </si>
  <si>
    <t>36 0 01 90170</t>
  </si>
  <si>
    <t>36 0 02 00000</t>
  </si>
  <si>
    <t>36 0 02 01590</t>
  </si>
  <si>
    <t>36 0 03 00000</t>
  </si>
  <si>
    <t>36 0 03 01590</t>
  </si>
  <si>
    <t>36 0 04 00000</t>
  </si>
  <si>
    <t>36 0 04 L4970</t>
  </si>
  <si>
    <t>46 0 F2 55552</t>
  </si>
  <si>
    <t>0503</t>
  </si>
  <si>
    <t>47 0 00 00000</t>
  </si>
  <si>
    <t>47 0 01 00000</t>
  </si>
  <si>
    <t>47 0 01 S1350</t>
  </si>
  <si>
    <t>47 0 03 00000</t>
  </si>
  <si>
    <t>47 0 03 20300</t>
  </si>
  <si>
    <t>47 0 04 00000</t>
  </si>
  <si>
    <t>47 0 04 20300</t>
  </si>
  <si>
    <t>47 0 05 00000</t>
  </si>
  <si>
    <t>47 0 05 S1360</t>
  </si>
  <si>
    <t>Основное мероприятие «Организация подготовки кадров, повышения их профессионального уровня»</t>
  </si>
  <si>
    <t>Основное мероприятие "Комплекс стимулирующих мер по закреплению кадров в районе"</t>
  </si>
  <si>
    <t>Обслуживание муниципального долга</t>
  </si>
  <si>
    <t>Муниципальная программа «Обеспечение законности, правопорядка и общественной безопасности в Белозерском районе на 2014 -2020 годы</t>
  </si>
  <si>
    <t>Внедрение современных технических средств, направленных на предупреждение правонарушений и преступлений в общественных местах и на улицах</t>
  </si>
  <si>
    <t>Основное мероприятие «Организационное и информационно-методическое обеспечение отдыха и оздоровления детей в каникулярное время»</t>
  </si>
  <si>
    <t>ИТОГО:</t>
  </si>
  <si>
    <t>34 0 00 00000</t>
  </si>
  <si>
    <t>34 0 01 00000</t>
  </si>
  <si>
    <t>34 0 01 03590</t>
  </si>
  <si>
    <t>0801</t>
  </si>
  <si>
    <t>34 0 01 74090</t>
  </si>
  <si>
    <t>34 0 01 S1900</t>
  </si>
  <si>
    <t>34 0 02 00000</t>
  </si>
  <si>
    <t>34 0 02 01590</t>
  </si>
  <si>
    <t>34 0 03 00000</t>
  </si>
  <si>
    <t>34 0 03 20400</t>
  </si>
  <si>
    <t>34 0 03 S1220</t>
  </si>
  <si>
    <t>34 0 04 00000</t>
  </si>
  <si>
    <t>34 0 04 15590</t>
  </si>
  <si>
    <t>Осуществление отдельных государственных полномочий в соответствии с законом области от 6 декабря 2013 года № 3223-ОЗ "О наделении органов местного самоуправления отдельными государственными полномочиями области по расчету и предоставлению дотаций на вырав</t>
  </si>
  <si>
    <t>на плановый период 2021 и 2022 годов</t>
  </si>
  <si>
    <t>6</t>
  </si>
  <si>
    <t>7</t>
  </si>
  <si>
    <t>к решению Представительного Собрания района</t>
  </si>
  <si>
    <t>"О районном бюджете на  2020 год и плановый</t>
  </si>
  <si>
    <t>на 2020 год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</si>
  <si>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</si>
  <si>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</si>
  <si>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</si>
  <si>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Сумма</t>
  </si>
  <si>
    <t>КВР</t>
  </si>
  <si>
    <t>КЦСР</t>
  </si>
  <si>
    <t>ПР</t>
  </si>
  <si>
    <t>РЗ</t>
  </si>
  <si>
    <t>ГРБС</t>
  </si>
  <si>
    <t>Наименование</t>
  </si>
  <si>
    <t>ВР</t>
  </si>
  <si>
    <t>ЦСР</t>
  </si>
  <si>
    <t>Подст(код)</t>
  </si>
  <si>
    <t>Ст(код)</t>
  </si>
  <si>
    <t>Рз Пр</t>
  </si>
  <si>
    <t>Рз(код)</t>
  </si>
  <si>
    <t>Администрация района</t>
  </si>
  <si>
    <t>Основное мероприятие "Меры социальной поддержки в виде выплаты денежной компенсации на оплату части расходов по найму (поднайму) жилого помещения, предусмотренного договором найма (поднайма) и расходы на оплату коммунальных услуг лицам, приглашенным из другой местности на работу"</t>
  </si>
  <si>
    <t>07 0 01 00000</t>
  </si>
  <si>
    <t>07 0 01 01590</t>
  </si>
  <si>
    <t>07 0 05 00000</t>
  </si>
  <si>
    <t>07 0 05 01590</t>
  </si>
  <si>
    <t>13 2 04 00000</t>
  </si>
  <si>
    <t>Субсидии некоммерческим организациям (за исключением государственных (муниципальных) учреждений)</t>
  </si>
  <si>
    <t>Бюджетные инвестиции</t>
  </si>
  <si>
    <t>Осуществление полномочий по определению стоимости услуг, предоставляемых согласно гарантированному перечню услуг по погребению</t>
  </si>
  <si>
    <t>90260</t>
  </si>
  <si>
    <t>"</t>
  </si>
  <si>
    <t xml:space="preserve">                                                                  к решению Представительного Собрания района</t>
  </si>
  <si>
    <t xml:space="preserve">                                                                  от _______________ № ________</t>
  </si>
  <si>
    <t xml:space="preserve"> Национальная экономика</t>
  </si>
  <si>
    <t>Всего расходов</t>
  </si>
  <si>
    <t>Расходы на выплаты персоналу государственных (муниципальных) органов</t>
  </si>
  <si>
    <t/>
  </si>
  <si>
    <t>Другие общегосударственные вопросы</t>
  </si>
  <si>
    <t>Общегосударственные вопросы</t>
  </si>
  <si>
    <t>Физическая культура и спорт</t>
  </si>
  <si>
    <t>Другие вопросы в области социальной политики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</si>
  <si>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</si>
  <si>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Социальное обеспечение населения</t>
  </si>
  <si>
    <t>Социальная политика</t>
  </si>
  <si>
    <t>Культура, кинематография</t>
  </si>
  <si>
    <t>Другие вопросы в области образования</t>
  </si>
  <si>
    <t>Общее образование</t>
  </si>
  <si>
    <t>Образование</t>
  </si>
  <si>
    <t>Другие вопросы в области национальной экономики</t>
  </si>
  <si>
    <t>Национальная экономика</t>
  </si>
  <si>
    <t>Другие вопросы в области охраны окружающей среды</t>
  </si>
  <si>
    <t>Охрана объектов растительного и животного мира и среды их обитания</t>
  </si>
  <si>
    <t>Охрана окружающей среды</t>
  </si>
  <si>
    <t>Резервные средства</t>
  </si>
  <si>
    <t>Управление имущественных отношений района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</si>
  <si>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</si>
  <si>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</si>
  <si>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</si>
  <si>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</si>
  <si>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</si>
  <si>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</si>
  <si>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2</t>
  </si>
  <si>
    <t>4</t>
  </si>
  <si>
    <t>14</t>
  </si>
  <si>
    <t>08</t>
  </si>
  <si>
    <t>0</t>
  </si>
  <si>
    <t>01</t>
  </si>
  <si>
    <t>1</t>
  </si>
  <si>
    <t>05</t>
  </si>
  <si>
    <t>Санитарно-эпидемиологическое благополучие</t>
  </si>
  <si>
    <t>07</t>
  </si>
  <si>
    <t>Функционирование высшего должностного лица субъекта Российской Федерации и муниципального образования</t>
  </si>
  <si>
    <t>11 2 01 72220</t>
  </si>
  <si>
    <t>11 2 02 00000</t>
  </si>
  <si>
    <t>11 3 00 00000</t>
  </si>
  <si>
    <t>11 3 01 00000</t>
  </si>
  <si>
    <t>11 3 01 20990</t>
  </si>
  <si>
    <t>11 4 00 00000</t>
  </si>
  <si>
    <t>11 4 01 00000</t>
  </si>
  <si>
    <t>11 4 01 90120</t>
  </si>
  <si>
    <t>11 4 01 90140</t>
  </si>
  <si>
    <t>11 4 01 00190</t>
  </si>
  <si>
    <t>91</t>
  </si>
  <si>
    <t xml:space="preserve">Обеспечение деятельности представительных  органов местного самоуправления </t>
  </si>
  <si>
    <t>92</t>
  </si>
  <si>
    <t>00</t>
  </si>
  <si>
    <t>10</t>
  </si>
  <si>
    <t>99</t>
  </si>
  <si>
    <t>5</t>
  </si>
  <si>
    <t>Дотации на выравнивание бюджетной обеспеченности субъектов Российской Федерации и муниципальных образований</t>
  </si>
  <si>
    <t>04</t>
  </si>
  <si>
    <t>Раздел</t>
  </si>
  <si>
    <t>Под раздел</t>
  </si>
  <si>
    <t>ОБЩЕГОСУДАРСТВЕННЫЕ ВОПРОСЫ</t>
  </si>
  <si>
    <t>02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</si>
  <si>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</si>
  <si>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</si>
  <si>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06</t>
  </si>
  <si>
    <t>11</t>
  </si>
  <si>
    <t>13</t>
  </si>
  <si>
    <t>НАЦИОНАЛЬНАЯ ЭКОНОМИКА</t>
  </si>
  <si>
    <t>12</t>
  </si>
  <si>
    <t>ЖИЛИЩНО-КОММУНАЛЬНОЕ ХОЗЯЙСТВО</t>
  </si>
  <si>
    <t>ОХРАНА ОКРУЖАЮЩЕЙ СРЕДЫ</t>
  </si>
  <si>
    <t>ОБРАЗОВАНИЕ</t>
  </si>
  <si>
    <t>ЗДРАВООХРАНЕНИЕ</t>
  </si>
  <si>
    <t>СОЦИАЛЬНАЯ ПОЛИТИКА</t>
  </si>
  <si>
    <t xml:space="preserve">Социальное обеспечение населения 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</si>
  <si>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</si>
  <si>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</si>
  <si>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</si>
  <si>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</si>
  <si>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 xml:space="preserve">ОБСЛУЖИВАНИЕ ГОСУДАРСТВЕННОГО И МУНИЦИПАЛЬНОГО ДОЛГА </t>
  </si>
  <si>
    <t>В С Е Г О  Р А С Х О Д О В</t>
  </si>
  <si>
    <t>НАЦИОНАЛЬНАЯ БЕЗОПАСНОСТЬ И ПРАВООХРАНИТЕЛЬНАЯ ДЕЯТЕЛЬНОСТЬ</t>
  </si>
  <si>
    <t>Стипендии</t>
  </si>
  <si>
    <t xml:space="preserve">Обслуживание  мунципального  долга </t>
  </si>
  <si>
    <t xml:space="preserve">КУЛЬТУРА, КИНЕМАТОГРАФИЯ </t>
  </si>
  <si>
    <t>Судебная система</t>
  </si>
  <si>
    <t>Жилищно-коммунальное хозяйство</t>
  </si>
  <si>
    <t>Жилищное хозяйство</t>
  </si>
  <si>
    <t>Муниципальная программа "Устойчивое развитие сельских территорий Белозерского района Вологодской области на 2014-2017 годы и на период до 2020 года"</t>
  </si>
  <si>
    <t>00000</t>
  </si>
  <si>
    <t xml:space="preserve"> </t>
  </si>
  <si>
    <t>Здравоохранение</t>
  </si>
  <si>
    <t>06 0 00 00000</t>
  </si>
  <si>
    <t>06 0 01 00000</t>
  </si>
  <si>
    <t>06 0 01 72010</t>
  </si>
  <si>
    <t>06 0 01 72020</t>
  </si>
  <si>
    <t>06 0 01 12590</t>
  </si>
  <si>
    <t>06 0 05 00000</t>
  </si>
  <si>
    <t>06 0 05 12590</t>
  </si>
  <si>
    <t>06 0 01 13590</t>
  </si>
  <si>
    <t>06 0 02 00000</t>
  </si>
  <si>
    <t>06 0 02 13590</t>
  </si>
  <si>
    <t>06 0 02 72010</t>
  </si>
  <si>
    <t>06 0 02 72020</t>
  </si>
  <si>
    <t>06 0 03 00000</t>
  </si>
  <si>
    <t>06 0 03 13590</t>
  </si>
  <si>
    <t>06 0 04 00000</t>
  </si>
  <si>
    <t>06 0 03 15590</t>
  </si>
  <si>
    <t>06 0 01 00190</t>
  </si>
  <si>
    <t>06 0 02 00190</t>
  </si>
  <si>
    <t>06 0 04 00190</t>
  </si>
  <si>
    <t>06 0 06 00000</t>
  </si>
  <si>
    <t>06 0 06 14590</t>
  </si>
  <si>
    <t>Муниципальная программа охраны окружающей среды и рационального использования природных ресурсов на 2015-2020 годы</t>
  </si>
  <si>
    <t>Иные дотации</t>
  </si>
  <si>
    <t>Другие вопросы в области жилищно-коммунального хозяйства</t>
  </si>
  <si>
    <t>Иные межбюджетные трансферты</t>
  </si>
  <si>
    <t>00190</t>
  </si>
  <si>
    <t>72250</t>
  </si>
  <si>
    <t>72230</t>
  </si>
  <si>
    <t>51350</t>
  </si>
  <si>
    <t>90010</t>
  </si>
  <si>
    <t>72220</t>
  </si>
  <si>
    <t>Подпрограмма «Профилактика преступлений и иных правонарушений»</t>
  </si>
  <si>
    <t>72190</t>
  </si>
  <si>
    <t>Основное мероприятие "Развитие системы дошкольного образования"</t>
  </si>
  <si>
    <t>Основное мероприятие "Развитие системы общего образования"</t>
  </si>
  <si>
    <t>Основное мероприятие "Кадровое обеспечение системы образования района"</t>
  </si>
  <si>
    <t>Основное мероприятие "Обеспечение деятельности МУК "Центр ремесел и туризма"</t>
  </si>
  <si>
    <t>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</si>
  <si>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Основное мероприятие «Ремонт автомобильных дорог»</t>
  </si>
  <si>
    <t>Осуществление части полномочий в части присвоения адресов объектам адресации, изменение адресов, аннулирование адресов, присвоение наименований элементам улично-дорожной сети, наименований элементам планировочной структуры в границах поселения, изменения, аннулирования таких наименований, размещение информации в государственном адресном реестре</t>
  </si>
  <si>
    <t>G5</t>
  </si>
  <si>
    <t>Строительство и реконструкция (модернизация) объектов питьевого водоснабжения</t>
  </si>
  <si>
    <t>Муниципальная  программа «Развитие культуры Белозерского муниципального района» на 2020 – 2025 годы</t>
  </si>
  <si>
    <t>34</t>
  </si>
  <si>
    <t>Основное мероприятие «Обеспечение развития системы дополнительного образования в сфере культуры и искусства, поиска, выявления, поддержки и развития одаренных детей»</t>
  </si>
  <si>
    <t>36</t>
  </si>
  <si>
    <t>Муниципальная программа «Молодежь Белозерья» на 2020-2025 годы</t>
  </si>
  <si>
    <t>Осуществление переданных полномочий по организации и осуществлению мероприятий по работе с детьми и молодежью</t>
  </si>
  <si>
    <t>Основное мероприятие «Содействие развитию молодежной инициативы, молодежного общественного движения, развитие форм интересного досуга и отдыха»</t>
  </si>
  <si>
    <t>Основное мероприятие "Патриотическое, правовое и духовно-нравственное воспитание молодежи. Профилактика негативных явлений в молодежной среде, пропаганда здорового образа жизни"</t>
  </si>
  <si>
    <t>Основное мероприятие "Повышение компетенций молодежи района путем участия в областных молодежных форумах и мероприятиях"</t>
  </si>
  <si>
    <t>20400</t>
  </si>
  <si>
    <t>Обеспечение развития и укрепления материально-технической базы сельских библиотек</t>
  </si>
  <si>
    <t>Основное мероприятие «Обеспечение сохранности, развитие и популяризация культурного наследия Белозерья, поддержка народного творчества»</t>
  </si>
  <si>
    <t>Мероприятия в сфере культуры</t>
  </si>
  <si>
    <t>Основное мероприятие "Оказание поддержки молодым семьям района"</t>
  </si>
  <si>
    <t>Реализация мероприятий по обеспечению жильем молодых семей</t>
  </si>
  <si>
    <t>S1750</t>
  </si>
  <si>
    <t>Осуществление мероприятий по приспособлению жилого помещения и общего имущества в многоквартирном доме с учетом потребностей инвалидов</t>
  </si>
  <si>
    <t>Муниципальная программа «Развитие физической культуры и спорта Белозерского муниципального района» на 2020– 2025 годы</t>
  </si>
  <si>
    <t>29</t>
  </si>
  <si>
    <t>P5</t>
  </si>
  <si>
    <t>Реализация мероприятий по оснащению объектов спортивной инфраструктуры спортивно-технологическим оборудованием</t>
  </si>
  <si>
    <t>Основное мероприятие «Организация отдыха и оздоровления детей, в том числе предоставление мер социальной поддержки по обеспечению отдыха и оздоровления отдельных категорий детей»</t>
  </si>
  <si>
    <t>Муниципальная  программа «Организация отдыха и занятости детей Белозерского муниципального района в каникулярное время на 2020-2025 годы»</t>
  </si>
  <si>
    <t>27</t>
  </si>
  <si>
    <t>E1</t>
  </si>
  <si>
    <t>S1690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</si>
  <si>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</si>
  <si>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E4</t>
  </si>
  <si>
    <t>S2100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</si>
  <si>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</si>
  <si>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                                                             и плановый период 2021 и 2022 годов" </t>
  </si>
  <si>
    <t xml:space="preserve">                                                             "О районном бюджете на  2020 год </t>
  </si>
  <si>
    <t>Осуществление полномочий по созданию условий для обеспечения жителей поселения услугами связи, общественного питания, торговли и бытового обслуживания,  содействию в развитии сельскохозяйственного производства, созданию условий для развития малого и средн</t>
  </si>
  <si>
    <t>Осуществление части полномочий по утверждению генер.планов, правил землепользования и застройки, выдача разрешений на строительство и ввод объектов в эксплуатацию, принятие решений о переводе жилых помещений в нежилые, согласование переустройства и перепл</t>
  </si>
  <si>
    <t>Осуществление части полномочий в части присвоения адресов объектам адресации, изменение адресов, аннулирование адресов, присвоение наименований элементам улично-дорожной сети, наименований элементам планировочной структуры в границах поселения, изменения,</t>
  </si>
  <si>
    <t>Основное мероприятие "Обеспечение деятельности финансового управления Белозерского муниципального района, как ответственного исполнителя муниципальной программы, организация и осуществление контроля за соблюдением законодательства РФ при использовании сре</t>
  </si>
  <si>
    <t>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</t>
  </si>
  <si>
    <t>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</t>
  </si>
  <si>
    <t>Расходы на осуществление переданных полномочий по содержанию муниципального жилищного фонда, обеспечения проживающих в поселении и нуждающихся в жилых помещениях малоимущих граждан жилыми помещениями, организация строительства муниципального жилищного фон</t>
  </si>
  <si>
    <t>Основное мероприятие "Меры социальной поддержки в виде выплаты денежной компенсации на оплату части расходов по найму (поднайму) жилого помещения, предусмотренного договором найма (поднайма) и расходы на оплату коммунальных услуг лицам, приглашенным из др</t>
  </si>
  <si>
    <t xml:space="preserve">Распределение бюджетных ассигнований по разделам, подразделам, целевым статьям (программам и непрограммным направлениям деятельности), группам  видов расходов на 2020 год </t>
  </si>
  <si>
    <t>Распределение бюджетных ассигнований по разделам, подразделам, целевым статьям (программам и непрограммным направлениям деятельности), группам  видов расходов на плановый период 2021 и 2022 годов</t>
  </si>
  <si>
    <t>Муниципальная программа «Управление муниципальными финансами Белозерского муниципального района на 2021-2025 годы»</t>
  </si>
  <si>
    <t>33</t>
  </si>
  <si>
    <t>47</t>
  </si>
  <si>
    <t>31</t>
  </si>
  <si>
    <t xml:space="preserve">Распределение бюджетных ассигнований по разделам, подразделам, целевым статьям и видам расходов в ведомственной структуре расходов районного бюджета на 2020 год </t>
  </si>
  <si>
    <t>Распределение бюджетных ассигнований по разделам, подразделам, целевым статьям и видам расходов в ведомственной структуре расходов районного бюджета на плановый период 2021 и 2022 годов</t>
  </si>
  <si>
    <t>Подпрограмма "Поддержание устойчивого исполнения местных бюджетов и повышение качества управления муниципальными финансами на 2021-2025 годы"</t>
  </si>
  <si>
    <t>Подпрограмма "Обеспечение реализации муниципальной программы "Управление муниципальными финансами Белозерского муниципального района на 2021-2025 годы"</t>
  </si>
  <si>
    <t>Основное мероприятие "Обеспечение деятельности подведомственного учреждения МКУ "Централизованная бухгалтерия"</t>
  </si>
  <si>
    <t>Подпрограмма "Обеспечение сбалансированности районного бюджета и повышение эффективности бюджетных расходов на 2021-2025 год"</t>
  </si>
  <si>
    <t>Внедрение и (или) эксплуатация аппаратно-программного комплекса "Безопасный город"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</si>
  <si>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</si>
  <si>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</si>
  <si>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</si>
  <si>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</si>
  <si>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Расходы на выплаты персоналу казенных учреждений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</si>
  <si>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</si>
  <si>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</si>
  <si>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</si>
  <si>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>62020</t>
  </si>
  <si>
    <t>Исполнение судебных актов</t>
  </si>
  <si>
    <t>03 0 00 00000</t>
  </si>
  <si>
    <t>027</t>
  </si>
  <si>
    <t>663</t>
  </si>
  <si>
    <t>03 0 01 00000</t>
  </si>
  <si>
    <t>03 0 01 20210</t>
  </si>
  <si>
    <t>04 0 00 00000</t>
  </si>
  <si>
    <t>04 0 02 00000</t>
  </si>
  <si>
    <t>04 0 03 00000</t>
  </si>
  <si>
    <t>04 0 04 00000</t>
  </si>
  <si>
    <t>06 0 05 13590</t>
  </si>
  <si>
    <t>Коммунальное хозяйство</t>
  </si>
  <si>
    <t>Осуществление дорожной деятельности в отношении автомобильных дорог общего пользования местного значения</t>
  </si>
  <si>
    <t>04 0 01 00000</t>
  </si>
  <si>
    <t>04 0 01 S1350</t>
  </si>
  <si>
    <t>Собрания района</t>
  </si>
  <si>
    <t>03 0 02 00000</t>
  </si>
  <si>
    <t>03 0 02 20210</t>
  </si>
  <si>
    <t>Муниципальная поддержка транспортных организаций</t>
  </si>
  <si>
    <t>S2270</t>
  </si>
  <si>
    <t>Софинансирование на реализацию мероприятий проекта "Народный бюджет"</t>
  </si>
  <si>
    <t>06 0 03 14590</t>
  </si>
  <si>
    <t>90190</t>
  </si>
  <si>
    <t>90200</t>
  </si>
  <si>
    <t>06 0 03 00190</t>
  </si>
  <si>
    <t>90210</t>
  </si>
  <si>
    <t>90220</t>
  </si>
  <si>
    <t>Осуществление части полномочий по утверждению генер.планов, правил землепользования и застройки, выдача разрешений на строительство и ввод объектов в эксплуатацию, принятие решений о переводе жилых помещений в нежилые, согласование переустройства и перепланировки жилых помещений, присвоение и изменение адресов объектам и др.</t>
  </si>
  <si>
    <t>Осуществление функций в сфере информационных технологий и защиты информации</t>
  </si>
  <si>
    <t>Субсидии автономным учреждениям</t>
  </si>
  <si>
    <t>04 0 05 00000</t>
  </si>
  <si>
    <t>90230</t>
  </si>
  <si>
    <t>Осуществление функций по ведению бюджетного (бухгалтерского) учета с составлением бюджетной (бухгалтерской) отчетности</t>
  </si>
  <si>
    <t>20300</t>
  </si>
  <si>
    <t>Мероприятия в сфере дорожного хозяйства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</si>
  <si>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</si>
  <si>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</si>
  <si>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Представительное Собрание района</t>
  </si>
  <si>
    <t>Расходы на обеспечение функций представительных органов</t>
  </si>
  <si>
    <t>72110</t>
  </si>
  <si>
    <t>Осуществление отдельных государственных полномочий в соответствии с законом области от 25.12.2013 №3248-ОЗ "О наделении органов местного самоуправления отдельными государственными полномочиями по предупреждению и ликвидации болезней животных"</t>
  </si>
  <si>
    <t>средств на реализацию муниципальных программ</t>
  </si>
  <si>
    <t>Реализация мероприятий по строительству объектов инженерной инфраструктуры</t>
  </si>
  <si>
    <t>S1600</t>
  </si>
  <si>
    <t>06 0 05 S1220</t>
  </si>
  <si>
    <t xml:space="preserve"> Иные закупки товаров, работ и услуг для обеспечения государственных (муниципальных) нужд</t>
  </si>
  <si>
    <t>Муниципальная программа «Развитие и совершенствование сети автомобильных дорог общего пользования муниципального значения Белозерского района на 2019-2021 годы»</t>
  </si>
  <si>
    <t>04 0 02 20300</t>
  </si>
  <si>
    <t>Основное мероприятие «Паспортизация автомобильных дорог, на которые отсутствует регистрация права»</t>
  </si>
  <si>
    <t>04 0 04 20300</t>
  </si>
  <si>
    <t>Основное мероприятие «Ремонт улично-дорожной сети западного района г.Белозерска»</t>
  </si>
  <si>
    <t>04 0 06 00000</t>
  </si>
  <si>
    <t>04 0 06 90030</t>
  </si>
  <si>
    <t xml:space="preserve"> Иные межбюджетные трансферты</t>
  </si>
  <si>
    <t xml:space="preserve"> Иные межбюджетные трансферты на капитальный ремонт и ремонт автомобильных дорог местного значения в границах населенных пунктов</t>
  </si>
  <si>
    <t xml:space="preserve"> Основное мероприятие «Передача полномочий администрациям сельских поселений на осуществление дорожной деятельности»</t>
  </si>
  <si>
    <t xml:space="preserve"> Основное мероприятие «Паспортизация автомобильных дорог, на которые отсутствует регистрация права»</t>
  </si>
  <si>
    <t xml:space="preserve"> Мероприятия в сфере дорожного хозяйства</t>
  </si>
  <si>
    <t>S2430</t>
  </si>
  <si>
    <t>20120</t>
  </si>
  <si>
    <t>Проведение археологических исследований земельных участков для проектирования, строительства, реконструкции и капитального ремонта объектов социальной инфраструктуры муниципальной собственности</t>
  </si>
  <si>
    <t xml:space="preserve"> Расходы на выплаты персоналу казенных учреждений</t>
  </si>
  <si>
    <t>Основное мероприятие "Строительство объектов инженерной инфраструктуры связи"</t>
  </si>
  <si>
    <t>72300</t>
  </si>
  <si>
    <t>Основное мероприятие "Развитие дополнительного образования детей, системы воспитания"</t>
  </si>
  <si>
    <t>Основное мероприятие "Модернизация сети муниципальных образовательных учреждений"</t>
  </si>
  <si>
    <t>20130</t>
  </si>
  <si>
    <t>Мероприятия по строительству объектов инженерной инфраструктуры</t>
  </si>
  <si>
    <t>S1800</t>
  </si>
  <si>
    <t>Проведение капитальных ремонтов домов культуры в сельских населенных пунктах, за исключением домов культуры, расположенных на территориях административных центров муниципальных районов</t>
  </si>
  <si>
    <t>46</t>
  </si>
  <si>
    <t>Благоустройство общественных территорий</t>
  </si>
  <si>
    <t>Муниципальная программа "Формирование современной городской среды на территории Белозерского муниципального района на 2019-2022 годы"</t>
  </si>
  <si>
    <t>Основное мероприятие "Благоустройство дворовых территорий многоквартирных домов, территорий общего пользования"</t>
  </si>
  <si>
    <t>46 0 00 00000</t>
  </si>
  <si>
    <t>Основное мероприятие "Обеспечение деятельности подведомственного учреждения БКУ "Централизованная бухгалтерия"</t>
  </si>
  <si>
    <t>11 4 02 00000</t>
  </si>
  <si>
    <t>11 4 02 00590</t>
  </si>
  <si>
    <t>11 4 02 90230</t>
  </si>
  <si>
    <t>S1050</t>
  </si>
  <si>
    <t>Приобретение специализированного автотранспорта для развития мобильной  торговли в малонаселенных и труднодоступных населенных пунктах</t>
  </si>
  <si>
    <t>20 0 01 S1050</t>
  </si>
  <si>
    <t>Обеспечение мероприятий по переселению граждан из аварийного жилищного фонда за счет средств Фонда содействия реформированию ЖКХ</t>
  </si>
  <si>
    <t>Обеспечение мероприятий по переселению граждан из аварийного жилищного фонда за счет средств областного бюджета</t>
  </si>
  <si>
    <t>74090</t>
  </si>
  <si>
    <t>Иные межбюджетные трансферты на комплектование книжных фондов муниципальных библиотек</t>
  </si>
  <si>
    <t>72310</t>
  </si>
  <si>
    <t>Единая субвенция бюджетам муниципальных образований области</t>
  </si>
  <si>
    <t>Муниципальная адресная программа по переселению граждан из аварийного жилищного фонда, расположенного на территории муниципального образования «Белозерский муниципальный район» на 2019-2025 годы</t>
  </si>
  <si>
    <t>F3</t>
  </si>
  <si>
    <t>F2</t>
  </si>
  <si>
    <t>55552</t>
  </si>
  <si>
    <t>67483</t>
  </si>
  <si>
    <t>67484</t>
  </si>
  <si>
    <t>26 0 F3 67484</t>
  </si>
  <si>
    <t>Основное мероприятие "Разработка проектов организации дорожного движения"</t>
  </si>
  <si>
    <t>6748S</t>
  </si>
  <si>
    <t>Обеспечение мероприятий по переселению граждан из аварийного жилищного фонда за счет средств районного бюджета</t>
  </si>
  <si>
    <t>26 0 F3 6748S</t>
  </si>
  <si>
    <t xml:space="preserve">                                                                  Приложение 5</t>
  </si>
  <si>
    <t xml:space="preserve">                                                                 "О районном бюджете на 2020 год и плановый </t>
  </si>
  <si>
    <t>Основное мероприятие "Ремонт улицы Галаничева г.Белозерска"</t>
  </si>
  <si>
    <t>04 0 09 00000</t>
  </si>
  <si>
    <t>04 0 09 S1350</t>
  </si>
  <si>
    <t>Основное мероприятие "Ямочный ремонт асфальтового покрытия улиц г.Белозерска"</t>
  </si>
  <si>
    <t>04 0 10 00000</t>
  </si>
  <si>
    <t>04 0 10 20300</t>
  </si>
  <si>
    <t>Приложение 4</t>
  </si>
  <si>
    <t>Мероприятия по благоустройству</t>
  </si>
  <si>
    <t>23050</t>
  </si>
  <si>
    <t>46 0 01 00000</t>
  </si>
  <si>
    <t>46 0 01 23050</t>
  </si>
  <si>
    <t>Приложение 6</t>
  </si>
  <si>
    <t xml:space="preserve">                                                                  Приложение 8</t>
  </si>
  <si>
    <t>61660</t>
  </si>
  <si>
    <t>Гранты в сфере культуры в соответствии с законом области от 27.02.2009 года № 1968-ОЗ "О государственных грантах Вологодской области в сфере культуры"</t>
  </si>
  <si>
    <t>07 0 07 61660</t>
  </si>
  <si>
    <t>L5192</t>
  </si>
  <si>
    <t>Проведение мероприятий по подключению муниципальных общедоступных библиотек к информационно-телекоммуникационной сети "Интернет" и развитие системы библиотечного дела с учетом задачи расширения информационных технологий и оцифровки</t>
  </si>
  <si>
    <t>34 0 01 L5192</t>
  </si>
  <si>
    <t>Осуществление переданных полномочий в области внешнего муниципального финансового контроля</t>
  </si>
  <si>
    <t xml:space="preserve"> Муниципальная  программа «Организация отдыха и занятости детей Белозерского муниципального района в каникулярное время на 2020-2025 годы»</t>
  </si>
  <si>
    <t xml:space="preserve"> Основное мероприятие «Организация временного трудоустройства несовершеннолетних граждан в возрасте от 14 до 18 лет в свободное от учебы время»</t>
  </si>
  <si>
    <t xml:space="preserve"> Субсидии бюджетным учреждениям</t>
  </si>
  <si>
    <t xml:space="preserve">  </t>
  </si>
  <si>
    <t>27 0 05 01590</t>
  </si>
  <si>
    <t>S1070</t>
  </si>
  <si>
    <t>Реализация мероприятий по соблюдению санитарно-эпидемиологических требований в условиях распространения новой коронавирусной инфекции (COVID-19) в общеобразовательных организациях области</t>
  </si>
  <si>
    <t>06 0 05 S1070</t>
  </si>
  <si>
    <t>Премии и гранты</t>
  </si>
  <si>
    <r>
      <t xml:space="preserve">                                                            от </t>
    </r>
    <r>
      <rPr>
        <u val="single"/>
        <sz val="12"/>
        <rFont val="Times New Roman"/>
        <family val="1"/>
      </rPr>
      <t>23.12.2019</t>
    </r>
    <r>
      <rPr>
        <sz val="12"/>
        <rFont val="Times New Roman"/>
        <family val="1"/>
      </rPr>
      <t xml:space="preserve"> №104  </t>
    </r>
  </si>
  <si>
    <t>L3041</t>
  </si>
  <si>
    <t>06 0 02 L3041</t>
  </si>
  <si>
    <t>Приложение 5</t>
  </si>
  <si>
    <t xml:space="preserve">                                                                  Приложение 7</t>
  </si>
  <si>
    <t>Основное мероприятие «Содержание автомобильных дорог общего пользования местного значения»</t>
  </si>
  <si>
    <t>S3040</t>
  </si>
  <si>
    <t>Строительство, реконструкция и капитальный ремонт централизованных систем водоснабжения и водоотведения</t>
  </si>
  <si>
    <t>32 0 01 S3040</t>
  </si>
  <si>
    <t>10 0 01 S3040</t>
  </si>
  <si>
    <t>06 0 05 15590</t>
  </si>
  <si>
    <t>Приложение 11</t>
  </si>
  <si>
    <t>Расходы по охране и комплексному использованию водных ресурсов, обеспечение населения качественной питьевой водой</t>
  </si>
  <si>
    <t>5549F</t>
  </si>
  <si>
    <t>Иные межбюджетные трансферты на поощрение за содействие достижению значений (уровней) показателей для оценки эффективности деятельности высших должностных лиц субъектов РФ и деятельности органов исполнительной власти субъектов РФ</t>
  </si>
  <si>
    <t>48 0 04 5549F</t>
  </si>
  <si>
    <t>06 0 06 5549F</t>
  </si>
  <si>
    <t>11 4 01 5549F</t>
  </si>
  <si>
    <t>04 0 11 00000</t>
  </si>
  <si>
    <t>04 0 11 20300</t>
  </si>
  <si>
    <t>Основное мероприятие "Разработка ПСД"</t>
  </si>
  <si>
    <t>Приложение 9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</si>
</sst>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000"/>
    <numFmt numFmtId="174" formatCode="00"/>
    <numFmt numFmtId="175" formatCode="0000000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#,##0.0_ ;[Red]\-#,##0.0\ "/>
    <numFmt numFmtId="183" formatCode="#,##0.0"/>
    <numFmt numFmtId="184" formatCode="[$-FC19]d\ mmmm\ yyyy\ &quot;г.&quot;"/>
    <numFmt numFmtId="185" formatCode="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3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i/>
      <sz val="12"/>
      <color indexed="8"/>
      <name val="Times New Roman"/>
      <family val="1"/>
    </font>
    <font>
      <u val="single"/>
      <sz val="12"/>
      <name val="Times New Roman"/>
      <family val="1"/>
    </font>
    <font>
      <b/>
      <i/>
      <sz val="14"/>
      <name val="Times New Roman"/>
      <family val="1"/>
    </font>
    <font>
      <b/>
      <i/>
      <sz val="13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 Narrow"/>
      <family val="2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414"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32" borderId="10" xfId="53" applyNumberFormat="1" applyFont="1" applyFill="1" applyBorder="1" applyAlignment="1" applyProtection="1">
      <alignment vertical="top" wrapText="1"/>
      <protection hidden="1"/>
    </xf>
    <xf numFmtId="0" fontId="11" fillId="0" borderId="11" xfId="53" applyNumberFormat="1" applyFont="1" applyFill="1" applyBorder="1" applyAlignment="1" applyProtection="1">
      <alignment vertical="top" wrapText="1"/>
      <protection hidden="1"/>
    </xf>
    <xf numFmtId="0" fontId="15" fillId="0" borderId="10" xfId="0" applyFont="1" applyBorder="1" applyAlignment="1">
      <alignment vertical="top" wrapText="1"/>
    </xf>
    <xf numFmtId="0" fontId="11" fillId="0" borderId="10" xfId="53" applyNumberFormat="1" applyFont="1" applyFill="1" applyBorder="1" applyAlignment="1" applyProtection="1">
      <alignment vertical="top" wrapText="1"/>
      <protection hidden="1"/>
    </xf>
    <xf numFmtId="173" fontId="11" fillId="0" borderId="10" xfId="53" applyNumberFormat="1" applyFont="1" applyFill="1" applyBorder="1" applyAlignment="1" applyProtection="1">
      <alignment horizontal="center" vertical="top"/>
      <protection hidden="1"/>
    </xf>
    <xf numFmtId="174" fontId="11" fillId="0" borderId="10" xfId="53" applyNumberFormat="1" applyFont="1" applyFill="1" applyBorder="1" applyAlignment="1" applyProtection="1">
      <alignment horizontal="center" vertical="top"/>
      <protection hidden="1"/>
    </xf>
    <xf numFmtId="173" fontId="11" fillId="0" borderId="12" xfId="53" applyNumberFormat="1" applyFont="1" applyFill="1" applyBorder="1" applyAlignment="1" applyProtection="1">
      <alignment horizontal="center" vertical="top"/>
      <protection hidden="1"/>
    </xf>
    <xf numFmtId="173" fontId="14" fillId="0" borderId="10" xfId="53" applyNumberFormat="1" applyFont="1" applyFill="1" applyBorder="1" applyAlignment="1" applyProtection="1">
      <alignment horizontal="center" vertical="top"/>
      <protection hidden="1"/>
    </xf>
    <xf numFmtId="173" fontId="11" fillId="0" borderId="13" xfId="53" applyNumberFormat="1" applyFont="1" applyFill="1" applyBorder="1" applyAlignment="1" applyProtection="1">
      <alignment horizontal="center" vertical="top"/>
      <protection hidden="1"/>
    </xf>
    <xf numFmtId="0" fontId="11" fillId="0" borderId="13" xfId="53" applyNumberFormat="1" applyFont="1" applyFill="1" applyBorder="1" applyAlignment="1" applyProtection="1">
      <alignment vertical="top" wrapText="1"/>
      <protection hidden="1"/>
    </xf>
    <xf numFmtId="0" fontId="10" fillId="0" borderId="0" xfId="53" applyFont="1">
      <alignment/>
      <protection/>
    </xf>
    <xf numFmtId="173" fontId="11" fillId="0" borderId="14" xfId="53" applyNumberFormat="1" applyFont="1" applyFill="1" applyBorder="1" applyAlignment="1" applyProtection="1">
      <alignment horizontal="center" vertical="top"/>
      <protection hidden="1"/>
    </xf>
    <xf numFmtId="173" fontId="12" fillId="0" borderId="13" xfId="53" applyNumberFormat="1" applyFont="1" applyFill="1" applyBorder="1" applyAlignment="1" applyProtection="1">
      <alignment horizontal="center" vertical="top"/>
      <protection hidden="1"/>
    </xf>
    <xf numFmtId="174" fontId="12" fillId="0" borderId="13" xfId="53" applyNumberFormat="1" applyFont="1" applyFill="1" applyBorder="1" applyAlignment="1" applyProtection="1">
      <alignment horizontal="center" vertical="top"/>
      <protection hidden="1"/>
    </xf>
    <xf numFmtId="174" fontId="11" fillId="0" borderId="13" xfId="53" applyNumberFormat="1" applyFont="1" applyFill="1" applyBorder="1" applyAlignment="1" applyProtection="1">
      <alignment horizontal="center" vertical="top"/>
      <protection hidden="1"/>
    </xf>
    <xf numFmtId="0" fontId="11" fillId="0" borderId="10" xfId="0" applyFont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174" fontId="11" fillId="0" borderId="14" xfId="53" applyNumberFormat="1" applyFont="1" applyFill="1" applyBorder="1" applyAlignment="1" applyProtection="1">
      <alignment horizontal="center" vertical="top"/>
      <protection hidden="1"/>
    </xf>
    <xf numFmtId="0" fontId="15" fillId="0" borderId="11" xfId="0" applyFont="1" applyFill="1" applyBorder="1" applyAlignment="1">
      <alignment vertical="top" wrapText="1"/>
    </xf>
    <xf numFmtId="174" fontId="11" fillId="0" borderId="12" xfId="53" applyNumberFormat="1" applyFont="1" applyFill="1" applyBorder="1" applyAlignment="1" applyProtection="1">
      <alignment horizontal="center" vertical="top"/>
      <protection hidden="1"/>
    </xf>
    <xf numFmtId="0" fontId="15" fillId="0" borderId="13" xfId="0" applyFont="1" applyFill="1" applyBorder="1" applyAlignment="1">
      <alignment vertical="top" wrapText="1"/>
    </xf>
    <xf numFmtId="173" fontId="11" fillId="0" borderId="15" xfId="53" applyNumberFormat="1" applyFont="1" applyFill="1" applyBorder="1" applyAlignment="1" applyProtection="1">
      <alignment horizontal="center" vertical="top"/>
      <protection hidden="1"/>
    </xf>
    <xf numFmtId="0" fontId="15" fillId="32" borderId="10" xfId="0" applyFont="1" applyFill="1" applyBorder="1" applyAlignment="1">
      <alignment vertical="top" wrapText="1"/>
    </xf>
    <xf numFmtId="173" fontId="11" fillId="0" borderId="16" xfId="53" applyNumberFormat="1" applyFont="1" applyFill="1" applyBorder="1" applyAlignment="1" applyProtection="1">
      <alignment horizontal="center" vertical="top"/>
      <protection hidden="1"/>
    </xf>
    <xf numFmtId="174" fontId="11" fillId="0" borderId="17" xfId="53" applyNumberFormat="1" applyFont="1" applyFill="1" applyBorder="1" applyAlignment="1" applyProtection="1">
      <alignment horizontal="center" vertical="top"/>
      <protection hidden="1"/>
    </xf>
    <xf numFmtId="173" fontId="11" fillId="0" borderId="18" xfId="53" applyNumberFormat="1" applyFont="1" applyFill="1" applyBorder="1" applyAlignment="1" applyProtection="1">
      <alignment horizontal="center" vertical="top"/>
      <protection hidden="1"/>
    </xf>
    <xf numFmtId="173" fontId="12" fillId="0" borderId="10" xfId="53" applyNumberFormat="1" applyFont="1" applyFill="1" applyBorder="1" applyAlignment="1" applyProtection="1">
      <alignment horizontal="center" vertical="top"/>
      <protection hidden="1"/>
    </xf>
    <xf numFmtId="0" fontId="11" fillId="32" borderId="17" xfId="53" applyNumberFormat="1" applyFont="1" applyFill="1" applyBorder="1" applyAlignment="1" applyProtection="1">
      <alignment vertical="top" wrapText="1"/>
      <protection hidden="1"/>
    </xf>
    <xf numFmtId="0" fontId="11" fillId="0" borderId="16" xfId="53" applyNumberFormat="1" applyFont="1" applyFill="1" applyBorder="1" applyAlignment="1" applyProtection="1">
      <alignment vertical="top" wrapText="1"/>
      <protection hidden="1"/>
    </xf>
    <xf numFmtId="0" fontId="10" fillId="0" borderId="0" xfId="53" applyFont="1" applyFill="1">
      <alignment/>
      <protection/>
    </xf>
    <xf numFmtId="0" fontId="11" fillId="32" borderId="19" xfId="53" applyNumberFormat="1" applyFont="1" applyFill="1" applyBorder="1" applyAlignment="1" applyProtection="1">
      <alignment vertical="top" wrapText="1"/>
      <protection hidden="1"/>
    </xf>
    <xf numFmtId="0" fontId="12" fillId="0" borderId="13" xfId="53" applyNumberFormat="1" applyFont="1" applyFill="1" applyBorder="1" applyAlignment="1" applyProtection="1">
      <alignment vertical="top" wrapText="1"/>
      <protection hidden="1"/>
    </xf>
    <xf numFmtId="0" fontId="11" fillId="0" borderId="13" xfId="54" applyNumberFormat="1" applyFont="1" applyFill="1" applyBorder="1" applyAlignment="1" applyProtection="1">
      <alignment vertical="top" wrapText="1"/>
      <protection hidden="1"/>
    </xf>
    <xf numFmtId="49" fontId="11" fillId="0" borderId="0" xfId="0" applyNumberFormat="1" applyFont="1" applyAlignment="1">
      <alignment vertical="top" wrapText="1"/>
    </xf>
    <xf numFmtId="0" fontId="11" fillId="0" borderId="0" xfId="0" applyFont="1" applyAlignment="1">
      <alignment vertical="top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vertical="top"/>
    </xf>
    <xf numFmtId="183" fontId="11" fillId="0" borderId="0" xfId="56" applyNumberFormat="1" applyFont="1" applyAlignment="1">
      <alignment horizontal="left"/>
      <protection/>
    </xf>
    <xf numFmtId="0" fontId="11" fillId="0" borderId="0" xfId="56" applyFont="1" applyAlignment="1">
      <alignment vertical="top"/>
      <protection/>
    </xf>
    <xf numFmtId="49" fontId="11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/>
    </xf>
    <xf numFmtId="0" fontId="11" fillId="0" borderId="0" xfId="0" applyFont="1" applyAlignment="1">
      <alignment horizontal="center"/>
    </xf>
    <xf numFmtId="49" fontId="14" fillId="0" borderId="10" xfId="0" applyNumberFormat="1" applyFont="1" applyBorder="1" applyAlignment="1">
      <alignment vertical="top" wrapText="1"/>
    </xf>
    <xf numFmtId="49" fontId="14" fillId="0" borderId="10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vertical="top" wrapText="1"/>
    </xf>
    <xf numFmtId="49" fontId="14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0" fontId="11" fillId="0" borderId="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vertical="top" wrapText="1"/>
    </xf>
    <xf numFmtId="0" fontId="11" fillId="0" borderId="13" xfId="56" applyNumberFormat="1" applyFont="1" applyFill="1" applyBorder="1" applyAlignment="1" applyProtection="1">
      <alignment vertical="top" wrapText="1"/>
      <protection hidden="1"/>
    </xf>
    <xf numFmtId="0" fontId="11" fillId="0" borderId="10" xfId="0" applyFont="1" applyFill="1" applyBorder="1" applyAlignment="1">
      <alignment vertical="top" wrapText="1"/>
    </xf>
    <xf numFmtId="0" fontId="14" fillId="0" borderId="10" xfId="56" applyNumberFormat="1" applyFont="1" applyFill="1" applyBorder="1" applyAlignment="1" applyProtection="1">
      <alignment vertical="top" wrapText="1"/>
      <protection hidden="1"/>
    </xf>
    <xf numFmtId="0" fontId="11" fillId="0" borderId="10" xfId="56" applyNumberFormat="1" applyFont="1" applyFill="1" applyBorder="1" applyAlignment="1" applyProtection="1">
      <alignment vertical="top" wrapText="1"/>
      <protection hidden="1"/>
    </xf>
    <xf numFmtId="0" fontId="11" fillId="0" borderId="11" xfId="56" applyNumberFormat="1" applyFont="1" applyFill="1" applyBorder="1" applyAlignment="1" applyProtection="1">
      <alignment vertical="top" wrapText="1"/>
      <protection hidden="1"/>
    </xf>
    <xf numFmtId="49" fontId="11" fillId="0" borderId="11" xfId="0" applyNumberFormat="1" applyFont="1" applyBorder="1" applyAlignment="1">
      <alignment horizontal="center" vertical="top"/>
    </xf>
    <xf numFmtId="0" fontId="14" fillId="0" borderId="11" xfId="56" applyNumberFormat="1" applyFont="1" applyFill="1" applyBorder="1" applyAlignment="1" applyProtection="1">
      <alignment vertical="top" wrapText="1"/>
      <protection hidden="1"/>
    </xf>
    <xf numFmtId="49" fontId="14" fillId="0" borderId="11" xfId="0" applyNumberFormat="1" applyFont="1" applyBorder="1" applyAlignment="1">
      <alignment horizontal="center" vertical="top"/>
    </xf>
    <xf numFmtId="0" fontId="14" fillId="0" borderId="0" xfId="0" applyFont="1" applyAlignment="1">
      <alignment/>
    </xf>
    <xf numFmtId="0" fontId="14" fillId="0" borderId="13" xfId="53" applyNumberFormat="1" applyFont="1" applyFill="1" applyBorder="1" applyAlignment="1" applyProtection="1">
      <alignment vertical="top" wrapText="1"/>
      <protection hidden="1"/>
    </xf>
    <xf numFmtId="49" fontId="11" fillId="0" borderId="0" xfId="0" applyNumberFormat="1" applyFont="1" applyBorder="1" applyAlignment="1">
      <alignment vertical="top" wrapText="1"/>
    </xf>
    <xf numFmtId="183" fontId="10" fillId="0" borderId="0" xfId="53" applyNumberFormat="1" applyFont="1" applyFill="1" applyAlignment="1">
      <alignment horizontal="center" vertical="top"/>
      <protection/>
    </xf>
    <xf numFmtId="0" fontId="11" fillId="0" borderId="0" xfId="53" applyFont="1" applyFill="1" applyProtection="1">
      <alignment/>
      <protection hidden="1"/>
    </xf>
    <xf numFmtId="0" fontId="11" fillId="0" borderId="0" xfId="53" applyFont="1" applyFill="1" applyAlignment="1" applyProtection="1">
      <alignment horizontal="justify" vertical="top"/>
      <protection hidden="1"/>
    </xf>
    <xf numFmtId="0" fontId="11" fillId="0" borderId="0" xfId="53" applyNumberFormat="1" applyFont="1" applyFill="1" applyAlignment="1" applyProtection="1">
      <alignment horizontal="left" vertical="center"/>
      <protection hidden="1"/>
    </xf>
    <xf numFmtId="0" fontId="11" fillId="0" borderId="0" xfId="53" applyNumberFormat="1" applyFont="1" applyFill="1" applyAlignment="1" applyProtection="1">
      <alignment horizontal="left" vertical="top"/>
      <protection hidden="1"/>
    </xf>
    <xf numFmtId="49" fontId="11" fillId="0" borderId="0" xfId="53" applyNumberFormat="1" applyFont="1" applyFill="1" applyAlignment="1" applyProtection="1">
      <alignment horizontal="left" vertical="top"/>
      <protection hidden="1"/>
    </xf>
    <xf numFmtId="183" fontId="11" fillId="0" borderId="0" xfId="53" applyNumberFormat="1" applyFont="1" applyFill="1" applyAlignment="1" applyProtection="1">
      <alignment horizontal="left" vertical="top"/>
      <protection hidden="1"/>
    </xf>
    <xf numFmtId="0" fontId="11" fillId="0" borderId="0" xfId="53" applyFont="1" applyFill="1" applyAlignment="1" applyProtection="1">
      <alignment horizontal="center" vertical="top"/>
      <protection hidden="1"/>
    </xf>
    <xf numFmtId="0" fontId="11" fillId="0" borderId="0" xfId="53" applyFont="1" applyFill="1" applyAlignment="1" applyProtection="1">
      <alignment horizontal="left" vertical="top"/>
      <protection hidden="1"/>
    </xf>
    <xf numFmtId="0" fontId="14" fillId="0" borderId="0" xfId="53" applyNumberFormat="1" applyFont="1" applyFill="1" applyProtection="1">
      <alignment/>
      <protection hidden="1"/>
    </xf>
    <xf numFmtId="49" fontId="11" fillId="0" borderId="0" xfId="53" applyNumberFormat="1" applyFont="1" applyFill="1" applyAlignment="1" applyProtection="1">
      <alignment horizontal="center" vertical="top"/>
      <protection hidden="1"/>
    </xf>
    <xf numFmtId="0" fontId="11" fillId="0" borderId="20" xfId="53" applyFont="1" applyFill="1" applyBorder="1" applyProtection="1">
      <alignment/>
      <protection hidden="1"/>
    </xf>
    <xf numFmtId="0" fontId="11" fillId="0" borderId="21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22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53" applyNumberFormat="1" applyFont="1" applyFill="1" applyBorder="1" applyAlignment="1" applyProtection="1">
      <alignment horizontal="center" vertical="center"/>
      <protection hidden="1"/>
    </xf>
    <xf numFmtId="0" fontId="11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23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11" fillId="0" borderId="12" xfId="53" applyNumberFormat="1" applyFont="1" applyFill="1" applyBorder="1" applyAlignment="1" applyProtection="1">
      <alignment horizontal="center" vertical="top"/>
      <protection hidden="1"/>
    </xf>
    <xf numFmtId="0" fontId="11" fillId="0" borderId="10" xfId="53" applyNumberFormat="1" applyFont="1" applyFill="1" applyBorder="1" applyAlignment="1" applyProtection="1">
      <alignment horizontal="center" vertical="top"/>
      <protection hidden="1"/>
    </xf>
    <xf numFmtId="49" fontId="11" fillId="0" borderId="10" xfId="53" applyNumberFormat="1" applyFont="1" applyFill="1" applyBorder="1" applyAlignment="1" applyProtection="1">
      <alignment horizontal="center" vertical="top" wrapText="1"/>
      <protection hidden="1"/>
    </xf>
    <xf numFmtId="176" fontId="14" fillId="0" borderId="11" xfId="53" applyNumberFormat="1" applyFont="1" applyFill="1" applyBorder="1" applyAlignment="1" applyProtection="1">
      <alignment wrapText="1"/>
      <protection hidden="1"/>
    </xf>
    <xf numFmtId="173" fontId="11" fillId="0" borderId="24" xfId="53" applyNumberFormat="1" applyFont="1" applyFill="1" applyBorder="1" applyAlignment="1" applyProtection="1">
      <alignment wrapText="1"/>
      <protection hidden="1"/>
    </xf>
    <xf numFmtId="173" fontId="14" fillId="0" borderId="13" xfId="53" applyNumberFormat="1" applyFont="1" applyFill="1" applyBorder="1" applyAlignment="1" applyProtection="1">
      <alignment horizontal="center" vertical="top"/>
      <protection hidden="1"/>
    </xf>
    <xf numFmtId="174" fontId="14" fillId="0" borderId="13" xfId="53" applyNumberFormat="1" applyFont="1" applyFill="1" applyBorder="1" applyAlignment="1" applyProtection="1">
      <alignment horizontal="center" vertical="top"/>
      <protection hidden="1"/>
    </xf>
    <xf numFmtId="49" fontId="14" fillId="0" borderId="13" xfId="53" applyNumberFormat="1" applyFont="1" applyFill="1" applyBorder="1" applyAlignment="1" applyProtection="1">
      <alignment horizontal="center" vertical="top"/>
      <protection hidden="1"/>
    </xf>
    <xf numFmtId="49" fontId="14" fillId="0" borderId="14" xfId="53" applyNumberFormat="1" applyFont="1" applyFill="1" applyBorder="1" applyAlignment="1" applyProtection="1">
      <alignment horizontal="center" vertical="top"/>
      <protection hidden="1"/>
    </xf>
    <xf numFmtId="176" fontId="11" fillId="0" borderId="11" xfId="53" applyNumberFormat="1" applyFont="1" applyFill="1" applyBorder="1" applyAlignment="1" applyProtection="1">
      <alignment wrapText="1"/>
      <protection hidden="1"/>
    </xf>
    <xf numFmtId="49" fontId="11" fillId="0" borderId="13" xfId="53" applyNumberFormat="1" applyFont="1" applyFill="1" applyBorder="1" applyAlignment="1" applyProtection="1">
      <alignment horizontal="center" vertical="top"/>
      <protection hidden="1"/>
    </xf>
    <xf numFmtId="49" fontId="11" fillId="0" borderId="14" xfId="53" applyNumberFormat="1" applyFont="1" applyFill="1" applyBorder="1" applyAlignment="1" applyProtection="1">
      <alignment horizontal="center" vertical="top"/>
      <protection hidden="1"/>
    </xf>
    <xf numFmtId="176" fontId="11" fillId="0" borderId="17" xfId="53" applyNumberFormat="1" applyFont="1" applyFill="1" applyBorder="1" applyAlignment="1" applyProtection="1">
      <alignment wrapText="1"/>
      <protection hidden="1"/>
    </xf>
    <xf numFmtId="176" fontId="11" fillId="0" borderId="24" xfId="53" applyNumberFormat="1" applyFont="1" applyFill="1" applyBorder="1" applyAlignment="1" applyProtection="1">
      <alignment wrapText="1"/>
      <protection hidden="1"/>
    </xf>
    <xf numFmtId="176" fontId="14" fillId="0" borderId="17" xfId="53" applyNumberFormat="1" applyFont="1" applyFill="1" applyBorder="1" applyAlignment="1" applyProtection="1">
      <alignment wrapText="1"/>
      <protection hidden="1"/>
    </xf>
    <xf numFmtId="175" fontId="11" fillId="0" borderId="11" xfId="53" applyNumberFormat="1" applyFont="1" applyFill="1" applyBorder="1" applyAlignment="1" applyProtection="1">
      <alignment wrapText="1"/>
      <protection hidden="1"/>
    </xf>
    <xf numFmtId="175" fontId="11" fillId="0" borderId="24" xfId="53" applyNumberFormat="1" applyFont="1" applyFill="1" applyBorder="1" applyAlignment="1" applyProtection="1">
      <alignment wrapText="1"/>
      <protection hidden="1"/>
    </xf>
    <xf numFmtId="175" fontId="11" fillId="0" borderId="25" xfId="53" applyNumberFormat="1" applyFont="1" applyFill="1" applyBorder="1" applyAlignment="1" applyProtection="1">
      <alignment wrapText="1"/>
      <protection hidden="1"/>
    </xf>
    <xf numFmtId="176" fontId="11" fillId="0" borderId="16" xfId="53" applyNumberFormat="1" applyFont="1" applyFill="1" applyBorder="1" applyAlignment="1" applyProtection="1">
      <alignment wrapText="1"/>
      <protection hidden="1"/>
    </xf>
    <xf numFmtId="0" fontId="11" fillId="0" borderId="25" xfId="53" applyNumberFormat="1" applyFont="1" applyFill="1" applyBorder="1" applyAlignment="1" applyProtection="1">
      <alignment wrapText="1"/>
      <protection hidden="1"/>
    </xf>
    <xf numFmtId="173" fontId="11" fillId="0" borderId="17" xfId="53" applyNumberFormat="1" applyFont="1" applyFill="1" applyBorder="1" applyAlignment="1" applyProtection="1">
      <alignment wrapText="1"/>
      <protection hidden="1"/>
    </xf>
    <xf numFmtId="176" fontId="11" fillId="0" borderId="19" xfId="53" applyNumberFormat="1" applyFont="1" applyFill="1" applyBorder="1" applyAlignment="1" applyProtection="1">
      <alignment wrapText="1"/>
      <protection hidden="1"/>
    </xf>
    <xf numFmtId="175" fontId="11" fillId="0" borderId="0" xfId="53" applyNumberFormat="1" applyFont="1" applyFill="1" applyBorder="1" applyAlignment="1" applyProtection="1">
      <alignment wrapText="1"/>
      <protection hidden="1"/>
    </xf>
    <xf numFmtId="0" fontId="11" fillId="0" borderId="10" xfId="53" applyFont="1" applyFill="1" applyBorder="1" applyAlignment="1">
      <alignment vertical="top" wrapText="1"/>
      <protection/>
    </xf>
    <xf numFmtId="175" fontId="11" fillId="0" borderId="0" xfId="53" applyNumberFormat="1" applyFont="1" applyFill="1" applyAlignment="1" applyProtection="1">
      <alignment wrapText="1"/>
      <protection hidden="1"/>
    </xf>
    <xf numFmtId="176" fontId="14" fillId="0" borderId="25" xfId="53" applyNumberFormat="1" applyFont="1" applyFill="1" applyBorder="1" applyAlignment="1" applyProtection="1">
      <alignment wrapText="1"/>
      <protection hidden="1"/>
    </xf>
    <xf numFmtId="176" fontId="11" fillId="0" borderId="0" xfId="53" applyNumberFormat="1" applyFont="1" applyFill="1" applyBorder="1" applyAlignment="1" applyProtection="1">
      <alignment wrapText="1"/>
      <protection hidden="1"/>
    </xf>
    <xf numFmtId="176" fontId="11" fillId="0" borderId="0" xfId="53" applyNumberFormat="1" applyFont="1" applyFill="1" applyAlignment="1" applyProtection="1">
      <alignment wrapText="1"/>
      <protection hidden="1"/>
    </xf>
    <xf numFmtId="0" fontId="11" fillId="0" borderId="17" xfId="53" applyNumberFormat="1" applyFont="1" applyFill="1" applyBorder="1" applyAlignment="1" applyProtection="1">
      <alignment wrapText="1"/>
      <protection hidden="1"/>
    </xf>
    <xf numFmtId="176" fontId="11" fillId="0" borderId="25" xfId="53" applyNumberFormat="1" applyFont="1" applyFill="1" applyBorder="1" applyAlignment="1" applyProtection="1">
      <alignment wrapText="1"/>
      <protection hidden="1"/>
    </xf>
    <xf numFmtId="175" fontId="11" fillId="0" borderId="17" xfId="53" applyNumberFormat="1" applyFont="1" applyFill="1" applyBorder="1" applyAlignment="1" applyProtection="1">
      <alignment wrapText="1"/>
      <protection hidden="1"/>
    </xf>
    <xf numFmtId="0" fontId="11" fillId="0" borderId="10" xfId="0" applyNumberFormat="1" applyFont="1" applyFill="1" applyBorder="1" applyAlignment="1" applyProtection="1">
      <alignment vertical="top" wrapText="1"/>
      <protection/>
    </xf>
    <xf numFmtId="0" fontId="11" fillId="0" borderId="0" xfId="53" applyNumberFormat="1" applyFont="1" applyFill="1" applyBorder="1" applyAlignment="1" applyProtection="1">
      <alignment vertical="top" wrapText="1"/>
      <protection hidden="1"/>
    </xf>
    <xf numFmtId="0" fontId="11" fillId="32" borderId="13" xfId="53" applyNumberFormat="1" applyFont="1" applyFill="1" applyBorder="1" applyAlignment="1" applyProtection="1">
      <alignment vertical="top" wrapText="1"/>
      <protection hidden="1"/>
    </xf>
    <xf numFmtId="49" fontId="11" fillId="0" borderId="15" xfId="53" applyNumberFormat="1" applyFont="1" applyFill="1" applyBorder="1" applyAlignment="1" applyProtection="1">
      <alignment horizontal="center" vertical="top"/>
      <protection hidden="1"/>
    </xf>
    <xf numFmtId="49" fontId="11" fillId="0" borderId="23" xfId="53" applyNumberFormat="1" applyFont="1" applyFill="1" applyBorder="1" applyAlignment="1" applyProtection="1">
      <alignment horizontal="center" vertical="top"/>
      <protection hidden="1"/>
    </xf>
    <xf numFmtId="174" fontId="11" fillId="0" borderId="18" xfId="53" applyNumberFormat="1" applyFont="1" applyFill="1" applyBorder="1" applyAlignment="1" applyProtection="1">
      <alignment horizontal="center" vertical="top"/>
      <protection hidden="1"/>
    </xf>
    <xf numFmtId="49" fontId="11" fillId="0" borderId="17" xfId="53" applyNumberFormat="1" applyFont="1" applyFill="1" applyBorder="1" applyAlignment="1" applyProtection="1">
      <alignment horizontal="center" vertical="top"/>
      <protection hidden="1"/>
    </xf>
    <xf numFmtId="49" fontId="11" fillId="0" borderId="24" xfId="53" applyNumberFormat="1" applyFont="1" applyFill="1" applyBorder="1" applyAlignment="1" applyProtection="1">
      <alignment horizontal="center" vertical="top"/>
      <protection hidden="1"/>
    </xf>
    <xf numFmtId="49" fontId="11" fillId="0" borderId="12" xfId="53" applyNumberFormat="1" applyFont="1" applyFill="1" applyBorder="1" applyAlignment="1" applyProtection="1">
      <alignment horizontal="center" vertical="top"/>
      <protection hidden="1"/>
    </xf>
    <xf numFmtId="0" fontId="14" fillId="0" borderId="10" xfId="53" applyNumberFormat="1" applyFont="1" applyFill="1" applyBorder="1" applyAlignment="1" applyProtection="1">
      <alignment vertical="top" wrapText="1"/>
      <protection hidden="1"/>
    </xf>
    <xf numFmtId="0" fontId="3" fillId="0" borderId="0" xfId="0" applyFont="1" applyAlignment="1">
      <alignment horizontal="center" vertical="top"/>
    </xf>
    <xf numFmtId="174" fontId="14" fillId="0" borderId="10" xfId="53" applyNumberFormat="1" applyFont="1" applyFill="1" applyBorder="1" applyAlignment="1" applyProtection="1">
      <alignment horizontal="center" vertical="top"/>
      <protection hidden="1"/>
    </xf>
    <xf numFmtId="0" fontId="15" fillId="0" borderId="0" xfId="0" applyFont="1" applyFill="1" applyBorder="1" applyAlignment="1">
      <alignment vertical="top" wrapText="1"/>
    </xf>
    <xf numFmtId="0" fontId="11" fillId="0" borderId="12" xfId="53" applyNumberFormat="1" applyFont="1" applyFill="1" applyBorder="1" applyAlignment="1" applyProtection="1">
      <alignment vertical="top" wrapText="1"/>
      <protection hidden="1"/>
    </xf>
    <xf numFmtId="0" fontId="17" fillId="0" borderId="0" xfId="53" applyFont="1" applyFill="1">
      <alignment/>
      <protection/>
    </xf>
    <xf numFmtId="173" fontId="14" fillId="0" borderId="15" xfId="53" applyNumberFormat="1" applyFont="1" applyFill="1" applyBorder="1" applyAlignment="1" applyProtection="1">
      <alignment horizontal="center" vertical="top"/>
      <protection hidden="1"/>
    </xf>
    <xf numFmtId="173" fontId="13" fillId="0" borderId="24" xfId="53" applyNumberFormat="1" applyFont="1" applyFill="1" applyBorder="1" applyAlignment="1" applyProtection="1">
      <alignment wrapText="1"/>
      <protection hidden="1"/>
    </xf>
    <xf numFmtId="49" fontId="12" fillId="0" borderId="13" xfId="53" applyNumberFormat="1" applyFont="1" applyFill="1" applyBorder="1" applyAlignment="1" applyProtection="1">
      <alignment horizontal="center" vertical="top"/>
      <protection hidden="1"/>
    </xf>
    <xf numFmtId="49" fontId="12" fillId="0" borderId="14" xfId="53" applyNumberFormat="1" applyFont="1" applyFill="1" applyBorder="1" applyAlignment="1" applyProtection="1">
      <alignment horizontal="center" vertical="top"/>
      <protection hidden="1"/>
    </xf>
    <xf numFmtId="176" fontId="19" fillId="0" borderId="11" xfId="53" applyNumberFormat="1" applyFont="1" applyFill="1" applyBorder="1" applyAlignment="1" applyProtection="1">
      <alignment wrapText="1"/>
      <protection hidden="1"/>
    </xf>
    <xf numFmtId="173" fontId="19" fillId="0" borderId="24" xfId="53" applyNumberFormat="1" applyFont="1" applyFill="1" applyBorder="1" applyAlignment="1" applyProtection="1">
      <alignment wrapText="1"/>
      <protection hidden="1"/>
    </xf>
    <xf numFmtId="0" fontId="19" fillId="0" borderId="13" xfId="53" applyNumberFormat="1" applyFont="1" applyFill="1" applyBorder="1" applyAlignment="1" applyProtection="1">
      <alignment vertical="top" wrapText="1"/>
      <protection hidden="1"/>
    </xf>
    <xf numFmtId="173" fontId="19" fillId="0" borderId="13" xfId="53" applyNumberFormat="1" applyFont="1" applyFill="1" applyBorder="1" applyAlignment="1" applyProtection="1">
      <alignment horizontal="center" vertical="top"/>
      <protection hidden="1"/>
    </xf>
    <xf numFmtId="174" fontId="19" fillId="0" borderId="13" xfId="53" applyNumberFormat="1" applyFont="1" applyFill="1" applyBorder="1" applyAlignment="1" applyProtection="1">
      <alignment horizontal="center" vertical="top"/>
      <protection hidden="1"/>
    </xf>
    <xf numFmtId="49" fontId="19" fillId="0" borderId="13" xfId="53" applyNumberFormat="1" applyFont="1" applyFill="1" applyBorder="1" applyAlignment="1" applyProtection="1">
      <alignment horizontal="center" vertical="top"/>
      <protection hidden="1"/>
    </xf>
    <xf numFmtId="49" fontId="19" fillId="0" borderId="14" xfId="53" applyNumberFormat="1" applyFont="1" applyFill="1" applyBorder="1" applyAlignment="1" applyProtection="1">
      <alignment horizontal="center" vertical="top"/>
      <protection hidden="1"/>
    </xf>
    <xf numFmtId="176" fontId="19" fillId="0" borderId="17" xfId="53" applyNumberFormat="1" applyFont="1" applyFill="1" applyBorder="1" applyAlignment="1" applyProtection="1">
      <alignment wrapText="1"/>
      <protection hidden="1"/>
    </xf>
    <xf numFmtId="176" fontId="19" fillId="0" borderId="24" xfId="53" applyNumberFormat="1" applyFont="1" applyFill="1" applyBorder="1" applyAlignment="1" applyProtection="1">
      <alignment wrapText="1"/>
      <protection hidden="1"/>
    </xf>
    <xf numFmtId="175" fontId="19" fillId="0" borderId="0" xfId="53" applyNumberFormat="1" applyFont="1" applyFill="1" applyAlignment="1" applyProtection="1">
      <alignment wrapText="1"/>
      <protection hidden="1"/>
    </xf>
    <xf numFmtId="0" fontId="19" fillId="0" borderId="25" xfId="53" applyNumberFormat="1" applyFont="1" applyFill="1" applyBorder="1" applyAlignment="1" applyProtection="1">
      <alignment wrapText="1"/>
      <protection hidden="1"/>
    </xf>
    <xf numFmtId="173" fontId="19" fillId="0" borderId="10" xfId="53" applyNumberFormat="1" applyFont="1" applyFill="1" applyBorder="1" applyAlignment="1" applyProtection="1">
      <alignment horizontal="center" vertical="top"/>
      <protection hidden="1"/>
    </xf>
    <xf numFmtId="174" fontId="19" fillId="0" borderId="14" xfId="53" applyNumberFormat="1" applyFont="1" applyFill="1" applyBorder="1" applyAlignment="1" applyProtection="1">
      <alignment horizontal="center" vertical="top"/>
      <protection hidden="1"/>
    </xf>
    <xf numFmtId="174" fontId="19" fillId="0" borderId="10" xfId="53" applyNumberFormat="1" applyFont="1" applyFill="1" applyBorder="1" applyAlignment="1" applyProtection="1">
      <alignment horizontal="center" vertical="top"/>
      <protection hidden="1"/>
    </xf>
    <xf numFmtId="0" fontId="19" fillId="0" borderId="10" xfId="53" applyNumberFormat="1" applyFont="1" applyFill="1" applyBorder="1" applyAlignment="1" applyProtection="1">
      <alignment vertical="top" wrapText="1"/>
      <protection hidden="1"/>
    </xf>
    <xf numFmtId="175" fontId="19" fillId="0" borderId="24" xfId="53" applyNumberFormat="1" applyFont="1" applyFill="1" applyBorder="1" applyAlignment="1" applyProtection="1">
      <alignment wrapText="1"/>
      <protection hidden="1"/>
    </xf>
    <xf numFmtId="175" fontId="19" fillId="0" borderId="17" xfId="53" applyNumberFormat="1" applyFont="1" applyFill="1" applyBorder="1" applyAlignment="1" applyProtection="1">
      <alignment wrapText="1"/>
      <protection hidden="1"/>
    </xf>
    <xf numFmtId="173" fontId="19" fillId="0" borderId="12" xfId="53" applyNumberFormat="1" applyFont="1" applyFill="1" applyBorder="1" applyAlignment="1" applyProtection="1">
      <alignment horizontal="center" vertical="top"/>
      <protection hidden="1"/>
    </xf>
    <xf numFmtId="176" fontId="19" fillId="0" borderId="16" xfId="53" applyNumberFormat="1" applyFont="1" applyFill="1" applyBorder="1" applyAlignment="1" applyProtection="1">
      <alignment wrapText="1"/>
      <protection hidden="1"/>
    </xf>
    <xf numFmtId="0" fontId="19" fillId="0" borderId="17" xfId="53" applyNumberFormat="1" applyFont="1" applyFill="1" applyBorder="1" applyAlignment="1" applyProtection="1">
      <alignment wrapText="1"/>
      <protection hidden="1"/>
    </xf>
    <xf numFmtId="173" fontId="19" fillId="0" borderId="17" xfId="53" applyNumberFormat="1" applyFont="1" applyFill="1" applyBorder="1" applyAlignment="1" applyProtection="1">
      <alignment wrapText="1"/>
      <protection hidden="1"/>
    </xf>
    <xf numFmtId="174" fontId="19" fillId="0" borderId="12" xfId="53" applyNumberFormat="1" applyFont="1" applyFill="1" applyBorder="1" applyAlignment="1" applyProtection="1">
      <alignment horizontal="center" vertical="top"/>
      <protection hidden="1"/>
    </xf>
    <xf numFmtId="176" fontId="19" fillId="0" borderId="19" xfId="53" applyNumberFormat="1" applyFont="1" applyFill="1" applyBorder="1" applyAlignment="1" applyProtection="1">
      <alignment wrapText="1"/>
      <protection hidden="1"/>
    </xf>
    <xf numFmtId="176" fontId="12" fillId="0" borderId="17" xfId="53" applyNumberFormat="1" applyFont="1" applyFill="1" applyBorder="1" applyAlignment="1" applyProtection="1">
      <alignment wrapText="1"/>
      <protection hidden="1"/>
    </xf>
    <xf numFmtId="176" fontId="13" fillId="0" borderId="24" xfId="53" applyNumberFormat="1" applyFont="1" applyFill="1" applyBorder="1" applyAlignment="1" applyProtection="1">
      <alignment wrapText="1"/>
      <protection hidden="1"/>
    </xf>
    <xf numFmtId="176" fontId="13" fillId="0" borderId="16" xfId="53" applyNumberFormat="1" applyFont="1" applyFill="1" applyBorder="1" applyAlignment="1" applyProtection="1">
      <alignment wrapText="1"/>
      <protection hidden="1"/>
    </xf>
    <xf numFmtId="175" fontId="13" fillId="0" borderId="24" xfId="53" applyNumberFormat="1" applyFont="1" applyFill="1" applyBorder="1" applyAlignment="1" applyProtection="1">
      <alignment wrapText="1"/>
      <protection hidden="1"/>
    </xf>
    <xf numFmtId="0" fontId="13" fillId="0" borderId="17" xfId="53" applyNumberFormat="1" applyFont="1" applyFill="1" applyBorder="1" applyAlignment="1" applyProtection="1">
      <alignment wrapText="1"/>
      <protection hidden="1"/>
    </xf>
    <xf numFmtId="173" fontId="13" fillId="0" borderId="17" xfId="53" applyNumberFormat="1" applyFont="1" applyFill="1" applyBorder="1" applyAlignment="1" applyProtection="1">
      <alignment wrapText="1"/>
      <protection hidden="1"/>
    </xf>
    <xf numFmtId="49" fontId="12" fillId="0" borderId="17" xfId="53" applyNumberFormat="1" applyFont="1" applyFill="1" applyBorder="1" applyAlignment="1" applyProtection="1">
      <alignment horizontal="center" vertical="top"/>
      <protection hidden="1"/>
    </xf>
    <xf numFmtId="49" fontId="12" fillId="0" borderId="24" xfId="53" applyNumberFormat="1" applyFont="1" applyFill="1" applyBorder="1" applyAlignment="1" applyProtection="1">
      <alignment horizontal="center" vertical="top"/>
      <protection hidden="1"/>
    </xf>
    <xf numFmtId="176" fontId="19" fillId="0" borderId="25" xfId="53" applyNumberFormat="1" applyFont="1" applyFill="1" applyBorder="1" applyAlignment="1" applyProtection="1">
      <alignment wrapText="1"/>
      <protection hidden="1"/>
    </xf>
    <xf numFmtId="176" fontId="19" fillId="0" borderId="0" xfId="53" applyNumberFormat="1" applyFont="1" applyFill="1" applyAlignment="1" applyProtection="1">
      <alignment wrapText="1"/>
      <protection hidden="1"/>
    </xf>
    <xf numFmtId="175" fontId="13" fillId="0" borderId="0" xfId="53" applyNumberFormat="1" applyFont="1" applyFill="1" applyAlignment="1" applyProtection="1">
      <alignment wrapText="1"/>
      <protection hidden="1"/>
    </xf>
    <xf numFmtId="0" fontId="13" fillId="0" borderId="25" xfId="53" applyNumberFormat="1" applyFont="1" applyFill="1" applyBorder="1" applyAlignment="1" applyProtection="1">
      <alignment wrapText="1"/>
      <protection hidden="1"/>
    </xf>
    <xf numFmtId="175" fontId="19" fillId="0" borderId="0" xfId="53" applyNumberFormat="1" applyFont="1" applyFill="1" applyBorder="1" applyAlignment="1" applyProtection="1">
      <alignment wrapText="1"/>
      <protection hidden="1"/>
    </xf>
    <xf numFmtId="173" fontId="13" fillId="0" borderId="10" xfId="53" applyNumberFormat="1" applyFont="1" applyFill="1" applyBorder="1" applyAlignment="1" applyProtection="1">
      <alignment horizontal="center" vertical="top"/>
      <protection hidden="1"/>
    </xf>
    <xf numFmtId="0" fontId="11" fillId="0" borderId="10" xfId="54" applyNumberFormat="1" applyFont="1" applyFill="1" applyBorder="1" applyAlignment="1" applyProtection="1">
      <alignment vertical="top" wrapText="1"/>
      <protection hidden="1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vertical="top"/>
    </xf>
    <xf numFmtId="0" fontId="10" fillId="0" borderId="0" xfId="53" applyFont="1" applyFill="1" applyAlignment="1">
      <alignment horizontal="center" vertical="top"/>
      <protection/>
    </xf>
    <xf numFmtId="0" fontId="11" fillId="0" borderId="0" xfId="53" applyFont="1" applyFill="1" applyAlignment="1">
      <alignment horizontal="left" vertical="top"/>
      <protection/>
    </xf>
    <xf numFmtId="0" fontId="16" fillId="0" borderId="0" xfId="53" applyFont="1" applyFill="1">
      <alignment/>
      <protection/>
    </xf>
    <xf numFmtId="0" fontId="11" fillId="0" borderId="11" xfId="53" applyNumberFormat="1" applyFont="1" applyFill="1" applyBorder="1" applyAlignment="1" applyProtection="1">
      <alignment wrapText="1"/>
      <protection hidden="1"/>
    </xf>
    <xf numFmtId="0" fontId="20" fillId="0" borderId="0" xfId="53" applyFont="1" applyFill="1">
      <alignment/>
      <protection/>
    </xf>
    <xf numFmtId="176" fontId="12" fillId="0" borderId="24" xfId="53" applyNumberFormat="1" applyFont="1" applyFill="1" applyBorder="1" applyAlignment="1" applyProtection="1">
      <alignment wrapText="1"/>
      <protection hidden="1"/>
    </xf>
    <xf numFmtId="176" fontId="12" fillId="0" borderId="16" xfId="53" applyNumberFormat="1" applyFont="1" applyFill="1" applyBorder="1" applyAlignment="1" applyProtection="1">
      <alignment wrapText="1"/>
      <protection hidden="1"/>
    </xf>
    <xf numFmtId="175" fontId="12" fillId="0" borderId="24" xfId="53" applyNumberFormat="1" applyFont="1" applyFill="1" applyBorder="1" applyAlignment="1" applyProtection="1">
      <alignment wrapText="1"/>
      <protection hidden="1"/>
    </xf>
    <xf numFmtId="0" fontId="12" fillId="0" borderId="17" xfId="53" applyNumberFormat="1" applyFont="1" applyFill="1" applyBorder="1" applyAlignment="1" applyProtection="1">
      <alignment wrapText="1"/>
      <protection hidden="1"/>
    </xf>
    <xf numFmtId="173" fontId="12" fillId="0" borderId="24" xfId="53" applyNumberFormat="1" applyFont="1" applyFill="1" applyBorder="1" applyAlignment="1" applyProtection="1">
      <alignment wrapText="1"/>
      <protection hidden="1"/>
    </xf>
    <xf numFmtId="49" fontId="19" fillId="0" borderId="17" xfId="53" applyNumberFormat="1" applyFont="1" applyFill="1" applyBorder="1" applyAlignment="1" applyProtection="1">
      <alignment horizontal="center" vertical="top"/>
      <protection hidden="1"/>
    </xf>
    <xf numFmtId="49" fontId="19" fillId="0" borderId="24" xfId="53" applyNumberFormat="1" applyFont="1" applyFill="1" applyBorder="1" applyAlignment="1" applyProtection="1">
      <alignment horizontal="center" vertical="top"/>
      <protection hidden="1"/>
    </xf>
    <xf numFmtId="183" fontId="14" fillId="0" borderId="10" xfId="0" applyNumberFormat="1" applyFont="1" applyBorder="1" applyAlignment="1">
      <alignment/>
    </xf>
    <xf numFmtId="183" fontId="14" fillId="0" borderId="11" xfId="0" applyNumberFormat="1" applyFont="1" applyBorder="1" applyAlignment="1">
      <alignment/>
    </xf>
    <xf numFmtId="183" fontId="14" fillId="0" borderId="10" xfId="0" applyNumberFormat="1" applyFont="1" applyFill="1" applyBorder="1" applyAlignment="1">
      <alignment/>
    </xf>
    <xf numFmtId="183" fontId="11" fillId="0" borderId="10" xfId="0" applyNumberFormat="1" applyFont="1" applyFill="1" applyBorder="1" applyAlignment="1">
      <alignment/>
    </xf>
    <xf numFmtId="0" fontId="11" fillId="0" borderId="13" xfId="53" applyFont="1" applyFill="1" applyBorder="1" applyAlignment="1">
      <alignment vertical="top" wrapText="1"/>
      <protection/>
    </xf>
    <xf numFmtId="49" fontId="8" fillId="0" borderId="0" xfId="0" applyNumberFormat="1" applyFont="1" applyAlignment="1">
      <alignment horizontal="left"/>
    </xf>
    <xf numFmtId="0" fontId="11" fillId="0" borderId="12" xfId="53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right"/>
    </xf>
    <xf numFmtId="49" fontId="11" fillId="0" borderId="13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14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53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Alignment="1">
      <alignment vertical="top" wrapText="1"/>
    </xf>
    <xf numFmtId="176" fontId="14" fillId="0" borderId="0" xfId="53" applyNumberFormat="1" applyFont="1" applyFill="1" applyBorder="1" applyAlignment="1" applyProtection="1">
      <alignment wrapText="1"/>
      <protection hidden="1"/>
    </xf>
    <xf numFmtId="173" fontId="11" fillId="0" borderId="0" xfId="53" applyNumberFormat="1" applyFont="1" applyFill="1" applyBorder="1" applyAlignment="1" applyProtection="1">
      <alignment wrapText="1"/>
      <protection hidden="1"/>
    </xf>
    <xf numFmtId="0" fontId="14" fillId="0" borderId="0" xfId="53" applyNumberFormat="1" applyFont="1" applyFill="1" applyBorder="1" applyAlignment="1" applyProtection="1">
      <alignment vertical="top" wrapText="1"/>
      <protection hidden="1"/>
    </xf>
    <xf numFmtId="173" fontId="14" fillId="0" borderId="0" xfId="53" applyNumberFormat="1" applyFont="1" applyFill="1" applyBorder="1" applyAlignment="1" applyProtection="1">
      <alignment horizontal="center" vertical="top"/>
      <protection hidden="1"/>
    </xf>
    <xf numFmtId="174" fontId="14" fillId="0" borderId="0" xfId="53" applyNumberFormat="1" applyFont="1" applyFill="1" applyBorder="1" applyAlignment="1" applyProtection="1">
      <alignment horizontal="center" vertical="top"/>
      <protection hidden="1"/>
    </xf>
    <xf numFmtId="49" fontId="14" fillId="0" borderId="0" xfId="53" applyNumberFormat="1" applyFont="1" applyFill="1" applyBorder="1" applyAlignment="1" applyProtection="1">
      <alignment horizontal="center" vertical="top"/>
      <protection hidden="1"/>
    </xf>
    <xf numFmtId="183" fontId="14" fillId="0" borderId="0" xfId="53" applyNumberFormat="1" applyFont="1" applyFill="1" applyBorder="1" applyAlignment="1" applyProtection="1">
      <alignment horizontal="center" vertical="top"/>
      <protection hidden="1"/>
    </xf>
    <xf numFmtId="49" fontId="14" fillId="0" borderId="12" xfId="53" applyNumberFormat="1" applyFont="1" applyFill="1" applyBorder="1" applyAlignment="1" applyProtection="1">
      <alignment horizontal="center" vertical="top"/>
      <protection hidden="1"/>
    </xf>
    <xf numFmtId="0" fontId="14" fillId="0" borderId="10" xfId="0" applyFont="1" applyBorder="1" applyAlignment="1">
      <alignment vertical="top"/>
    </xf>
    <xf numFmtId="183" fontId="14" fillId="0" borderId="10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183" fontId="3" fillId="0" borderId="10" xfId="53" applyNumberFormat="1" applyFont="1" applyFill="1" applyBorder="1" applyAlignment="1" applyProtection="1">
      <alignment horizontal="center" vertical="top"/>
      <protection hidden="1"/>
    </xf>
    <xf numFmtId="183" fontId="23" fillId="0" borderId="10" xfId="53" applyNumberFormat="1" applyFont="1" applyFill="1" applyBorder="1" applyAlignment="1" applyProtection="1">
      <alignment horizontal="center" vertical="top"/>
      <protection hidden="1"/>
    </xf>
    <xf numFmtId="183" fontId="4" fillId="0" borderId="10" xfId="53" applyNumberFormat="1" applyFont="1" applyFill="1" applyBorder="1" applyAlignment="1" applyProtection="1">
      <alignment horizontal="center" vertical="top"/>
      <protection hidden="1"/>
    </xf>
    <xf numFmtId="183" fontId="4" fillId="0" borderId="10" xfId="53" applyNumberFormat="1" applyFont="1" applyFill="1" applyBorder="1" applyAlignment="1">
      <alignment horizontal="center" vertical="top"/>
      <protection/>
    </xf>
    <xf numFmtId="183" fontId="4" fillId="0" borderId="12" xfId="53" applyNumberFormat="1" applyFont="1" applyFill="1" applyBorder="1" applyAlignment="1" applyProtection="1">
      <alignment horizontal="center" vertical="top"/>
      <protection hidden="1"/>
    </xf>
    <xf numFmtId="183" fontId="23" fillId="0" borderId="12" xfId="53" applyNumberFormat="1" applyFont="1" applyFill="1" applyBorder="1" applyAlignment="1" applyProtection="1">
      <alignment horizontal="center" vertical="top"/>
      <protection hidden="1"/>
    </xf>
    <xf numFmtId="183" fontId="23" fillId="0" borderId="11" xfId="53" applyNumberFormat="1" applyFont="1" applyFill="1" applyBorder="1" applyAlignment="1" applyProtection="1">
      <alignment horizontal="center" vertical="top"/>
      <protection hidden="1"/>
    </xf>
    <xf numFmtId="183" fontId="4" fillId="0" borderId="11" xfId="53" applyNumberFormat="1" applyFont="1" applyFill="1" applyBorder="1" applyAlignment="1" applyProtection="1">
      <alignment horizontal="center" vertical="top"/>
      <protection hidden="1"/>
    </xf>
    <xf numFmtId="183" fontId="3" fillId="0" borderId="12" xfId="53" applyNumberFormat="1" applyFont="1" applyFill="1" applyBorder="1" applyAlignment="1" applyProtection="1">
      <alignment horizontal="center" vertical="top"/>
      <protection hidden="1"/>
    </xf>
    <xf numFmtId="183" fontId="8" fillId="0" borderId="10" xfId="0" applyNumberFormat="1" applyFont="1" applyFill="1" applyBorder="1" applyAlignment="1">
      <alignment horizontal="center" vertical="top"/>
    </xf>
    <xf numFmtId="176" fontId="14" fillId="0" borderId="19" xfId="53" applyNumberFormat="1" applyFont="1" applyFill="1" applyBorder="1" applyAlignment="1" applyProtection="1">
      <alignment wrapText="1"/>
      <protection hidden="1"/>
    </xf>
    <xf numFmtId="175" fontId="14" fillId="0" borderId="0" xfId="53" applyNumberFormat="1" applyFont="1" applyFill="1" applyBorder="1" applyAlignment="1" applyProtection="1">
      <alignment wrapText="1"/>
      <protection hidden="1"/>
    </xf>
    <xf numFmtId="0" fontId="14" fillId="0" borderId="25" xfId="53" applyNumberFormat="1" applyFont="1" applyFill="1" applyBorder="1" applyAlignment="1" applyProtection="1">
      <alignment wrapText="1"/>
      <protection hidden="1"/>
    </xf>
    <xf numFmtId="173" fontId="14" fillId="0" borderId="17" xfId="53" applyNumberFormat="1" applyFont="1" applyFill="1" applyBorder="1" applyAlignment="1" applyProtection="1">
      <alignment wrapText="1"/>
      <protection hidden="1"/>
    </xf>
    <xf numFmtId="0" fontId="24" fillId="0" borderId="10" xfId="53" applyNumberFormat="1" applyFont="1" applyFill="1" applyBorder="1" applyAlignment="1" applyProtection="1">
      <alignment vertical="top" wrapText="1"/>
      <protection hidden="1"/>
    </xf>
    <xf numFmtId="173" fontId="24" fillId="0" borderId="10" xfId="53" applyNumberFormat="1" applyFont="1" applyFill="1" applyBorder="1" applyAlignment="1" applyProtection="1">
      <alignment horizontal="center" vertical="top"/>
      <protection hidden="1"/>
    </xf>
    <xf numFmtId="174" fontId="24" fillId="0" borderId="10" xfId="53" applyNumberFormat="1" applyFont="1" applyFill="1" applyBorder="1" applyAlignment="1" applyProtection="1">
      <alignment horizontal="center" vertical="top"/>
      <protection hidden="1"/>
    </xf>
    <xf numFmtId="174" fontId="24" fillId="0" borderId="13" xfId="53" applyNumberFormat="1" applyFont="1" applyFill="1" applyBorder="1" applyAlignment="1" applyProtection="1">
      <alignment horizontal="center" vertical="top"/>
      <protection hidden="1"/>
    </xf>
    <xf numFmtId="49" fontId="24" fillId="0" borderId="13" xfId="53" applyNumberFormat="1" applyFont="1" applyFill="1" applyBorder="1" applyAlignment="1" applyProtection="1">
      <alignment horizontal="center" vertical="top"/>
      <protection hidden="1"/>
    </xf>
    <xf numFmtId="49" fontId="24" fillId="0" borderId="14" xfId="53" applyNumberFormat="1" applyFont="1" applyFill="1" applyBorder="1" applyAlignment="1" applyProtection="1">
      <alignment horizontal="center" vertical="top"/>
      <protection hidden="1"/>
    </xf>
    <xf numFmtId="183" fontId="24" fillId="0" borderId="10" xfId="53" applyNumberFormat="1" applyFont="1" applyFill="1" applyBorder="1" applyAlignment="1" applyProtection="1">
      <alignment horizontal="center" vertical="top"/>
      <protection hidden="1"/>
    </xf>
    <xf numFmtId="173" fontId="24" fillId="0" borderId="12" xfId="53" applyNumberFormat="1" applyFont="1" applyFill="1" applyBorder="1" applyAlignment="1" applyProtection="1">
      <alignment horizontal="center" vertical="top"/>
      <protection hidden="1"/>
    </xf>
    <xf numFmtId="174" fontId="24" fillId="0" borderId="12" xfId="53" applyNumberFormat="1" applyFont="1" applyFill="1" applyBorder="1" applyAlignment="1" applyProtection="1">
      <alignment horizontal="center" vertical="top"/>
      <protection hidden="1"/>
    </xf>
    <xf numFmtId="176" fontId="19" fillId="0" borderId="0" xfId="53" applyNumberFormat="1" applyFont="1" applyFill="1" applyBorder="1" applyAlignment="1" applyProtection="1">
      <alignment wrapText="1"/>
      <protection hidden="1"/>
    </xf>
    <xf numFmtId="0" fontId="21" fillId="0" borderId="0" xfId="0" applyFont="1" applyFill="1" applyBorder="1" applyAlignment="1">
      <alignment vertical="top" wrapText="1"/>
    </xf>
    <xf numFmtId="0" fontId="11" fillId="0" borderId="26" xfId="0" applyNumberFormat="1" applyFont="1" applyFill="1" applyBorder="1" applyAlignment="1" applyProtection="1">
      <alignment vertical="top" wrapText="1"/>
      <protection/>
    </xf>
    <xf numFmtId="0" fontId="11" fillId="0" borderId="10" xfId="0" applyNumberFormat="1" applyFont="1" applyFill="1" applyBorder="1" applyAlignment="1">
      <alignment vertical="top" wrapText="1"/>
    </xf>
    <xf numFmtId="183" fontId="4" fillId="0" borderId="12" xfId="53" applyNumberFormat="1" applyFont="1" applyFill="1" applyBorder="1" applyAlignment="1">
      <alignment horizontal="center" vertical="top"/>
      <protection/>
    </xf>
    <xf numFmtId="183" fontId="8" fillId="0" borderId="12" xfId="0" applyNumberFormat="1" applyFont="1" applyFill="1" applyBorder="1" applyAlignment="1">
      <alignment horizontal="center" vertical="top"/>
    </xf>
    <xf numFmtId="183" fontId="8" fillId="0" borderId="10" xfId="53" applyNumberFormat="1" applyFont="1" applyFill="1" applyBorder="1" applyAlignment="1" applyProtection="1">
      <alignment horizontal="center" vertical="top"/>
      <protection hidden="1"/>
    </xf>
    <xf numFmtId="183" fontId="11" fillId="0" borderId="10" xfId="56" applyNumberFormat="1" applyFont="1" applyFill="1" applyBorder="1" applyAlignment="1" applyProtection="1">
      <alignment horizontal="right" vertical="center"/>
      <protection hidden="1"/>
    </xf>
    <xf numFmtId="183" fontId="14" fillId="0" borderId="10" xfId="56" applyNumberFormat="1" applyFont="1" applyFill="1" applyBorder="1" applyAlignment="1" applyProtection="1">
      <alignment horizontal="right" vertical="center"/>
      <protection hidden="1"/>
    </xf>
    <xf numFmtId="183" fontId="11" fillId="0" borderId="10" xfId="0" applyNumberFormat="1" applyFont="1" applyBorder="1" applyAlignment="1">
      <alignment/>
    </xf>
    <xf numFmtId="183" fontId="11" fillId="0" borderId="11" xfId="0" applyNumberFormat="1" applyFont="1" applyBorder="1" applyAlignment="1">
      <alignment/>
    </xf>
    <xf numFmtId="49" fontId="19" fillId="0" borderId="12" xfId="53" applyNumberFormat="1" applyFont="1" applyFill="1" applyBorder="1" applyAlignment="1" applyProtection="1">
      <alignment horizontal="center" vertical="top"/>
      <protection hidden="1"/>
    </xf>
    <xf numFmtId="173" fontId="19" fillId="0" borderId="15" xfId="53" applyNumberFormat="1" applyFont="1" applyFill="1" applyBorder="1" applyAlignment="1" applyProtection="1">
      <alignment horizontal="center" vertical="top"/>
      <protection hidden="1"/>
    </xf>
    <xf numFmtId="173" fontId="19" fillId="0" borderId="16" xfId="53" applyNumberFormat="1" applyFont="1" applyFill="1" applyBorder="1" applyAlignment="1" applyProtection="1">
      <alignment horizontal="center" vertical="top"/>
      <protection hidden="1"/>
    </xf>
    <xf numFmtId="0" fontId="19" fillId="0" borderId="27" xfId="0" applyNumberFormat="1" applyFont="1" applyFill="1" applyBorder="1" applyAlignment="1" applyProtection="1">
      <alignment vertical="top" wrapText="1"/>
      <protection/>
    </xf>
    <xf numFmtId="173" fontId="19" fillId="0" borderId="18" xfId="53" applyNumberFormat="1" applyFont="1" applyFill="1" applyBorder="1" applyAlignment="1" applyProtection="1">
      <alignment horizontal="center" vertical="top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19" fillId="0" borderId="15" xfId="53" applyNumberFormat="1" applyFont="1" applyFill="1" applyBorder="1" applyAlignment="1" applyProtection="1">
      <alignment vertical="top" wrapText="1"/>
      <protection hidden="1"/>
    </xf>
    <xf numFmtId="0" fontId="11" fillId="0" borderId="0" xfId="0" applyFont="1" applyFill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1" fillId="0" borderId="28" xfId="0" applyFont="1" applyFill="1" applyBorder="1" applyAlignment="1">
      <alignment vertical="top" wrapText="1"/>
    </xf>
    <xf numFmtId="183" fontId="23" fillId="0" borderId="10" xfId="0" applyNumberFormat="1" applyFont="1" applyFill="1" applyBorder="1" applyAlignment="1">
      <alignment horizontal="center" vertical="top"/>
    </xf>
    <xf numFmtId="0" fontId="11" fillId="0" borderId="17" xfId="53" applyNumberFormat="1" applyFont="1" applyFill="1" applyBorder="1" applyAlignment="1" applyProtection="1">
      <alignment vertical="top" wrapText="1"/>
      <protection hidden="1"/>
    </xf>
    <xf numFmtId="0" fontId="11" fillId="0" borderId="14" xfId="0" applyFont="1" applyFill="1" applyBorder="1" applyAlignment="1">
      <alignment vertical="top" wrapText="1"/>
    </xf>
    <xf numFmtId="0" fontId="15" fillId="0" borderId="15" xfId="0" applyFont="1" applyFill="1" applyBorder="1" applyAlignment="1">
      <alignment vertical="top" wrapText="1"/>
    </xf>
    <xf numFmtId="183" fontId="8" fillId="0" borderId="10" xfId="53" applyNumberFormat="1" applyFont="1" applyFill="1" applyBorder="1" applyAlignment="1" applyProtection="1">
      <alignment horizontal="center" vertical="top"/>
      <protection hidden="1"/>
    </xf>
    <xf numFmtId="183" fontId="11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53" applyNumberFormat="1" applyFont="1" applyFill="1" applyAlignment="1" applyProtection="1">
      <alignment horizontal="right" vertical="center" wrapText="1"/>
      <protection hidden="1"/>
    </xf>
    <xf numFmtId="183" fontId="11" fillId="0" borderId="24" xfId="53" applyNumberFormat="1" applyFont="1" applyFill="1" applyBorder="1" applyAlignment="1" applyProtection="1">
      <alignment horizontal="right" vertical="top"/>
      <protection hidden="1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/>
    </xf>
    <xf numFmtId="49" fontId="25" fillId="0" borderId="10" xfId="0" applyNumberFormat="1" applyFont="1" applyBorder="1" applyAlignment="1">
      <alignment/>
    </xf>
    <xf numFmtId="49" fontId="15" fillId="0" borderId="10" xfId="0" applyNumberFormat="1" applyFont="1" applyBorder="1" applyAlignment="1">
      <alignment/>
    </xf>
    <xf numFmtId="183" fontId="15" fillId="0" borderId="10" xfId="0" applyNumberFormat="1" applyFont="1" applyBorder="1" applyAlignment="1">
      <alignment/>
    </xf>
    <xf numFmtId="183" fontId="25" fillId="0" borderId="10" xfId="0" applyNumberFormat="1" applyFont="1" applyBorder="1" applyAlignment="1">
      <alignment/>
    </xf>
    <xf numFmtId="0" fontId="26" fillId="0" borderId="0" xfId="0" applyFont="1" applyAlignment="1">
      <alignment horizontal="justify" vertical="top"/>
    </xf>
    <xf numFmtId="0" fontId="26" fillId="0" borderId="0" xfId="0" applyFont="1" applyAlignment="1">
      <alignment/>
    </xf>
    <xf numFmtId="183" fontId="8" fillId="0" borderId="0" xfId="0" applyNumberFormat="1" applyFont="1" applyAlignment="1">
      <alignment horizontal="left"/>
    </xf>
    <xf numFmtId="183" fontId="15" fillId="0" borderId="0" xfId="0" applyNumberFormat="1" applyFont="1" applyAlignment="1">
      <alignment horizontal="right"/>
    </xf>
    <xf numFmtId="0" fontId="27" fillId="0" borderId="0" xfId="0" applyFont="1" applyAlignment="1">
      <alignment/>
    </xf>
    <xf numFmtId="49" fontId="26" fillId="0" borderId="0" xfId="0" applyNumberFormat="1" applyFont="1" applyAlignment="1">
      <alignment/>
    </xf>
    <xf numFmtId="183" fontId="26" fillId="0" borderId="0" xfId="0" applyNumberFormat="1" applyFont="1" applyAlignment="1">
      <alignment/>
    </xf>
    <xf numFmtId="0" fontId="25" fillId="0" borderId="0" xfId="0" applyFont="1" applyAlignment="1">
      <alignment/>
    </xf>
    <xf numFmtId="0" fontId="15" fillId="0" borderId="10" xfId="0" applyFont="1" applyFill="1" applyBorder="1" applyAlignment="1">
      <alignment/>
    </xf>
    <xf numFmtId="0" fontId="25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183" fontId="27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left" wrapText="1"/>
    </xf>
    <xf numFmtId="0" fontId="15" fillId="0" borderId="10" xfId="0" applyFont="1" applyBorder="1" applyAlignment="1">
      <alignment/>
    </xf>
    <xf numFmtId="49" fontId="15" fillId="0" borderId="10" xfId="0" applyNumberFormat="1" applyFont="1" applyBorder="1" applyAlignment="1">
      <alignment/>
    </xf>
    <xf numFmtId="183" fontId="15" fillId="0" borderId="10" xfId="0" applyNumberFormat="1" applyFont="1" applyBorder="1" applyAlignment="1">
      <alignment/>
    </xf>
    <xf numFmtId="0" fontId="4" fillId="0" borderId="0" xfId="53" applyNumberFormat="1" applyFont="1" applyFill="1" applyAlignment="1" applyProtection="1">
      <alignment wrapText="1"/>
      <protection hidden="1"/>
    </xf>
    <xf numFmtId="0" fontId="4" fillId="0" borderId="0" xfId="53" applyNumberFormat="1" applyFont="1" applyFill="1" applyAlignment="1" applyProtection="1">
      <alignment vertical="center" wrapText="1"/>
      <protection hidden="1"/>
    </xf>
    <xf numFmtId="0" fontId="11" fillId="0" borderId="24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4" xfId="53" applyNumberFormat="1" applyFont="1" applyFill="1" applyBorder="1" applyAlignment="1" applyProtection="1">
      <alignment horizontal="center" vertical="center"/>
      <protection hidden="1"/>
    </xf>
    <xf numFmtId="0" fontId="11" fillId="0" borderId="13" xfId="53" applyNumberFormat="1" applyFont="1" applyFill="1" applyBorder="1" applyAlignment="1" applyProtection="1">
      <alignment horizontal="center" vertical="center"/>
      <protection hidden="1"/>
    </xf>
    <xf numFmtId="0" fontId="11" fillId="0" borderId="28" xfId="53" applyNumberFormat="1" applyFont="1" applyFill="1" applyBorder="1" applyAlignment="1" applyProtection="1">
      <alignment vertical="top" wrapText="1"/>
      <protection hidden="1"/>
    </xf>
    <xf numFmtId="0" fontId="10" fillId="0" borderId="0" xfId="53" applyFont="1" applyFill="1" applyAlignment="1">
      <alignment horizontal="justify" vertical="top"/>
      <protection/>
    </xf>
    <xf numFmtId="49" fontId="10" fillId="0" borderId="0" xfId="53" applyNumberFormat="1" applyFont="1" applyFill="1" applyAlignment="1">
      <alignment horizontal="center" vertical="top"/>
      <protection/>
    </xf>
    <xf numFmtId="183" fontId="11" fillId="0" borderId="0" xfId="53" applyNumberFormat="1" applyFont="1" applyFill="1" applyAlignment="1">
      <alignment horizontal="center" vertical="top"/>
      <protection/>
    </xf>
    <xf numFmtId="0" fontId="11" fillId="0" borderId="0" xfId="53" applyFont="1" applyFill="1" applyAlignment="1">
      <alignment horizontal="right"/>
      <protection/>
    </xf>
    <xf numFmtId="0" fontId="19" fillId="0" borderId="16" xfId="53" applyNumberFormat="1" applyFont="1" applyFill="1" applyBorder="1" applyAlignment="1" applyProtection="1">
      <alignment vertical="top" wrapText="1"/>
      <protection hidden="1"/>
    </xf>
    <xf numFmtId="0" fontId="21" fillId="0" borderId="10" xfId="0" applyFont="1" applyFill="1" applyBorder="1" applyAlignment="1">
      <alignment vertical="top" wrapText="1"/>
    </xf>
    <xf numFmtId="0" fontId="11" fillId="0" borderId="19" xfId="53" applyNumberFormat="1" applyFont="1" applyFill="1" applyBorder="1" applyAlignment="1" applyProtection="1">
      <alignment vertical="top" wrapText="1"/>
      <protection hidden="1"/>
    </xf>
    <xf numFmtId="0" fontId="19" fillId="0" borderId="10" xfId="53" applyFont="1" applyFill="1" applyBorder="1" applyAlignment="1">
      <alignment vertical="top" wrapText="1"/>
      <protection/>
    </xf>
    <xf numFmtId="183" fontId="3" fillId="0" borderId="11" xfId="53" applyNumberFormat="1" applyFont="1" applyFill="1" applyBorder="1" applyAlignment="1" applyProtection="1">
      <alignment horizontal="center" vertical="top"/>
      <protection hidden="1"/>
    </xf>
    <xf numFmtId="183" fontId="11" fillId="0" borderId="0" xfId="53" applyNumberFormat="1" applyFont="1" applyFill="1" applyAlignment="1">
      <alignment horizontal="right" vertical="top"/>
      <protection/>
    </xf>
    <xf numFmtId="0" fontId="11" fillId="0" borderId="0" xfId="53" applyFont="1" applyFill="1" applyAlignment="1">
      <alignment horizontal="justify" vertical="top"/>
      <protection/>
    </xf>
    <xf numFmtId="1" fontId="11" fillId="0" borderId="10" xfId="53" applyNumberFormat="1" applyFont="1" applyFill="1" applyBorder="1" applyAlignment="1">
      <alignment horizontal="center" vertical="top"/>
      <protection/>
    </xf>
    <xf numFmtId="0" fontId="18" fillId="0" borderId="0" xfId="53" applyFont="1" applyFill="1">
      <alignment/>
      <protection/>
    </xf>
    <xf numFmtId="0" fontId="11" fillId="0" borderId="15" xfId="53" applyNumberFormat="1" applyFont="1" applyFill="1" applyBorder="1" applyAlignment="1" applyProtection="1">
      <alignment vertical="top" wrapText="1"/>
      <protection hidden="1"/>
    </xf>
    <xf numFmtId="183" fontId="10" fillId="0" borderId="0" xfId="53" applyNumberFormat="1" applyFont="1" applyFill="1" applyAlignment="1">
      <alignment horizontal="right" vertical="top"/>
      <protection/>
    </xf>
    <xf numFmtId="183" fontId="4" fillId="0" borderId="28" xfId="53" applyNumberFormat="1" applyFont="1" applyFill="1" applyBorder="1" applyAlignment="1" applyProtection="1">
      <alignment horizontal="center" vertical="top"/>
      <protection hidden="1"/>
    </xf>
    <xf numFmtId="183" fontId="14" fillId="0" borderId="0" xfId="53" applyNumberFormat="1" applyFont="1" applyFill="1" applyBorder="1" applyAlignment="1" applyProtection="1">
      <alignment horizontal="right" vertical="top"/>
      <protection hidden="1"/>
    </xf>
    <xf numFmtId="0" fontId="28" fillId="0" borderId="0" xfId="53" applyFont="1" applyFill="1">
      <alignment/>
      <protection/>
    </xf>
    <xf numFmtId="0" fontId="28" fillId="0" borderId="0" xfId="53" applyFont="1" applyFill="1" applyAlignment="1">
      <alignment horizontal="justify" vertical="top"/>
      <protection/>
    </xf>
    <xf numFmtId="0" fontId="28" fillId="0" borderId="0" xfId="53" applyFont="1" applyFill="1" applyAlignment="1">
      <alignment horizontal="center" vertical="top"/>
      <protection/>
    </xf>
    <xf numFmtId="49" fontId="28" fillId="0" borderId="0" xfId="53" applyNumberFormat="1" applyFont="1" applyFill="1" applyAlignment="1">
      <alignment horizontal="center" vertical="top"/>
      <protection/>
    </xf>
    <xf numFmtId="183" fontId="28" fillId="0" borderId="0" xfId="53" applyNumberFormat="1" applyFont="1" applyFill="1" applyAlignment="1">
      <alignment horizontal="center" vertical="top"/>
      <protection/>
    </xf>
    <xf numFmtId="0" fontId="28" fillId="0" borderId="0" xfId="53" applyNumberFormat="1" applyFont="1" applyFill="1" applyAlignment="1" applyProtection="1">
      <alignment horizontal="left" vertical="center"/>
      <protection hidden="1"/>
    </xf>
    <xf numFmtId="0" fontId="29" fillId="0" borderId="0" xfId="53" applyFont="1" applyFill="1">
      <alignment/>
      <protection/>
    </xf>
    <xf numFmtId="0" fontId="29" fillId="0" borderId="0" xfId="53" applyFont="1" applyFill="1" applyAlignment="1">
      <alignment horizontal="justify" vertical="top"/>
      <protection/>
    </xf>
    <xf numFmtId="0" fontId="29" fillId="0" borderId="0" xfId="53" applyFont="1" applyFill="1" applyAlignment="1">
      <alignment horizontal="left" vertical="top"/>
      <protection/>
    </xf>
    <xf numFmtId="0" fontId="29" fillId="0" borderId="0" xfId="53" applyFont="1" applyFill="1" applyAlignment="1">
      <alignment horizontal="center" vertical="top"/>
      <protection/>
    </xf>
    <xf numFmtId="49" fontId="29" fillId="0" borderId="0" xfId="53" applyNumberFormat="1" applyFont="1" applyFill="1" applyAlignment="1">
      <alignment horizontal="center" vertical="top"/>
      <protection/>
    </xf>
    <xf numFmtId="183" fontId="29" fillId="0" borderId="0" xfId="53" applyNumberFormat="1" applyFont="1" applyFill="1" applyAlignment="1">
      <alignment horizontal="center" vertical="top"/>
      <protection/>
    </xf>
    <xf numFmtId="0" fontId="11" fillId="0" borderId="0" xfId="53" applyFont="1" applyFill="1">
      <alignment/>
      <protection/>
    </xf>
    <xf numFmtId="0" fontId="11" fillId="0" borderId="0" xfId="53" applyFont="1" applyFill="1" applyAlignment="1">
      <alignment horizontal="center" vertical="top"/>
      <protection/>
    </xf>
    <xf numFmtId="49" fontId="11" fillId="0" borderId="0" xfId="53" applyNumberFormat="1" applyFont="1" applyFill="1" applyAlignment="1">
      <alignment horizontal="center" vertical="top"/>
      <protection/>
    </xf>
    <xf numFmtId="183" fontId="26" fillId="0" borderId="0" xfId="0" applyNumberFormat="1" applyFont="1" applyAlignment="1">
      <alignment horizontal="right"/>
    </xf>
    <xf numFmtId="0" fontId="11" fillId="33" borderId="0" xfId="53" applyNumberFormat="1" applyFont="1" applyFill="1" applyBorder="1" applyAlignment="1" applyProtection="1">
      <alignment vertical="top" wrapText="1"/>
      <protection hidden="1"/>
    </xf>
    <xf numFmtId="173" fontId="11" fillId="33" borderId="10" xfId="53" applyNumberFormat="1" applyFont="1" applyFill="1" applyBorder="1" applyAlignment="1" applyProtection="1">
      <alignment horizontal="center" vertical="top"/>
      <protection hidden="1"/>
    </xf>
    <xf numFmtId="174" fontId="11" fillId="33" borderId="14" xfId="53" applyNumberFormat="1" applyFont="1" applyFill="1" applyBorder="1" applyAlignment="1" applyProtection="1">
      <alignment horizontal="center" vertical="top"/>
      <protection hidden="1"/>
    </xf>
    <xf numFmtId="174" fontId="11" fillId="33" borderId="13" xfId="53" applyNumberFormat="1" applyFont="1" applyFill="1" applyBorder="1" applyAlignment="1" applyProtection="1">
      <alignment horizontal="center" vertical="top"/>
      <protection hidden="1"/>
    </xf>
    <xf numFmtId="49" fontId="11" fillId="33" borderId="13" xfId="53" applyNumberFormat="1" applyFont="1" applyFill="1" applyBorder="1" applyAlignment="1" applyProtection="1">
      <alignment horizontal="center" vertical="top"/>
      <protection hidden="1"/>
    </xf>
    <xf numFmtId="49" fontId="11" fillId="33" borderId="14" xfId="53" applyNumberFormat="1" applyFont="1" applyFill="1" applyBorder="1" applyAlignment="1" applyProtection="1">
      <alignment horizontal="center" vertical="top"/>
      <protection hidden="1"/>
    </xf>
    <xf numFmtId="183" fontId="4" fillId="33" borderId="12" xfId="53" applyNumberFormat="1" applyFont="1" applyFill="1" applyBorder="1" applyAlignment="1" applyProtection="1">
      <alignment horizontal="center" vertical="top"/>
      <protection hidden="1"/>
    </xf>
    <xf numFmtId="0" fontId="11" fillId="33" borderId="10" xfId="53" applyNumberFormat="1" applyFont="1" applyFill="1" applyBorder="1" applyAlignment="1" applyProtection="1">
      <alignment vertical="top" wrapText="1"/>
      <protection hidden="1"/>
    </xf>
    <xf numFmtId="174" fontId="11" fillId="33" borderId="10" xfId="53" applyNumberFormat="1" applyFont="1" applyFill="1" applyBorder="1" applyAlignment="1" applyProtection="1">
      <alignment horizontal="center" vertical="top"/>
      <protection hidden="1"/>
    </xf>
    <xf numFmtId="0" fontId="15" fillId="0" borderId="10" xfId="0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183" fontId="15" fillId="0" borderId="10" xfId="0" applyNumberFormat="1" applyFont="1" applyFill="1" applyBorder="1" applyAlignment="1">
      <alignment/>
    </xf>
    <xf numFmtId="0" fontId="15" fillId="0" borderId="10" xfId="0" applyFont="1" applyBorder="1" applyAlignment="1">
      <alignment horizontal="right"/>
    </xf>
    <xf numFmtId="49" fontId="15" fillId="0" borderId="10" xfId="0" applyNumberFormat="1" applyFont="1" applyBorder="1" applyAlignment="1">
      <alignment horizontal="right"/>
    </xf>
    <xf numFmtId="174" fontId="19" fillId="0" borderId="16" xfId="53" applyNumberFormat="1" applyFont="1" applyFill="1" applyBorder="1" applyAlignment="1" applyProtection="1">
      <alignment horizontal="center" vertical="top"/>
      <protection hidden="1"/>
    </xf>
    <xf numFmtId="0" fontId="15" fillId="0" borderId="10" xfId="0" applyFont="1" applyFill="1" applyBorder="1" applyAlignment="1">
      <alignment horizontal="left" wrapText="1"/>
    </xf>
    <xf numFmtId="49" fontId="15" fillId="0" borderId="10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173" fontId="11" fillId="33" borderId="16" xfId="53" applyNumberFormat="1" applyFont="1" applyFill="1" applyBorder="1" applyAlignment="1" applyProtection="1">
      <alignment horizontal="center" vertical="top"/>
      <protection hidden="1"/>
    </xf>
    <xf numFmtId="0" fontId="11" fillId="0" borderId="24" xfId="0" applyFont="1" applyBorder="1" applyAlignment="1">
      <alignment horizontal="right"/>
    </xf>
    <xf numFmtId="0" fontId="11" fillId="0" borderId="0" xfId="56" applyFont="1" applyAlignment="1">
      <alignment horizontal="left" vertical="top"/>
      <protection/>
    </xf>
    <xf numFmtId="49" fontId="11" fillId="0" borderId="11" xfId="0" applyNumberFormat="1" applyFont="1" applyBorder="1" applyAlignment="1">
      <alignment horizontal="center" vertical="top" wrapText="1"/>
    </xf>
    <xf numFmtId="49" fontId="11" fillId="0" borderId="16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175" fontId="11" fillId="0" borderId="10" xfId="53" applyNumberFormat="1" applyFont="1" applyFill="1" applyBorder="1" applyAlignment="1" applyProtection="1">
      <alignment wrapText="1"/>
      <protection hidden="1"/>
    </xf>
    <xf numFmtId="175" fontId="11" fillId="0" borderId="11" xfId="53" applyNumberFormat="1" applyFont="1" applyFill="1" applyBorder="1" applyAlignment="1" applyProtection="1">
      <alignment wrapText="1"/>
      <protection hidden="1"/>
    </xf>
    <xf numFmtId="0" fontId="11" fillId="0" borderId="0" xfId="53" applyNumberFormat="1" applyFont="1" applyFill="1" applyAlignment="1" applyProtection="1">
      <alignment horizontal="left" vertical="center"/>
      <protection hidden="1"/>
    </xf>
    <xf numFmtId="0" fontId="11" fillId="0" borderId="0" xfId="53" applyNumberFormat="1" applyFont="1" applyFill="1" applyAlignment="1" applyProtection="1">
      <alignment horizontal="left" vertical="top"/>
      <protection hidden="1"/>
    </xf>
    <xf numFmtId="0" fontId="11" fillId="0" borderId="10" xfId="53" applyNumberFormat="1" applyFont="1" applyFill="1" applyBorder="1" applyAlignment="1" applyProtection="1">
      <alignment wrapText="1"/>
      <protection hidden="1"/>
    </xf>
    <xf numFmtId="0" fontId="11" fillId="0" borderId="0" xfId="53" applyFont="1" applyFill="1" applyAlignment="1" applyProtection="1">
      <alignment horizontal="left" vertical="top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176" fontId="19" fillId="0" borderId="10" xfId="53" applyNumberFormat="1" applyFont="1" applyFill="1" applyBorder="1" applyAlignment="1" applyProtection="1">
      <alignment wrapText="1"/>
      <protection hidden="1"/>
    </xf>
    <xf numFmtId="176" fontId="19" fillId="0" borderId="11" xfId="53" applyNumberFormat="1" applyFont="1" applyFill="1" applyBorder="1" applyAlignment="1" applyProtection="1">
      <alignment wrapText="1"/>
      <protection hidden="1"/>
    </xf>
    <xf numFmtId="0" fontId="11" fillId="0" borderId="0" xfId="53" applyFont="1" applyFill="1" applyAlignment="1">
      <alignment horizontal="left" vertical="top"/>
      <protection/>
    </xf>
    <xf numFmtId="49" fontId="11" fillId="0" borderId="13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14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12" xfId="53" applyNumberFormat="1" applyFont="1" applyFill="1" applyBorder="1" applyAlignment="1" applyProtection="1">
      <alignment horizontal="center" vertical="center" wrapText="1"/>
      <protection hidden="1"/>
    </xf>
    <xf numFmtId="176" fontId="11" fillId="0" borderId="10" xfId="53" applyNumberFormat="1" applyFont="1" applyFill="1" applyBorder="1" applyAlignment="1" applyProtection="1">
      <alignment wrapText="1"/>
      <protection hidden="1"/>
    </xf>
    <xf numFmtId="176" fontId="11" fillId="0" borderId="11" xfId="53" applyNumberFormat="1" applyFont="1" applyFill="1" applyBorder="1" applyAlignment="1" applyProtection="1">
      <alignment wrapText="1"/>
      <protection hidden="1"/>
    </xf>
    <xf numFmtId="183" fontId="11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53" applyNumberFormat="1" applyFont="1" applyFill="1" applyBorder="1" applyAlignment="1" applyProtection="1">
      <alignment wrapText="1"/>
      <protection hidden="1"/>
    </xf>
    <xf numFmtId="175" fontId="19" fillId="0" borderId="10" xfId="53" applyNumberFormat="1" applyFont="1" applyFill="1" applyBorder="1" applyAlignment="1" applyProtection="1">
      <alignment wrapText="1"/>
      <protection hidden="1"/>
    </xf>
    <xf numFmtId="175" fontId="19" fillId="0" borderId="11" xfId="53" applyNumberFormat="1" applyFont="1" applyFill="1" applyBorder="1" applyAlignment="1" applyProtection="1">
      <alignment wrapText="1"/>
      <protection hidden="1"/>
    </xf>
    <xf numFmtId="183" fontId="11" fillId="0" borderId="13" xfId="53" applyNumberFormat="1" applyFont="1" applyFill="1" applyBorder="1" applyAlignment="1" applyProtection="1">
      <alignment horizontal="center" vertical="center" wrapText="1"/>
      <protection hidden="1"/>
    </xf>
    <xf numFmtId="183" fontId="11" fillId="0" borderId="14" xfId="53" applyNumberFormat="1" applyFont="1" applyFill="1" applyBorder="1" applyAlignment="1" applyProtection="1">
      <alignment horizontal="center" vertical="center" wrapText="1"/>
      <protection hidden="1"/>
    </xf>
    <xf numFmtId="183" fontId="11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 horizontal="center" vertical="top" wrapText="1"/>
      <protection hidden="1"/>
    </xf>
    <xf numFmtId="49" fontId="11" fillId="0" borderId="13" xfId="53" applyNumberFormat="1" applyFont="1" applyFill="1" applyBorder="1" applyAlignment="1" applyProtection="1">
      <alignment horizontal="center" vertical="top" wrapText="1"/>
      <protection hidden="1"/>
    </xf>
    <xf numFmtId="49" fontId="11" fillId="0" borderId="14" xfId="53" applyNumberFormat="1" applyFont="1" applyFill="1" applyBorder="1" applyAlignment="1" applyProtection="1">
      <alignment horizontal="center" vertical="top" wrapText="1"/>
      <protection hidden="1"/>
    </xf>
    <xf numFmtId="49" fontId="11" fillId="0" borderId="12" xfId="53" applyNumberFormat="1" applyFont="1" applyFill="1" applyBorder="1" applyAlignment="1" applyProtection="1">
      <alignment horizontal="center" vertical="top" wrapText="1"/>
      <protection hidden="1"/>
    </xf>
    <xf numFmtId="183" fontId="11" fillId="0" borderId="24" xfId="53" applyNumberFormat="1" applyFont="1" applyFill="1" applyBorder="1" applyAlignment="1">
      <alignment horizontal="right" vertical="top"/>
      <protection/>
    </xf>
    <xf numFmtId="176" fontId="12" fillId="0" borderId="11" xfId="53" applyNumberFormat="1" applyFont="1" applyFill="1" applyBorder="1" applyAlignment="1" applyProtection="1">
      <alignment wrapText="1"/>
      <protection hidden="1"/>
    </xf>
    <xf numFmtId="0" fontId="13" fillId="0" borderId="10" xfId="53" applyNumberFormat="1" applyFont="1" applyFill="1" applyBorder="1" applyAlignment="1" applyProtection="1">
      <alignment wrapText="1"/>
      <protection hidden="1"/>
    </xf>
    <xf numFmtId="0" fontId="27" fillId="0" borderId="13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27" fillId="0" borderId="12" xfId="0" applyFont="1" applyBorder="1" applyAlignment="1">
      <alignment horizontal="left"/>
    </xf>
    <xf numFmtId="0" fontId="15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183" fontId="15" fillId="0" borderId="11" xfId="0" applyNumberFormat="1" applyFont="1" applyBorder="1" applyAlignment="1">
      <alignment horizontal="center"/>
    </xf>
    <xf numFmtId="183" fontId="15" fillId="0" borderId="16" xfId="0" applyNumberFormat="1" applyFont="1" applyBorder="1" applyAlignment="1">
      <alignment horizontal="center"/>
    </xf>
    <xf numFmtId="0" fontId="4" fillId="0" borderId="0" xfId="53" applyNumberFormat="1" applyFont="1" applyFill="1" applyAlignment="1" applyProtection="1">
      <alignment horizontal="left" wrapText="1"/>
      <protection hidden="1"/>
    </xf>
    <xf numFmtId="0" fontId="4" fillId="0" borderId="0" xfId="53" applyNumberFormat="1" applyFont="1" applyFill="1" applyAlignment="1" applyProtection="1">
      <alignment horizontal="left" vertical="center" wrapText="1"/>
      <protection hidden="1"/>
    </xf>
    <xf numFmtId="49" fontId="9" fillId="0" borderId="0" xfId="0" applyNumberFormat="1" applyFont="1" applyAlignment="1">
      <alignment horizontal="center" vertical="center"/>
    </xf>
    <xf numFmtId="183" fontId="26" fillId="0" borderId="24" xfId="0" applyNumberFormat="1" applyFont="1" applyBorder="1" applyAlignment="1">
      <alignment horizontal="right"/>
    </xf>
    <xf numFmtId="0" fontId="8" fillId="0" borderId="0" xfId="0" applyFont="1" applyFill="1" applyAlignment="1">
      <alignment/>
    </xf>
    <xf numFmtId="183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_tmp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view="pageBreakPreview" zoomScaleSheetLayoutView="100" zoomScalePageLayoutView="0" workbookViewId="0" topLeftCell="A1">
      <selection activeCell="D21" sqref="D21"/>
    </sheetView>
  </sheetViews>
  <sheetFormatPr defaultColWidth="9.140625" defaultRowHeight="15"/>
  <cols>
    <col min="1" max="1" width="50.421875" style="35" customWidth="1"/>
    <col min="2" max="2" width="6.57421875" style="36" customWidth="1"/>
    <col min="3" max="3" width="7.28125" style="36" customWidth="1"/>
    <col min="4" max="4" width="10.140625" style="37" customWidth="1"/>
    <col min="5" max="5" width="10.8515625" style="37" customWidth="1"/>
    <col min="6" max="6" width="10.28125" style="37" customWidth="1"/>
    <col min="7" max="16384" width="9.140625" style="37" customWidth="1"/>
  </cols>
  <sheetData>
    <row r="1" ht="15.75">
      <c r="B1" s="174" t="s">
        <v>827</v>
      </c>
    </row>
    <row r="2" ht="18.75" customHeight="1">
      <c r="B2" s="36" t="s">
        <v>359</v>
      </c>
    </row>
    <row r="3" ht="18.75" customHeight="1">
      <c r="B3" s="36" t="s">
        <v>735</v>
      </c>
    </row>
    <row r="4" spans="2:4" ht="19.5" customHeight="1">
      <c r="B4" s="38" t="s">
        <v>343</v>
      </c>
      <c r="C4" s="12"/>
      <c r="D4" s="12"/>
    </row>
    <row r="5" spans="1:2" ht="22.5" customHeight="1">
      <c r="A5" s="37"/>
      <c r="B5" s="173" t="s">
        <v>101</v>
      </c>
    </row>
    <row r="6" spans="1:2" ht="15.75">
      <c r="A6" s="37"/>
      <c r="B6" s="39" t="s">
        <v>359</v>
      </c>
    </row>
    <row r="7" spans="1:2" ht="15.75">
      <c r="A7" s="37"/>
      <c r="B7" s="40" t="s">
        <v>360</v>
      </c>
    </row>
    <row r="8" spans="1:2" ht="15.75">
      <c r="A8" s="37"/>
      <c r="B8" s="40" t="s">
        <v>2</v>
      </c>
    </row>
    <row r="9" spans="1:5" ht="15.75">
      <c r="A9" s="37"/>
      <c r="B9" s="360" t="s">
        <v>3</v>
      </c>
      <c r="C9" s="360"/>
      <c r="D9" s="360"/>
      <c r="E9" s="360"/>
    </row>
    <row r="10" ht="15.75">
      <c r="B10" s="36" t="s">
        <v>100</v>
      </c>
    </row>
    <row r="12" ht="18.75">
      <c r="A12" s="126" t="s">
        <v>358</v>
      </c>
    </row>
    <row r="13" ht="18.75">
      <c r="A13" s="194" t="s">
        <v>4</v>
      </c>
    </row>
    <row r="14" spans="1:6" ht="18.75">
      <c r="A14" s="126"/>
      <c r="E14" s="359" t="s">
        <v>12</v>
      </c>
      <c r="F14" s="359"/>
    </row>
    <row r="15" spans="1:6" s="43" customFormat="1" ht="18" customHeight="1">
      <c r="A15" s="361" t="s">
        <v>503</v>
      </c>
      <c r="B15" s="363" t="s">
        <v>582</v>
      </c>
      <c r="C15" s="365" t="s">
        <v>583</v>
      </c>
      <c r="D15" s="367" t="s">
        <v>497</v>
      </c>
      <c r="E15" s="367"/>
      <c r="F15" s="367"/>
    </row>
    <row r="16" spans="1:6" s="43" customFormat="1" ht="15.75">
      <c r="A16" s="362"/>
      <c r="B16" s="364"/>
      <c r="C16" s="366"/>
      <c r="D16" s="1" t="s">
        <v>10</v>
      </c>
      <c r="E16" s="1" t="s">
        <v>277</v>
      </c>
      <c r="F16" s="1" t="s">
        <v>1</v>
      </c>
    </row>
    <row r="17" spans="1:6" s="43" customFormat="1" ht="15.75">
      <c r="A17" s="41">
        <v>1</v>
      </c>
      <c r="B17" s="42">
        <v>2</v>
      </c>
      <c r="C17" s="42">
        <v>3</v>
      </c>
      <c r="D17" s="1">
        <v>4</v>
      </c>
      <c r="E17" s="1">
        <v>5</v>
      </c>
      <c r="F17" s="1">
        <v>6</v>
      </c>
    </row>
    <row r="18" spans="1:6" ht="15.75">
      <c r="A18" s="44" t="s">
        <v>584</v>
      </c>
      <c r="B18" s="45" t="s">
        <v>557</v>
      </c>
      <c r="C18" s="46"/>
      <c r="D18" s="187">
        <f>SUM(D19:D25)</f>
        <v>105948.6</v>
      </c>
      <c r="E18" s="187">
        <f>SUM(E19:E25)</f>
        <v>62664.7</v>
      </c>
      <c r="F18" s="187">
        <f>SUM(F19:F25)</f>
        <v>85546.3</v>
      </c>
    </row>
    <row r="19" spans="1:6" ht="51.75" customHeight="1">
      <c r="A19" s="4" t="s">
        <v>562</v>
      </c>
      <c r="B19" s="46" t="s">
        <v>557</v>
      </c>
      <c r="C19" s="46" t="s">
        <v>585</v>
      </c>
      <c r="D19" s="242">
        <f>'Приложение 9'!Q343</f>
        <v>2044.9</v>
      </c>
      <c r="E19" s="242">
        <f>'Приложение 9'!R343</f>
        <v>1946.9</v>
      </c>
      <c r="F19" s="242">
        <f>'Приложение 9'!S343</f>
        <v>1946.9</v>
      </c>
    </row>
    <row r="20" spans="1:6" ht="63" customHeight="1">
      <c r="A20" s="4" t="s">
        <v>496</v>
      </c>
      <c r="B20" s="46" t="s">
        <v>557</v>
      </c>
      <c r="C20" s="46" t="s">
        <v>586</v>
      </c>
      <c r="D20" s="242">
        <f>'Приложение 9'!Q352</f>
        <v>3098.9000000000005</v>
      </c>
      <c r="E20" s="242">
        <f>'Приложение 9'!R352</f>
        <v>2007.4</v>
      </c>
      <c r="F20" s="242">
        <f>'Приложение 9'!S352</f>
        <v>2007.4</v>
      </c>
    </row>
    <row r="21" spans="1:6" ht="63" customHeight="1">
      <c r="A21" s="4" t="s">
        <v>587</v>
      </c>
      <c r="B21" s="46" t="s">
        <v>557</v>
      </c>
      <c r="C21" s="46" t="s">
        <v>581</v>
      </c>
      <c r="D21" s="242">
        <f>'Приложение 9'!Q16</f>
        <v>20314.8</v>
      </c>
      <c r="E21" s="242">
        <f>('Приложение 8'!R26)</f>
        <v>16931.100000000002</v>
      </c>
      <c r="F21" s="242">
        <v>22839.9</v>
      </c>
    </row>
    <row r="22" spans="1:6" ht="24" customHeight="1">
      <c r="A22" s="4" t="s">
        <v>609</v>
      </c>
      <c r="B22" s="46" t="s">
        <v>557</v>
      </c>
      <c r="C22" s="46" t="s">
        <v>559</v>
      </c>
      <c r="D22" s="242">
        <f>'Приложение 9'!Q38</f>
        <v>9.4</v>
      </c>
      <c r="E22" s="242">
        <f>'Приложение 9'!R38</f>
        <v>10.1</v>
      </c>
      <c r="F22" s="242">
        <f>'Приложение 9'!S38</f>
        <v>28.7</v>
      </c>
    </row>
    <row r="23" spans="1:6" ht="48" customHeight="1">
      <c r="A23" s="4" t="s">
        <v>364</v>
      </c>
      <c r="B23" s="46" t="s">
        <v>557</v>
      </c>
      <c r="C23" s="46" t="s">
        <v>588</v>
      </c>
      <c r="D23" s="242">
        <f>'Приложение 9'!Q385+'Приложение 9'!Q412</f>
        <v>8007.8</v>
      </c>
      <c r="E23" s="242">
        <f>'Приложение 9'!R385+'Приложение 9'!R412</f>
        <v>8314.5</v>
      </c>
      <c r="F23" s="242">
        <f>'Приложение 9'!S385+'Приложение 9'!S412</f>
        <v>8314.5</v>
      </c>
    </row>
    <row r="24" spans="1:6" ht="21.75" customHeight="1">
      <c r="A24" s="47" t="s">
        <v>363</v>
      </c>
      <c r="B24" s="46" t="s">
        <v>557</v>
      </c>
      <c r="C24" s="46" t="s">
        <v>589</v>
      </c>
      <c r="D24" s="242">
        <f>'Приложение 9'!Q41</f>
        <v>0</v>
      </c>
      <c r="E24" s="242">
        <f>'Приложение 9'!R41</f>
        <v>500</v>
      </c>
      <c r="F24" s="242">
        <f>'Приложение 9'!S41</f>
        <v>500</v>
      </c>
    </row>
    <row r="25" spans="1:6" ht="15.75">
      <c r="A25" s="47" t="s">
        <v>528</v>
      </c>
      <c r="B25" s="46" t="s">
        <v>557</v>
      </c>
      <c r="C25" s="46" t="s">
        <v>590</v>
      </c>
      <c r="D25" s="242">
        <f>('Приложение 9'!Q45+'Приложение 9'!Q398+'Приложение 9'!Q434+'Приложение 9'!Q662+'Приложение 9'!Q365)</f>
        <v>72472.8</v>
      </c>
      <c r="E25" s="242">
        <f>('Приложение 10'!Q42+'Приложение 10'!Q306+'Приложение 10'!Q336+'Приложение 10'!Q364+'Приложение 10'!Q548)</f>
        <v>32954.7</v>
      </c>
      <c r="F25" s="242">
        <f>('Приложение 10'!R42+'Приложение 10'!R306+'Приложение 10'!R336+'Приложение 10'!R364+'Приложение 10'!R548)</f>
        <v>49908.9</v>
      </c>
    </row>
    <row r="26" spans="1:6" ht="41.25" customHeight="1">
      <c r="A26" s="44" t="s">
        <v>605</v>
      </c>
      <c r="B26" s="45" t="s">
        <v>586</v>
      </c>
      <c r="C26" s="45"/>
      <c r="D26" s="243">
        <f>SUM(D27:D28)</f>
        <v>2213.7999999999997</v>
      </c>
      <c r="E26" s="243">
        <f>SUM(E27:E28)</f>
        <v>1927</v>
      </c>
      <c r="F26" s="243">
        <f>SUM(F27:F28)</f>
        <v>1927</v>
      </c>
    </row>
    <row r="27" spans="1:6" ht="46.5" customHeight="1">
      <c r="A27" s="47" t="s">
        <v>550</v>
      </c>
      <c r="B27" s="46" t="s">
        <v>586</v>
      </c>
      <c r="C27" s="46" t="s">
        <v>551</v>
      </c>
      <c r="D27" s="242">
        <f>'Приложение 9'!Q85</f>
        <v>2062.7999999999997</v>
      </c>
      <c r="E27" s="242">
        <f>'Приложение 9'!R85</f>
        <v>1756</v>
      </c>
      <c r="F27" s="242">
        <f>'Приложение 9'!S85</f>
        <v>1756</v>
      </c>
    </row>
    <row r="28" spans="1:6" ht="38.25" customHeight="1">
      <c r="A28" s="47" t="s">
        <v>549</v>
      </c>
      <c r="B28" s="46" t="s">
        <v>586</v>
      </c>
      <c r="C28" s="46" t="s">
        <v>554</v>
      </c>
      <c r="D28" s="242">
        <f>'Приложение 9'!Q92</f>
        <v>151</v>
      </c>
      <c r="E28" s="242">
        <f>'Приложение 9'!R92</f>
        <v>171</v>
      </c>
      <c r="F28" s="242">
        <f>'Приложение 9'!S92</f>
        <v>171</v>
      </c>
    </row>
    <row r="29" spans="1:6" ht="15.75">
      <c r="A29" s="44" t="s">
        <v>591</v>
      </c>
      <c r="B29" s="45" t="s">
        <v>581</v>
      </c>
      <c r="C29" s="45"/>
      <c r="D29" s="243">
        <f>SUM(D30:D32)</f>
        <v>71738.3</v>
      </c>
      <c r="E29" s="243">
        <f>SUM(E30:E32)</f>
        <v>21280.7</v>
      </c>
      <c r="F29" s="243">
        <f>SUM(F30:F32)</f>
        <v>21625.7</v>
      </c>
    </row>
    <row r="30" spans="1:6" ht="15.75">
      <c r="A30" s="5" t="s">
        <v>345</v>
      </c>
      <c r="B30" s="46" t="s">
        <v>581</v>
      </c>
      <c r="C30" s="46" t="s">
        <v>555</v>
      </c>
      <c r="D30" s="242">
        <f>'Приложение 9'!Q106</f>
        <v>1751</v>
      </c>
      <c r="E30" s="242">
        <f>'Приложение 9'!R106</f>
        <v>600</v>
      </c>
      <c r="F30" s="242">
        <f>'Приложение 9'!S106</f>
        <v>600</v>
      </c>
    </row>
    <row r="31" spans="1:6" ht="15.75">
      <c r="A31" s="47" t="s">
        <v>330</v>
      </c>
      <c r="B31" s="46" t="s">
        <v>581</v>
      </c>
      <c r="C31" s="46" t="s">
        <v>551</v>
      </c>
      <c r="D31" s="242">
        <f>'Приложение 9'!Q112+'Приложение 9'!Q695</f>
        <v>63050.5</v>
      </c>
      <c r="E31" s="242">
        <f>'Приложение 9'!R112+'Приложение 9'!R695</f>
        <v>13020.7</v>
      </c>
      <c r="F31" s="242">
        <f>'Приложение 9'!S112+'Приложение 9'!S695</f>
        <v>13445.7</v>
      </c>
    </row>
    <row r="32" spans="1:6" ht="31.5">
      <c r="A32" s="4" t="s">
        <v>539</v>
      </c>
      <c r="B32" s="46" t="s">
        <v>581</v>
      </c>
      <c r="C32" s="46" t="s">
        <v>592</v>
      </c>
      <c r="D32" s="242">
        <f>'Приложение 9'!Q150</f>
        <v>6936.8</v>
      </c>
      <c r="E32" s="242">
        <f>'Приложение 9'!R150</f>
        <v>7660</v>
      </c>
      <c r="F32" s="242">
        <f>'Приложение 9'!S150</f>
        <v>7580</v>
      </c>
    </row>
    <row r="33" spans="1:6" s="50" customFormat="1" ht="33" customHeight="1">
      <c r="A33" s="48" t="s">
        <v>593</v>
      </c>
      <c r="B33" s="49" t="s">
        <v>559</v>
      </c>
      <c r="C33" s="49"/>
      <c r="D33" s="189">
        <f>SUM(D34:D37)</f>
        <v>63177</v>
      </c>
      <c r="E33" s="189">
        <f>SUM(E34:E37)</f>
        <v>67967.5</v>
      </c>
      <c r="F33" s="189">
        <f>SUM(F34:F37)</f>
        <v>4425.2</v>
      </c>
    </row>
    <row r="34" spans="1:6" s="50" customFormat="1" ht="19.5" customHeight="1">
      <c r="A34" s="238" t="s">
        <v>611</v>
      </c>
      <c r="B34" s="52" t="s">
        <v>559</v>
      </c>
      <c r="C34" s="52" t="s">
        <v>557</v>
      </c>
      <c r="D34" s="190">
        <f>'Приложение 9'!Q192</f>
        <v>41872.2</v>
      </c>
      <c r="E34" s="190">
        <f>'Приложение 9'!R192</f>
        <v>3941.9</v>
      </c>
      <c r="F34" s="190">
        <f>'Приложение 9'!S192</f>
        <v>3299.5</v>
      </c>
    </row>
    <row r="35" spans="1:6" s="50" customFormat="1" ht="19.5" customHeight="1">
      <c r="A35" s="51" t="s">
        <v>731</v>
      </c>
      <c r="B35" s="52" t="s">
        <v>559</v>
      </c>
      <c r="C35" s="52" t="s">
        <v>585</v>
      </c>
      <c r="D35" s="190">
        <f>'Приложение 9'!Q202</f>
        <v>11450.5</v>
      </c>
      <c r="E35" s="190">
        <f>('Приложение 8'!R189)</f>
        <v>63341.3</v>
      </c>
      <c r="F35" s="190">
        <f>('Приложение 8'!S189)</f>
        <v>500</v>
      </c>
    </row>
    <row r="36" spans="1:6" s="50" customFormat="1" ht="19.5" customHeight="1">
      <c r="A36" s="238" t="s">
        <v>274</v>
      </c>
      <c r="B36" s="52" t="s">
        <v>559</v>
      </c>
      <c r="C36" s="52" t="s">
        <v>586</v>
      </c>
      <c r="D36" s="190">
        <f>'Приложение 9'!Q213</f>
        <v>5282.8</v>
      </c>
      <c r="E36" s="190">
        <f>SUM('Приложение 8'!R198)</f>
        <v>284.3</v>
      </c>
      <c r="F36" s="190">
        <f>SUM('Приложение 8'!S198)</f>
        <v>225.7</v>
      </c>
    </row>
    <row r="37" spans="1:6" s="50" customFormat="1" ht="33" customHeight="1">
      <c r="A37" s="237" t="s">
        <v>639</v>
      </c>
      <c r="B37" s="52" t="s">
        <v>559</v>
      </c>
      <c r="C37" s="52" t="s">
        <v>559</v>
      </c>
      <c r="D37" s="242">
        <f>'Приложение 9'!Q221</f>
        <v>4571.499999999999</v>
      </c>
      <c r="E37" s="242">
        <f>'Приложение 9'!R221</f>
        <v>400</v>
      </c>
      <c r="F37" s="242">
        <f>'Приложение 9'!S221</f>
        <v>400</v>
      </c>
    </row>
    <row r="38" spans="1:6" s="50" customFormat="1" ht="15.75">
      <c r="A38" s="48" t="s">
        <v>594</v>
      </c>
      <c r="B38" s="49" t="s">
        <v>588</v>
      </c>
      <c r="C38" s="49"/>
      <c r="D38" s="189">
        <f>SUM(D39:D40)</f>
        <v>1628.5</v>
      </c>
      <c r="E38" s="189">
        <f>SUM(E39:E40)</f>
        <v>136.9</v>
      </c>
      <c r="F38" s="189">
        <f>SUM(F39:F40)</f>
        <v>636.8</v>
      </c>
    </row>
    <row r="39" spans="1:6" s="50" customFormat="1" ht="37.5" customHeight="1">
      <c r="A39" s="54" t="s">
        <v>542</v>
      </c>
      <c r="B39" s="52" t="s">
        <v>588</v>
      </c>
      <c r="C39" s="52" t="s">
        <v>586</v>
      </c>
      <c r="D39" s="242">
        <f>'Приложение 9'!Q232</f>
        <v>1.5</v>
      </c>
      <c r="E39" s="242">
        <f>'Приложение 9'!R232</f>
        <v>27.4</v>
      </c>
      <c r="F39" s="242">
        <f>'Приложение 9'!S232</f>
        <v>27.4</v>
      </c>
    </row>
    <row r="40" spans="1:6" s="50" customFormat="1" ht="34.5" customHeight="1">
      <c r="A40" s="55" t="s">
        <v>541</v>
      </c>
      <c r="B40" s="52" t="s">
        <v>588</v>
      </c>
      <c r="C40" s="52" t="s">
        <v>559</v>
      </c>
      <c r="D40" s="242">
        <f>'Приложение 9'!Q233</f>
        <v>1627</v>
      </c>
      <c r="E40" s="242">
        <f>'Приложение 10'!Q204</f>
        <v>109.5</v>
      </c>
      <c r="F40" s="242">
        <f>'Приложение 10'!R204</f>
        <v>609.4</v>
      </c>
    </row>
    <row r="41" spans="1:6" ht="15.75">
      <c r="A41" s="44" t="s">
        <v>595</v>
      </c>
      <c r="B41" s="45" t="s">
        <v>561</v>
      </c>
      <c r="C41" s="45"/>
      <c r="D41" s="243">
        <f>SUM(D42:D46)</f>
        <v>283622.19999999995</v>
      </c>
      <c r="E41" s="243">
        <f>SUM(E42:E46)</f>
        <v>270190.00000000006</v>
      </c>
      <c r="F41" s="243">
        <f>SUM(F42:F46)</f>
        <v>290393.4</v>
      </c>
    </row>
    <row r="42" spans="1:6" ht="15.75">
      <c r="A42" s="47" t="s">
        <v>369</v>
      </c>
      <c r="B42" s="46" t="s">
        <v>561</v>
      </c>
      <c r="C42" s="46" t="s">
        <v>557</v>
      </c>
      <c r="D42" s="242">
        <f>'Приложение 9'!Q474</f>
        <v>74088.7</v>
      </c>
      <c r="E42" s="242">
        <f>'Приложение 9'!R474</f>
        <v>78520.2</v>
      </c>
      <c r="F42" s="242">
        <f>'Приложение 9'!S474</f>
        <v>81322.4</v>
      </c>
    </row>
    <row r="43" spans="1:6" ht="15.75">
      <c r="A43" s="47" t="s">
        <v>537</v>
      </c>
      <c r="B43" s="46" t="s">
        <v>561</v>
      </c>
      <c r="C43" s="46" t="s">
        <v>585</v>
      </c>
      <c r="D43" s="242">
        <f>'Приложение 9'!Q501</f>
        <v>184184.59999999998</v>
      </c>
      <c r="E43" s="242">
        <f>'Приложение 10'!Q426</f>
        <v>158333.90000000002</v>
      </c>
      <c r="F43" s="242">
        <f>'Приложение 10'!R426</f>
        <v>164603.90000000002</v>
      </c>
    </row>
    <row r="44" spans="1:6" ht="15.75">
      <c r="A44" s="47" t="s">
        <v>340</v>
      </c>
      <c r="B44" s="46" t="s">
        <v>561</v>
      </c>
      <c r="C44" s="46" t="s">
        <v>586</v>
      </c>
      <c r="D44" s="242">
        <f>'Приложение 9'!Q559+'Приложение 9'!Q242</f>
        <v>11869.099999999999</v>
      </c>
      <c r="E44" s="242">
        <f>'Приложение 10'!Q212+'Приложение 10'!Q468</f>
        <v>12805.6</v>
      </c>
      <c r="F44" s="242">
        <f>'Приложение 10'!R468+'Приложение 10'!R212</f>
        <v>12805.6</v>
      </c>
    </row>
    <row r="45" spans="1:6" ht="18.75" customHeight="1">
      <c r="A45" s="47" t="s">
        <v>331</v>
      </c>
      <c r="B45" s="46" t="s">
        <v>561</v>
      </c>
      <c r="C45" s="46" t="s">
        <v>561</v>
      </c>
      <c r="D45" s="242">
        <f>'Приложение 9'!Q249</f>
        <v>124.7</v>
      </c>
      <c r="E45" s="242">
        <f>'Приложение 9'!R249</f>
        <v>550</v>
      </c>
      <c r="F45" s="242">
        <f>'Приложение 9'!S249</f>
        <v>550</v>
      </c>
    </row>
    <row r="46" spans="1:6" ht="22.5" customHeight="1">
      <c r="A46" s="47" t="s">
        <v>536</v>
      </c>
      <c r="B46" s="46" t="s">
        <v>561</v>
      </c>
      <c r="C46" s="46" t="s">
        <v>551</v>
      </c>
      <c r="D46" s="242">
        <f>'Приложение 9'!Q574</f>
        <v>13355.1</v>
      </c>
      <c r="E46" s="242">
        <f>'Приложение 9'!R574</f>
        <v>19980.300000000003</v>
      </c>
      <c r="F46" s="242">
        <f>'Приложение 9'!S574</f>
        <v>31111.500000000004</v>
      </c>
    </row>
    <row r="47" spans="1:6" ht="22.5" customHeight="1">
      <c r="A47" s="44" t="s">
        <v>608</v>
      </c>
      <c r="B47" s="45" t="s">
        <v>555</v>
      </c>
      <c r="C47" s="45"/>
      <c r="D47" s="187">
        <f>SUM(D48)</f>
        <v>40005.2</v>
      </c>
      <c r="E47" s="187">
        <f>SUM(E48)</f>
        <v>28683.5</v>
      </c>
      <c r="F47" s="187">
        <f>SUM(F48)</f>
        <v>26972.6</v>
      </c>
    </row>
    <row r="48" spans="1:6" ht="15.75">
      <c r="A48" s="47" t="s">
        <v>374</v>
      </c>
      <c r="B48" s="46" t="s">
        <v>555</v>
      </c>
      <c r="C48" s="46" t="s">
        <v>557</v>
      </c>
      <c r="D48" s="242">
        <f>'Приложение 9'!Q265</f>
        <v>40005.2</v>
      </c>
      <c r="E48" s="242">
        <f>'Приложение 9'!R265</f>
        <v>28683.5</v>
      </c>
      <c r="F48" s="242">
        <f>'Приложение 9'!S265</f>
        <v>26972.6</v>
      </c>
    </row>
    <row r="49" spans="1:6" ht="17.25" customHeight="1">
      <c r="A49" s="44" t="s">
        <v>596</v>
      </c>
      <c r="B49" s="45" t="s">
        <v>551</v>
      </c>
      <c r="C49" s="46"/>
      <c r="D49" s="187">
        <f>D50</f>
        <v>77.2</v>
      </c>
      <c r="E49" s="187">
        <f>E50</f>
        <v>81.3</v>
      </c>
      <c r="F49" s="187">
        <f>F50</f>
        <v>81.3</v>
      </c>
    </row>
    <row r="50" spans="1:6" ht="17.25" customHeight="1">
      <c r="A50" s="47" t="s">
        <v>560</v>
      </c>
      <c r="B50" s="46" t="s">
        <v>551</v>
      </c>
      <c r="C50" s="46" t="s">
        <v>561</v>
      </c>
      <c r="D50" s="244">
        <f>'Приложение 9'!Q295</f>
        <v>77.2</v>
      </c>
      <c r="E50" s="244">
        <f>('Приложение 10'!Q256)</f>
        <v>81.3</v>
      </c>
      <c r="F50" s="244">
        <f>('Приложение 10'!R256)</f>
        <v>81.3</v>
      </c>
    </row>
    <row r="51" spans="1:6" ht="15.75">
      <c r="A51" s="44" t="s">
        <v>597</v>
      </c>
      <c r="B51" s="45" t="s">
        <v>577</v>
      </c>
      <c r="C51" s="45"/>
      <c r="D51" s="187">
        <f>SUM(D52:D56)</f>
        <v>14222.6</v>
      </c>
      <c r="E51" s="187">
        <f>SUM(E52:E56)</f>
        <v>14150.5</v>
      </c>
      <c r="F51" s="187">
        <f>SUM(F52:F56)</f>
        <v>14149.900000000001</v>
      </c>
    </row>
    <row r="52" spans="1:6" ht="15.75">
      <c r="A52" s="17" t="s">
        <v>373</v>
      </c>
      <c r="B52" s="46" t="s">
        <v>577</v>
      </c>
      <c r="C52" s="46" t="s">
        <v>557</v>
      </c>
      <c r="D52" s="242">
        <f>'Приложение 9'!Q299</f>
        <v>1849.5</v>
      </c>
      <c r="E52" s="242">
        <f>'Приложение 9'!R299</f>
        <v>2100</v>
      </c>
      <c r="F52" s="242">
        <f>'Приложение 9'!S299</f>
        <v>2100</v>
      </c>
    </row>
    <row r="53" spans="1:6" ht="15.75" hidden="1">
      <c r="A53" s="47" t="s">
        <v>372</v>
      </c>
      <c r="B53" s="46" t="s">
        <v>577</v>
      </c>
      <c r="C53" s="46" t="s">
        <v>585</v>
      </c>
      <c r="D53" s="242"/>
      <c r="E53" s="244"/>
      <c r="F53" s="244"/>
    </row>
    <row r="54" spans="1:6" s="50" customFormat="1" ht="21.75" customHeight="1">
      <c r="A54" s="53" t="s">
        <v>598</v>
      </c>
      <c r="B54" s="52" t="s">
        <v>577</v>
      </c>
      <c r="C54" s="52" t="s">
        <v>586</v>
      </c>
      <c r="D54" s="242">
        <f>'Приложение 9'!Q302+'Приложение 9'!Q376+'Приложение 9'!Q701</f>
        <v>8318.6</v>
      </c>
      <c r="E54" s="242">
        <f>SUM('Приложение 10'!Q264+'Приложение 10'!Q318+'Приложение 10'!Q580)</f>
        <v>7463.3</v>
      </c>
      <c r="F54" s="242">
        <f>SUM('Приложение 10'!R264+'Приложение 10'!R318+'Приложение 10'!R580)</f>
        <v>7462.700000000001</v>
      </c>
    </row>
    <row r="55" spans="1:6" s="50" customFormat="1" ht="15.75">
      <c r="A55" s="18" t="s">
        <v>370</v>
      </c>
      <c r="B55" s="52" t="s">
        <v>577</v>
      </c>
      <c r="C55" s="52" t="s">
        <v>581</v>
      </c>
      <c r="D55" s="242">
        <f>'Приложение 9'!Q652</f>
        <v>2705</v>
      </c>
      <c r="E55" s="242">
        <f>'Приложение 9'!R652</f>
        <v>3455.1</v>
      </c>
      <c r="F55" s="242">
        <f>'Приложение 9'!S652</f>
        <v>3455.1</v>
      </c>
    </row>
    <row r="56" spans="1:6" ht="15.75">
      <c r="A56" s="17" t="s">
        <v>531</v>
      </c>
      <c r="B56" s="46" t="s">
        <v>577</v>
      </c>
      <c r="C56" s="46" t="s">
        <v>588</v>
      </c>
      <c r="D56" s="242">
        <f>'Приложение 9'!Q314</f>
        <v>1349.5</v>
      </c>
      <c r="E56" s="242">
        <f>'Приложение 9'!R314</f>
        <v>1132.1</v>
      </c>
      <c r="F56" s="242">
        <f>'Приложение 9'!S314</f>
        <v>1132.1</v>
      </c>
    </row>
    <row r="57" spans="1:6" ht="15.75">
      <c r="A57" s="56" t="s">
        <v>599</v>
      </c>
      <c r="B57" s="45" t="s">
        <v>589</v>
      </c>
      <c r="C57" s="45"/>
      <c r="D57" s="187">
        <f>SUM(D58:D60)</f>
        <v>36946.3</v>
      </c>
      <c r="E57" s="187">
        <f>SUM(E58:E60)</f>
        <v>10084.8</v>
      </c>
      <c r="F57" s="187">
        <f>SUM(F58:F60)</f>
        <v>7300</v>
      </c>
    </row>
    <row r="58" spans="1:6" ht="15.75">
      <c r="A58" s="57" t="s">
        <v>600</v>
      </c>
      <c r="B58" s="46" t="s">
        <v>589</v>
      </c>
      <c r="C58" s="46" t="s">
        <v>557</v>
      </c>
      <c r="D58" s="242">
        <f>'Приложение 9'!Q324</f>
        <v>36946.3</v>
      </c>
      <c r="E58" s="242">
        <f>'Приложение 9'!R324</f>
        <v>10084.8</v>
      </c>
      <c r="F58" s="242">
        <f>'Приложение 9'!S324</f>
        <v>7300</v>
      </c>
    </row>
    <row r="59" spans="1:6" ht="15.75" hidden="1">
      <c r="A59" s="58" t="s">
        <v>601</v>
      </c>
      <c r="B59" s="59" t="s">
        <v>589</v>
      </c>
      <c r="C59" s="59" t="s">
        <v>585</v>
      </c>
      <c r="D59" s="242"/>
      <c r="E59" s="244"/>
      <c r="F59" s="244"/>
    </row>
    <row r="60" spans="1:6" ht="31.5" hidden="1">
      <c r="A60" s="58" t="s">
        <v>602</v>
      </c>
      <c r="B60" s="59" t="s">
        <v>589</v>
      </c>
      <c r="C60" s="59" t="s">
        <v>559</v>
      </c>
      <c r="D60" s="242"/>
      <c r="E60" s="244"/>
      <c r="F60" s="244"/>
    </row>
    <row r="61" spans="1:6" ht="31.5">
      <c r="A61" s="60" t="s">
        <v>603</v>
      </c>
      <c r="B61" s="61" t="s">
        <v>590</v>
      </c>
      <c r="C61" s="61"/>
      <c r="D61" s="243">
        <f>SUM(D62)</f>
        <v>68.9</v>
      </c>
      <c r="E61" s="243">
        <f>SUM(E62)</f>
        <v>0</v>
      </c>
      <c r="F61" s="243">
        <f>SUM(F62)</f>
        <v>0</v>
      </c>
    </row>
    <row r="62" spans="1:6" ht="31.5">
      <c r="A62" s="58" t="s">
        <v>547</v>
      </c>
      <c r="B62" s="59" t="s">
        <v>590</v>
      </c>
      <c r="C62" s="59" t="s">
        <v>557</v>
      </c>
      <c r="D62" s="245">
        <f>'Приложение 9'!Q448</f>
        <v>68.9</v>
      </c>
      <c r="E62" s="245">
        <f>'Приложение 9'!R448</f>
        <v>0</v>
      </c>
      <c r="F62" s="245">
        <f>'Приложение 9'!S448</f>
        <v>0</v>
      </c>
    </row>
    <row r="63" spans="1:6" ht="63">
      <c r="A63" s="63" t="s">
        <v>332</v>
      </c>
      <c r="B63" s="61" t="s">
        <v>554</v>
      </c>
      <c r="C63" s="61"/>
      <c r="D63" s="188">
        <f>SUM(D64:D65)</f>
        <v>19114.8</v>
      </c>
      <c r="E63" s="188">
        <f>SUM(E64:E65)</f>
        <v>17823.8</v>
      </c>
      <c r="F63" s="188">
        <f>SUM(F64:F65)</f>
        <v>17916.8</v>
      </c>
    </row>
    <row r="64" spans="1:6" ht="47.25">
      <c r="A64" s="11" t="s">
        <v>580</v>
      </c>
      <c r="B64" s="59" t="s">
        <v>554</v>
      </c>
      <c r="C64" s="59" t="s">
        <v>557</v>
      </c>
      <c r="D64" s="245">
        <f>'Приложение 9'!Q456</f>
        <v>5032.799999999999</v>
      </c>
      <c r="E64" s="245">
        <f>'Приложение 9'!R456</f>
        <v>5252.3</v>
      </c>
      <c r="F64" s="245">
        <f>'Приложение 9'!S456</f>
        <v>5735.7</v>
      </c>
    </row>
    <row r="65" spans="1:6" ht="15.75">
      <c r="A65" s="11" t="s">
        <v>638</v>
      </c>
      <c r="B65" s="59" t="s">
        <v>554</v>
      </c>
      <c r="C65" s="59" t="s">
        <v>585</v>
      </c>
      <c r="D65" s="245">
        <f>'Приложение 9'!Q464</f>
        <v>14082</v>
      </c>
      <c r="E65" s="245">
        <f>'Приложение 9'!R464</f>
        <v>12571.5</v>
      </c>
      <c r="F65" s="245">
        <f>'Приложение 9'!S464</f>
        <v>12181.1</v>
      </c>
    </row>
    <row r="66" spans="1:6" ht="15.75">
      <c r="A66" s="44" t="s">
        <v>604</v>
      </c>
      <c r="B66" s="45"/>
      <c r="C66" s="45"/>
      <c r="D66" s="187">
        <f>D63+D61+D57+D51+D47+D49+D41+D38+D29+D26+D18+D33</f>
        <v>638763.3999999999</v>
      </c>
      <c r="E66" s="187">
        <f>E63+E61+E57+E51+E47+E49+E41+E38+E29+E26+E18+E33</f>
        <v>494990.7000000001</v>
      </c>
      <c r="F66" s="187">
        <f>F63+F61+F57+F51+F47+F49+F41+F38+F29+F26+F18+F33</f>
        <v>470975</v>
      </c>
    </row>
    <row r="67" spans="1:6" ht="15.75">
      <c r="A67" s="44" t="s">
        <v>17</v>
      </c>
      <c r="B67" s="209"/>
      <c r="C67" s="209"/>
      <c r="D67" s="187" t="s">
        <v>614</v>
      </c>
      <c r="E67" s="187">
        <f>'Приложение 10'!Q586</f>
        <v>6200</v>
      </c>
      <c r="F67" s="187">
        <f>'Приложение 10'!R586</f>
        <v>12500</v>
      </c>
    </row>
    <row r="68" spans="1:6" ht="15.75">
      <c r="A68" s="44" t="s">
        <v>18</v>
      </c>
      <c r="B68" s="209"/>
      <c r="C68" s="209"/>
      <c r="D68" s="210">
        <f>D66</f>
        <v>638763.3999999999</v>
      </c>
      <c r="E68" s="187">
        <f>E66+E67</f>
        <v>501190.7000000001</v>
      </c>
      <c r="F68" s="187">
        <f>F66+F67</f>
        <v>483475</v>
      </c>
    </row>
    <row r="69" spans="1:6" ht="15.75">
      <c r="A69" s="64"/>
      <c r="F69" s="211" t="s">
        <v>521</v>
      </c>
    </row>
    <row r="70" ht="15.75">
      <c r="A70" s="64"/>
    </row>
    <row r="71" ht="18" customHeight="1">
      <c r="A71" s="64"/>
    </row>
    <row r="72" ht="15.75">
      <c r="A72" s="64"/>
    </row>
    <row r="73" ht="34.5" customHeight="1">
      <c r="A73" s="64"/>
    </row>
    <row r="74" ht="27" customHeight="1">
      <c r="A74" s="64"/>
    </row>
    <row r="75" ht="15.75">
      <c r="A75" s="64"/>
    </row>
    <row r="76" ht="15.75">
      <c r="A76" s="64"/>
    </row>
    <row r="77" ht="15.75">
      <c r="A77" s="64"/>
    </row>
    <row r="78" spans="1:6" s="62" customFormat="1" ht="15.75">
      <c r="A78" s="64"/>
      <c r="B78" s="36"/>
      <c r="C78" s="36"/>
      <c r="D78" s="37"/>
      <c r="E78" s="37"/>
      <c r="F78" s="37"/>
    </row>
    <row r="79" spans="1:6" s="62" customFormat="1" ht="30.75" customHeight="1">
      <c r="A79" s="64"/>
      <c r="B79" s="36"/>
      <c r="C79" s="36"/>
      <c r="D79" s="37"/>
      <c r="E79" s="37"/>
      <c r="F79" s="37"/>
    </row>
    <row r="80" spans="1:6" s="62" customFormat="1" ht="58.5" customHeight="1">
      <c r="A80" s="64"/>
      <c r="B80" s="36"/>
      <c r="C80" s="36"/>
      <c r="D80" s="37"/>
      <c r="E80" s="37"/>
      <c r="F80" s="37"/>
    </row>
    <row r="81" spans="1:6" s="62" customFormat="1" ht="49.5" customHeight="1">
      <c r="A81" s="64"/>
      <c r="B81" s="36"/>
      <c r="C81" s="36"/>
      <c r="D81" s="37"/>
      <c r="E81" s="37"/>
      <c r="F81" s="37"/>
    </row>
    <row r="82" spans="1:6" s="62" customFormat="1" ht="15.75">
      <c r="A82" s="64"/>
      <c r="B82" s="36"/>
      <c r="C82" s="36"/>
      <c r="D82" s="37"/>
      <c r="E82" s="37"/>
      <c r="F82" s="37"/>
    </row>
    <row r="83" ht="15" customHeight="1">
      <c r="A83" s="64"/>
    </row>
    <row r="84" spans="1:6" s="62" customFormat="1" ht="15.75">
      <c r="A84" s="64"/>
      <c r="B84" s="36"/>
      <c r="C84" s="36"/>
      <c r="D84" s="37"/>
      <c r="E84" s="37"/>
      <c r="F84" s="37"/>
    </row>
    <row r="85" spans="1:6" s="62" customFormat="1" ht="15.75">
      <c r="A85" s="35"/>
      <c r="B85" s="36"/>
      <c r="C85" s="36"/>
      <c r="D85" s="37"/>
      <c r="E85" s="37"/>
      <c r="F85" s="37"/>
    </row>
  </sheetData>
  <sheetProtection/>
  <mergeCells count="6">
    <mergeCell ref="E14:F14"/>
    <mergeCell ref="B9:E9"/>
    <mergeCell ref="A15:A16"/>
    <mergeCell ref="B15:B16"/>
    <mergeCell ref="C15:C16"/>
    <mergeCell ref="D15:F15"/>
  </mergeCells>
  <printOptions/>
  <pageMargins left="0.75" right="0.52" top="0.46" bottom="0.45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3"/>
  <sheetViews>
    <sheetView showGridLines="0" zoomScale="75" zoomScaleNormal="75" zoomScaleSheetLayoutView="100" workbookViewId="0" topLeftCell="H399">
      <selection activeCell="Q401" sqref="Q401"/>
    </sheetView>
  </sheetViews>
  <sheetFormatPr defaultColWidth="9.140625" defaultRowHeight="15"/>
  <cols>
    <col min="1" max="7" width="0" style="31" hidden="1" customWidth="1"/>
    <col min="8" max="8" width="111.8515625" style="307" customWidth="1"/>
    <col min="9" max="9" width="7.8515625" style="175" hidden="1" customWidth="1"/>
    <col min="10" max="10" width="5.140625" style="175" customWidth="1"/>
    <col min="11" max="11" width="5.00390625" style="175" customWidth="1"/>
    <col min="12" max="12" width="5.7109375" style="308" customWidth="1"/>
    <col min="13" max="14" width="4.28125" style="308" customWidth="1"/>
    <col min="15" max="15" width="10.28125" style="308" customWidth="1"/>
    <col min="16" max="16" width="9.7109375" style="175" customWidth="1"/>
    <col min="17" max="17" width="38.28125" style="65" customWidth="1"/>
    <col min="18" max="18" width="16.8515625" style="309" hidden="1" customWidth="1"/>
    <col min="19" max="19" width="18.00390625" style="309" hidden="1" customWidth="1"/>
    <col min="20" max="16384" width="9.140625" style="31" customWidth="1"/>
  </cols>
  <sheetData>
    <row r="1" spans="8:19" s="330" customFormat="1" ht="13.5" customHeight="1">
      <c r="H1" s="331"/>
      <c r="I1" s="332" t="s">
        <v>819</v>
      </c>
      <c r="J1" s="333"/>
      <c r="K1" s="333"/>
      <c r="L1" s="334"/>
      <c r="M1" s="334"/>
      <c r="N1" s="334"/>
      <c r="O1" s="334"/>
      <c r="P1" s="377" t="s">
        <v>853</v>
      </c>
      <c r="Q1" s="377"/>
      <c r="R1" s="335"/>
      <c r="S1" s="335"/>
    </row>
    <row r="2" spans="8:18" s="336" customFormat="1" ht="15.75">
      <c r="H2" s="317"/>
      <c r="I2" s="176" t="s">
        <v>819</v>
      </c>
      <c r="J2" s="337"/>
      <c r="K2" s="337"/>
      <c r="L2" s="338"/>
      <c r="M2" s="338"/>
      <c r="N2" s="338"/>
      <c r="O2" s="338"/>
      <c r="P2" s="377" t="s">
        <v>491</v>
      </c>
      <c r="Q2" s="377"/>
      <c r="R2" s="309"/>
    </row>
    <row r="3" spans="8:18" s="336" customFormat="1" ht="15.75">
      <c r="H3" s="317"/>
      <c r="I3" s="176" t="s">
        <v>522</v>
      </c>
      <c r="J3" s="337"/>
      <c r="K3" s="337"/>
      <c r="L3" s="338"/>
      <c r="M3" s="338"/>
      <c r="N3" s="338"/>
      <c r="O3" s="338"/>
      <c r="P3" s="377" t="s">
        <v>107</v>
      </c>
      <c r="Q3" s="377"/>
      <c r="R3" s="309"/>
    </row>
    <row r="4" spans="8:18" s="324" customFormat="1" ht="12.75">
      <c r="H4" s="325"/>
      <c r="I4" s="329" t="s">
        <v>523</v>
      </c>
      <c r="J4" s="326"/>
      <c r="K4" s="326"/>
      <c r="L4" s="327"/>
      <c r="M4" s="327"/>
      <c r="N4" s="327"/>
      <c r="O4" s="327"/>
      <c r="P4" s="326"/>
      <c r="Q4" s="328"/>
      <c r="R4" s="328"/>
    </row>
    <row r="5" spans="8:19" ht="15.75">
      <c r="H5" s="67"/>
      <c r="I5" s="68" t="s">
        <v>614</v>
      </c>
      <c r="J5" s="370" t="s">
        <v>104</v>
      </c>
      <c r="K5" s="370"/>
      <c r="L5" s="370"/>
      <c r="M5" s="370"/>
      <c r="N5" s="370"/>
      <c r="O5" s="370"/>
      <c r="P5" s="370"/>
      <c r="Q5" s="370"/>
      <c r="R5" s="370"/>
      <c r="S5" s="370"/>
    </row>
    <row r="6" spans="1:19" ht="19.5" customHeight="1">
      <c r="A6" s="66"/>
      <c r="B6" s="66"/>
      <c r="C6" s="66"/>
      <c r="D6" s="66"/>
      <c r="E6" s="66"/>
      <c r="F6" s="66"/>
      <c r="G6" s="66"/>
      <c r="H6" s="67"/>
      <c r="I6" s="68" t="s">
        <v>614</v>
      </c>
      <c r="J6" s="370" t="s">
        <v>11</v>
      </c>
      <c r="K6" s="370"/>
      <c r="L6" s="370"/>
      <c r="M6" s="370"/>
      <c r="N6" s="370"/>
      <c r="O6" s="370"/>
      <c r="P6" s="370"/>
      <c r="Q6" s="370"/>
      <c r="R6" s="370"/>
      <c r="S6" s="370"/>
    </row>
    <row r="7" spans="1:19" ht="15.75" customHeight="1">
      <c r="A7" s="66"/>
      <c r="B7" s="66"/>
      <c r="C7" s="66"/>
      <c r="D7" s="66"/>
      <c r="E7" s="66"/>
      <c r="F7" s="66"/>
      <c r="G7" s="66"/>
      <c r="H7" s="67"/>
      <c r="I7" s="68" t="s">
        <v>614</v>
      </c>
      <c r="J7" s="370" t="s">
        <v>689</v>
      </c>
      <c r="K7" s="370"/>
      <c r="L7" s="370"/>
      <c r="M7" s="370"/>
      <c r="N7" s="370"/>
      <c r="O7" s="370"/>
      <c r="P7" s="370"/>
      <c r="Q7" s="370"/>
      <c r="R7" s="370"/>
      <c r="S7" s="370"/>
    </row>
    <row r="8" spans="1:19" ht="14.25" customHeight="1">
      <c r="A8" s="66"/>
      <c r="B8" s="66"/>
      <c r="C8" s="66"/>
      <c r="D8" s="66"/>
      <c r="E8" s="66"/>
      <c r="F8" s="66"/>
      <c r="G8" s="66"/>
      <c r="H8" s="67"/>
      <c r="I8" s="69" t="s">
        <v>614</v>
      </c>
      <c r="J8" s="371" t="s">
        <v>688</v>
      </c>
      <c r="K8" s="371"/>
      <c r="L8" s="371"/>
      <c r="M8" s="371"/>
      <c r="N8" s="371"/>
      <c r="O8" s="371"/>
      <c r="P8" s="371"/>
      <c r="Q8" s="371"/>
      <c r="R8" s="371"/>
      <c r="S8" s="371"/>
    </row>
    <row r="9" spans="1:19" ht="27.75" customHeight="1" thickBot="1">
      <c r="A9" s="74"/>
      <c r="B9" s="74"/>
      <c r="C9" s="74"/>
      <c r="D9" s="74"/>
      <c r="E9" s="74"/>
      <c r="F9" s="74"/>
      <c r="G9" s="74"/>
      <c r="H9" s="67" t="s">
        <v>614</v>
      </c>
      <c r="I9" s="72" t="s">
        <v>614</v>
      </c>
      <c r="J9" s="373" t="s">
        <v>850</v>
      </c>
      <c r="K9" s="373"/>
      <c r="L9" s="373"/>
      <c r="M9" s="373"/>
      <c r="N9" s="373"/>
      <c r="O9" s="373"/>
      <c r="P9" s="373"/>
      <c r="Q9" s="373"/>
      <c r="R9" s="373"/>
      <c r="S9" s="373"/>
    </row>
    <row r="10" spans="1:19" ht="18.75" customHeight="1" hidden="1" thickBot="1">
      <c r="A10" s="76"/>
      <c r="B10" s="76"/>
      <c r="C10" s="76"/>
      <c r="D10" s="76"/>
      <c r="E10" s="76"/>
      <c r="F10" s="76"/>
      <c r="G10" s="76"/>
      <c r="H10" s="67"/>
      <c r="I10" s="72"/>
      <c r="J10" s="73"/>
      <c r="K10" s="73"/>
      <c r="L10" s="73"/>
      <c r="M10" s="73"/>
      <c r="N10" s="73"/>
      <c r="O10" s="73"/>
      <c r="P10" s="73"/>
      <c r="Q10" s="73"/>
      <c r="R10" s="73"/>
      <c r="S10" s="73"/>
    </row>
    <row r="11" spans="1:19" ht="41.25" customHeight="1">
      <c r="A11" s="77"/>
      <c r="B11" s="77" t="s">
        <v>509</v>
      </c>
      <c r="C11" s="78" t="s">
        <v>508</v>
      </c>
      <c r="D11" s="78" t="s">
        <v>507</v>
      </c>
      <c r="E11" s="78" t="s">
        <v>506</v>
      </c>
      <c r="F11" s="78" t="s">
        <v>505</v>
      </c>
      <c r="G11" s="78" t="s">
        <v>504</v>
      </c>
      <c r="H11" s="374" t="s">
        <v>698</v>
      </c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</row>
    <row r="12" spans="1:19" ht="21.75" customHeight="1">
      <c r="A12" s="199"/>
      <c r="B12" s="199"/>
      <c r="C12" s="199"/>
      <c r="D12" s="199"/>
      <c r="E12" s="199"/>
      <c r="F12" s="199"/>
      <c r="G12" s="199"/>
      <c r="H12" s="251"/>
      <c r="I12" s="251"/>
      <c r="J12" s="251"/>
      <c r="K12" s="251"/>
      <c r="L12" s="251"/>
      <c r="M12" s="251"/>
      <c r="N12" s="251"/>
      <c r="O12" s="251"/>
      <c r="P12" s="251"/>
      <c r="Q12" s="263" t="s">
        <v>12</v>
      </c>
      <c r="R12" s="251"/>
      <c r="S12" s="310" t="s">
        <v>12</v>
      </c>
    </row>
    <row r="13" spans="1:19" ht="36" customHeight="1">
      <c r="A13" s="199"/>
      <c r="B13" s="199"/>
      <c r="C13" s="199"/>
      <c r="D13" s="199"/>
      <c r="E13" s="199"/>
      <c r="F13" s="199"/>
      <c r="G13" s="199"/>
      <c r="H13" s="79" t="s">
        <v>503</v>
      </c>
      <c r="I13" s="80" t="s">
        <v>502</v>
      </c>
      <c r="J13" s="80" t="s">
        <v>501</v>
      </c>
      <c r="K13" s="79" t="s">
        <v>500</v>
      </c>
      <c r="L13" s="378" t="s">
        <v>499</v>
      </c>
      <c r="M13" s="379"/>
      <c r="N13" s="379"/>
      <c r="O13" s="380"/>
      <c r="P13" s="79" t="s">
        <v>498</v>
      </c>
      <c r="Q13" s="383" t="s">
        <v>497</v>
      </c>
      <c r="R13" s="383"/>
      <c r="S13" s="383"/>
    </row>
    <row r="14" spans="1:19" ht="21.75" customHeight="1">
      <c r="A14" s="199"/>
      <c r="B14" s="199"/>
      <c r="C14" s="199"/>
      <c r="D14" s="199"/>
      <c r="E14" s="199"/>
      <c r="F14" s="199"/>
      <c r="G14" s="199"/>
      <c r="H14" s="79">
        <v>1</v>
      </c>
      <c r="I14" s="193"/>
      <c r="J14" s="80">
        <v>2</v>
      </c>
      <c r="K14" s="79">
        <v>3</v>
      </c>
      <c r="L14" s="196"/>
      <c r="M14" s="197"/>
      <c r="N14" s="197" t="s">
        <v>553</v>
      </c>
      <c r="O14" s="198"/>
      <c r="P14" s="79">
        <v>5</v>
      </c>
      <c r="Q14" s="262">
        <v>6</v>
      </c>
      <c r="R14" s="262">
        <v>6</v>
      </c>
      <c r="S14" s="261"/>
    </row>
    <row r="15" spans="1:19" s="179" customFormat="1" ht="18.75" customHeight="1">
      <c r="A15" s="375">
        <v>100</v>
      </c>
      <c r="B15" s="375"/>
      <c r="C15" s="376"/>
      <c r="D15" s="376"/>
      <c r="E15" s="376"/>
      <c r="F15" s="376"/>
      <c r="G15" s="136">
        <v>120</v>
      </c>
      <c r="H15" s="137" t="s">
        <v>529</v>
      </c>
      <c r="I15" s="138">
        <v>27</v>
      </c>
      <c r="J15" s="148">
        <v>1</v>
      </c>
      <c r="K15" s="148" t="s">
        <v>614</v>
      </c>
      <c r="L15" s="140" t="s">
        <v>527</v>
      </c>
      <c r="M15" s="141" t="s">
        <v>527</v>
      </c>
      <c r="N15" s="141"/>
      <c r="O15" s="141" t="s">
        <v>527</v>
      </c>
      <c r="P15" s="138" t="s">
        <v>527</v>
      </c>
      <c r="Q15" s="213">
        <f>Q16+Q25+Q38+Q60+Q63+Q95+Q99</f>
        <v>105948.59999999999</v>
      </c>
      <c r="R15" s="213" t="e">
        <f>R16+R25+R38+R60+R63+R95+R99</f>
        <v>#REF!</v>
      </c>
      <c r="S15" s="213" t="e">
        <f>S16+S25+S38+S60+S63+S95+S99</f>
        <v>#REF!</v>
      </c>
    </row>
    <row r="16" spans="1:19" s="179" customFormat="1" ht="36" customHeight="1">
      <c r="A16" s="142"/>
      <c r="B16" s="143"/>
      <c r="C16" s="153"/>
      <c r="D16" s="150"/>
      <c r="E16" s="154"/>
      <c r="F16" s="154"/>
      <c r="G16" s="136"/>
      <c r="H16" s="137" t="s">
        <v>562</v>
      </c>
      <c r="I16" s="138">
        <v>28</v>
      </c>
      <c r="J16" s="148">
        <v>1</v>
      </c>
      <c r="K16" s="148">
        <v>2</v>
      </c>
      <c r="L16" s="185"/>
      <c r="M16" s="186"/>
      <c r="N16" s="186"/>
      <c r="O16" s="186"/>
      <c r="P16" s="138"/>
      <c r="Q16" s="213">
        <f aca="true" t="shared" si="0" ref="Q16:S17">Q17</f>
        <v>2044.9</v>
      </c>
      <c r="R16" s="213">
        <f t="shared" si="0"/>
        <v>1946.9</v>
      </c>
      <c r="S16" s="213">
        <f t="shared" si="0"/>
        <v>1946.9</v>
      </c>
    </row>
    <row r="17" spans="1:19" s="179" customFormat="1" ht="21.75" customHeight="1">
      <c r="A17" s="142"/>
      <c r="B17" s="143"/>
      <c r="C17" s="153"/>
      <c r="D17" s="150"/>
      <c r="E17" s="154"/>
      <c r="F17" s="154"/>
      <c r="G17" s="136"/>
      <c r="H17" s="11" t="s">
        <v>574</v>
      </c>
      <c r="I17" s="10">
        <v>28</v>
      </c>
      <c r="J17" s="7">
        <v>1</v>
      </c>
      <c r="K17" s="7">
        <v>2</v>
      </c>
      <c r="L17" s="16" t="s">
        <v>575</v>
      </c>
      <c r="M17" s="96" t="s">
        <v>556</v>
      </c>
      <c r="N17" s="96" t="s">
        <v>576</v>
      </c>
      <c r="O17" s="96" t="s">
        <v>613</v>
      </c>
      <c r="P17" s="10" t="s">
        <v>527</v>
      </c>
      <c r="Q17" s="214">
        <f>Q18+Q23+Q21</f>
        <v>2044.9</v>
      </c>
      <c r="R17" s="214">
        <f t="shared" si="0"/>
        <v>1946.9</v>
      </c>
      <c r="S17" s="214">
        <f t="shared" si="0"/>
        <v>1946.9</v>
      </c>
    </row>
    <row r="18" spans="1:19" ht="23.25" customHeight="1">
      <c r="A18" s="97"/>
      <c r="B18" s="98"/>
      <c r="C18" s="103"/>
      <c r="D18" s="101"/>
      <c r="E18" s="113"/>
      <c r="F18" s="113"/>
      <c r="G18" s="89"/>
      <c r="H18" s="11" t="s">
        <v>758</v>
      </c>
      <c r="I18" s="10">
        <v>28</v>
      </c>
      <c r="J18" s="7">
        <v>1</v>
      </c>
      <c r="K18" s="7">
        <v>2</v>
      </c>
      <c r="L18" s="122" t="s">
        <v>575</v>
      </c>
      <c r="M18" s="123" t="s">
        <v>556</v>
      </c>
      <c r="N18" s="123" t="s">
        <v>576</v>
      </c>
      <c r="O18" s="123" t="s">
        <v>641</v>
      </c>
      <c r="P18" s="10"/>
      <c r="Q18" s="214">
        <f>SUM(Q19:Q20)</f>
        <v>1731.7</v>
      </c>
      <c r="R18" s="214">
        <f>SUM(R19:R20)</f>
        <v>1946.9</v>
      </c>
      <c r="S18" s="214">
        <f>SUM(S19:S20)</f>
        <v>1946.9</v>
      </c>
    </row>
    <row r="19" spans="1:19" ht="24.75" customHeight="1">
      <c r="A19" s="97"/>
      <c r="B19" s="98"/>
      <c r="C19" s="103"/>
      <c r="D19" s="101"/>
      <c r="E19" s="113"/>
      <c r="F19" s="113"/>
      <c r="G19" s="89"/>
      <c r="H19" s="11" t="s">
        <v>526</v>
      </c>
      <c r="I19" s="10">
        <v>28</v>
      </c>
      <c r="J19" s="7">
        <v>1</v>
      </c>
      <c r="K19" s="7">
        <v>2</v>
      </c>
      <c r="L19" s="122" t="s">
        <v>575</v>
      </c>
      <c r="M19" s="123" t="s">
        <v>556</v>
      </c>
      <c r="N19" s="123" t="s">
        <v>576</v>
      </c>
      <c r="O19" s="123" t="s">
        <v>641</v>
      </c>
      <c r="P19" s="10">
        <v>120</v>
      </c>
      <c r="Q19" s="214">
        <f>'Приложение 9'!Q346</f>
        <v>1731.7</v>
      </c>
      <c r="R19" s="214">
        <v>1633.8</v>
      </c>
      <c r="S19" s="214">
        <v>1633.8</v>
      </c>
    </row>
    <row r="20" spans="1:19" ht="29.25" customHeight="1" hidden="1">
      <c r="A20" s="97"/>
      <c r="B20" s="98"/>
      <c r="C20" s="103"/>
      <c r="D20" s="101"/>
      <c r="E20" s="113"/>
      <c r="F20" s="113"/>
      <c r="G20" s="89"/>
      <c r="H20" s="11" t="s">
        <v>712</v>
      </c>
      <c r="I20" s="10">
        <v>28</v>
      </c>
      <c r="J20" s="7">
        <v>1</v>
      </c>
      <c r="K20" s="7">
        <v>2</v>
      </c>
      <c r="L20" s="122" t="s">
        <v>575</v>
      </c>
      <c r="M20" s="123" t="s">
        <v>556</v>
      </c>
      <c r="N20" s="123" t="s">
        <v>576</v>
      </c>
      <c r="O20" s="123" t="s">
        <v>641</v>
      </c>
      <c r="P20" s="10">
        <v>240</v>
      </c>
      <c r="Q20" s="214">
        <f>'Приложение 9'!Q347</f>
        <v>0</v>
      </c>
      <c r="R20" s="214">
        <v>313.1</v>
      </c>
      <c r="S20" s="214">
        <v>313.1</v>
      </c>
    </row>
    <row r="21" spans="1:19" ht="29.25" customHeight="1" hidden="1">
      <c r="A21" s="97"/>
      <c r="B21" s="98"/>
      <c r="C21" s="103"/>
      <c r="D21" s="101"/>
      <c r="E21" s="113"/>
      <c r="F21" s="113"/>
      <c r="G21" s="89"/>
      <c r="H21" s="11" t="str">
        <f>'Приложение 9'!H348</f>
        <v>Иные межбюджетные трансферты на поощрение за содействие достижению значений (уровней) показателей для оценки эффективности деятельности высших должностных лиц субъектов РФ и деятельности органов исполнительной власти субъектов РФ</v>
      </c>
      <c r="I21" s="10">
        <f>'Приложение 9'!I348</f>
        <v>28</v>
      </c>
      <c r="J21" s="7">
        <f>'Приложение 9'!J348</f>
        <v>1</v>
      </c>
      <c r="K21" s="7">
        <f>'Приложение 9'!K348</f>
        <v>2</v>
      </c>
      <c r="L21" s="122" t="str">
        <f>'Приложение 9'!L348</f>
        <v>92</v>
      </c>
      <c r="M21" s="123" t="str">
        <f>'Приложение 9'!M348</f>
        <v>0</v>
      </c>
      <c r="N21" s="123" t="str">
        <f>'Приложение 9'!N348</f>
        <v>00</v>
      </c>
      <c r="O21" s="123" t="str">
        <f>'Приложение 9'!O348</f>
        <v>5549F</v>
      </c>
      <c r="P21" s="10" t="s">
        <v>614</v>
      </c>
      <c r="Q21" s="214">
        <f>Q22</f>
        <v>0</v>
      </c>
      <c r="R21" s="214"/>
      <c r="S21" s="214"/>
    </row>
    <row r="22" spans="1:19" ht="29.25" customHeight="1" hidden="1">
      <c r="A22" s="97"/>
      <c r="B22" s="98"/>
      <c r="C22" s="103"/>
      <c r="D22" s="101"/>
      <c r="E22" s="113"/>
      <c r="F22" s="113"/>
      <c r="G22" s="89"/>
      <c r="H22" s="11" t="str">
        <f>'Приложение 9'!H349</f>
        <v>Расходы на выплаты персоналу государственных (муниципальных) органов</v>
      </c>
      <c r="I22" s="10">
        <f>'Приложение 9'!I349</f>
        <v>28</v>
      </c>
      <c r="J22" s="7">
        <f>'Приложение 9'!J349</f>
        <v>1</v>
      </c>
      <c r="K22" s="7">
        <f>'Приложение 9'!K349</f>
        <v>2</v>
      </c>
      <c r="L22" s="122" t="str">
        <f>'Приложение 9'!L349</f>
        <v>92</v>
      </c>
      <c r="M22" s="123" t="str">
        <f>'Приложение 9'!M349</f>
        <v>0</v>
      </c>
      <c r="N22" s="123" t="str">
        <f>'Приложение 9'!N349</f>
        <v>00</v>
      </c>
      <c r="O22" s="123" t="str">
        <f>'Приложение 9'!O349</f>
        <v>5549F</v>
      </c>
      <c r="P22" s="10">
        <f>'Приложение 9'!P349</f>
        <v>120</v>
      </c>
      <c r="Q22" s="214">
        <f>'Приложение 9'!Q349</f>
        <v>0</v>
      </c>
      <c r="R22" s="214"/>
      <c r="S22" s="214"/>
    </row>
    <row r="23" spans="1:19" ht="37.5" customHeight="1">
      <c r="A23" s="97"/>
      <c r="B23" s="98"/>
      <c r="C23" s="103"/>
      <c r="D23" s="101"/>
      <c r="E23" s="113"/>
      <c r="F23" s="113"/>
      <c r="G23" s="89"/>
      <c r="H23" s="11" t="str">
        <f>'Приложение 9'!H350</f>
        <v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v>
      </c>
      <c r="I23" s="10">
        <f>'Приложение 9'!I350</f>
        <v>28</v>
      </c>
      <c r="J23" s="7">
        <f>'Приложение 9'!J350</f>
        <v>1</v>
      </c>
      <c r="K23" s="7">
        <f>'Приложение 9'!K350</f>
        <v>2</v>
      </c>
      <c r="L23" s="122" t="str">
        <f>'Приложение 9'!L350</f>
        <v>92</v>
      </c>
      <c r="M23" s="123" t="str">
        <f>'Приложение 9'!M350</f>
        <v>0</v>
      </c>
      <c r="N23" s="123" t="str">
        <f>'Приложение 9'!N350</f>
        <v>00</v>
      </c>
      <c r="O23" s="123" t="str">
        <f>'Приложение 9'!O350</f>
        <v>70030</v>
      </c>
      <c r="P23" s="10" t="s">
        <v>614</v>
      </c>
      <c r="Q23" s="214">
        <f>'Приложение 9'!Q350</f>
        <v>313.2</v>
      </c>
      <c r="R23" s="214"/>
      <c r="S23" s="214"/>
    </row>
    <row r="24" spans="1:19" ht="29.25" customHeight="1">
      <c r="A24" s="97"/>
      <c r="B24" s="98"/>
      <c r="C24" s="103"/>
      <c r="D24" s="101"/>
      <c r="E24" s="113"/>
      <c r="F24" s="113"/>
      <c r="G24" s="89"/>
      <c r="H24" s="11" t="str">
        <f>'Приложение 9'!H351</f>
        <v>Расходы на выплаты персоналу государственных (муниципальных) органов</v>
      </c>
      <c r="I24" s="10">
        <f>'Приложение 9'!I351</f>
        <v>28</v>
      </c>
      <c r="J24" s="7">
        <f>'Приложение 9'!J351</f>
        <v>1</v>
      </c>
      <c r="K24" s="7">
        <f>'Приложение 9'!K351</f>
        <v>2</v>
      </c>
      <c r="L24" s="122" t="str">
        <f>'Приложение 9'!L351</f>
        <v>92</v>
      </c>
      <c r="M24" s="123" t="str">
        <f>'Приложение 9'!M351</f>
        <v>0</v>
      </c>
      <c r="N24" s="123" t="str">
        <f>'Приложение 9'!N351</f>
        <v>00</v>
      </c>
      <c r="O24" s="123" t="str">
        <f>'Приложение 9'!O351</f>
        <v>70030</v>
      </c>
      <c r="P24" s="10">
        <f>'Приложение 9'!P351</f>
        <v>120</v>
      </c>
      <c r="Q24" s="214">
        <f>'Приложение 9'!Q351</f>
        <v>313.2</v>
      </c>
      <c r="R24" s="214"/>
      <c r="S24" s="214"/>
    </row>
    <row r="25" spans="1:19" s="179" customFormat="1" ht="36" customHeight="1">
      <c r="A25" s="142"/>
      <c r="B25" s="143"/>
      <c r="C25" s="153"/>
      <c r="D25" s="150"/>
      <c r="E25" s="154"/>
      <c r="F25" s="154"/>
      <c r="G25" s="136"/>
      <c r="H25" s="137" t="s">
        <v>496</v>
      </c>
      <c r="I25" s="138">
        <v>28</v>
      </c>
      <c r="J25" s="148">
        <v>1</v>
      </c>
      <c r="K25" s="148">
        <v>3</v>
      </c>
      <c r="L25" s="185"/>
      <c r="M25" s="186"/>
      <c r="N25" s="186"/>
      <c r="O25" s="186"/>
      <c r="P25" s="138"/>
      <c r="Q25" s="213">
        <f aca="true" t="shared" si="1" ref="Q25:S26">Q26</f>
        <v>3098.9000000000005</v>
      </c>
      <c r="R25" s="213">
        <f t="shared" si="1"/>
        <v>2007.4</v>
      </c>
      <c r="S25" s="213">
        <f t="shared" si="1"/>
        <v>2007.4</v>
      </c>
    </row>
    <row r="26" spans="1:19" s="179" customFormat="1" ht="21.75" customHeight="1">
      <c r="A26" s="142"/>
      <c r="B26" s="143"/>
      <c r="C26" s="153"/>
      <c r="D26" s="150"/>
      <c r="E26" s="154"/>
      <c r="F26" s="154"/>
      <c r="G26" s="136"/>
      <c r="H26" s="11" t="s">
        <v>574</v>
      </c>
      <c r="I26" s="10">
        <v>28</v>
      </c>
      <c r="J26" s="7">
        <v>1</v>
      </c>
      <c r="K26" s="7">
        <v>3</v>
      </c>
      <c r="L26" s="16" t="s">
        <v>575</v>
      </c>
      <c r="M26" s="96" t="s">
        <v>556</v>
      </c>
      <c r="N26" s="96" t="s">
        <v>576</v>
      </c>
      <c r="O26" s="96" t="s">
        <v>613</v>
      </c>
      <c r="P26" s="138"/>
      <c r="Q26" s="213">
        <f>Q27+Q33+Q35+Q31</f>
        <v>3098.9000000000005</v>
      </c>
      <c r="R26" s="213">
        <f t="shared" si="1"/>
        <v>2007.4</v>
      </c>
      <c r="S26" s="213">
        <f t="shared" si="1"/>
        <v>2007.4</v>
      </c>
    </row>
    <row r="27" spans="1:19" ht="20.25" customHeight="1">
      <c r="A27" s="97"/>
      <c r="B27" s="98"/>
      <c r="C27" s="103"/>
      <c r="D27" s="101"/>
      <c r="E27" s="113"/>
      <c r="F27" s="113"/>
      <c r="G27" s="89"/>
      <c r="H27" s="11" t="s">
        <v>758</v>
      </c>
      <c r="I27" s="10">
        <v>28</v>
      </c>
      <c r="J27" s="7">
        <v>1</v>
      </c>
      <c r="K27" s="7">
        <v>3</v>
      </c>
      <c r="L27" s="122" t="s">
        <v>575</v>
      </c>
      <c r="M27" s="123" t="s">
        <v>556</v>
      </c>
      <c r="N27" s="123" t="s">
        <v>576</v>
      </c>
      <c r="O27" s="123" t="s">
        <v>641</v>
      </c>
      <c r="P27" s="10"/>
      <c r="Q27" s="214">
        <f>SUM(Q28:Q30)</f>
        <v>2641.9000000000005</v>
      </c>
      <c r="R27" s="214">
        <f>SUM(R28:R29)</f>
        <v>2007.4</v>
      </c>
      <c r="S27" s="214">
        <f>SUM(S28:S29)</f>
        <v>2007.4</v>
      </c>
    </row>
    <row r="28" spans="1:19" ht="24.75" customHeight="1">
      <c r="A28" s="97"/>
      <c r="B28" s="98"/>
      <c r="C28" s="103"/>
      <c r="D28" s="101"/>
      <c r="E28" s="113"/>
      <c r="F28" s="113"/>
      <c r="G28" s="89"/>
      <c r="H28" s="11" t="s">
        <v>526</v>
      </c>
      <c r="I28" s="10">
        <v>28</v>
      </c>
      <c r="J28" s="7">
        <v>1</v>
      </c>
      <c r="K28" s="7">
        <v>3</v>
      </c>
      <c r="L28" s="122" t="s">
        <v>575</v>
      </c>
      <c r="M28" s="123" t="s">
        <v>556</v>
      </c>
      <c r="N28" s="123" t="s">
        <v>576</v>
      </c>
      <c r="O28" s="123" t="s">
        <v>641</v>
      </c>
      <c r="P28" s="10">
        <v>120</v>
      </c>
      <c r="Q28" s="214">
        <f>'Приложение 9'!Q355</f>
        <v>1648.5000000000002</v>
      </c>
      <c r="R28" s="214">
        <v>1125.7</v>
      </c>
      <c r="S28" s="214">
        <v>1125.7</v>
      </c>
    </row>
    <row r="29" spans="1:19" ht="23.25" customHeight="1">
      <c r="A29" s="97"/>
      <c r="B29" s="98"/>
      <c r="C29" s="103"/>
      <c r="D29" s="101"/>
      <c r="E29" s="113"/>
      <c r="F29" s="113"/>
      <c r="G29" s="89"/>
      <c r="H29" s="11" t="s">
        <v>712</v>
      </c>
      <c r="I29" s="10">
        <v>28</v>
      </c>
      <c r="J29" s="7">
        <v>1</v>
      </c>
      <c r="K29" s="7">
        <v>3</v>
      </c>
      <c r="L29" s="122" t="s">
        <v>575</v>
      </c>
      <c r="M29" s="123" t="s">
        <v>556</v>
      </c>
      <c r="N29" s="123" t="s">
        <v>576</v>
      </c>
      <c r="O29" s="123" t="s">
        <v>641</v>
      </c>
      <c r="P29" s="10">
        <v>240</v>
      </c>
      <c r="Q29" s="214">
        <f>'Приложение 9'!Q356</f>
        <v>993.1</v>
      </c>
      <c r="R29" s="214">
        <v>881.7</v>
      </c>
      <c r="S29" s="214">
        <v>881.7</v>
      </c>
    </row>
    <row r="30" spans="1:19" ht="23.25" customHeight="1">
      <c r="A30" s="97"/>
      <c r="B30" s="98"/>
      <c r="C30" s="103"/>
      <c r="D30" s="107"/>
      <c r="E30" s="104"/>
      <c r="F30" s="104"/>
      <c r="G30" s="89"/>
      <c r="H30" s="11" t="str">
        <f>'Приложение 9'!H357</f>
        <v>Уплата налогов, сборов и иных платежей</v>
      </c>
      <c r="I30" s="10">
        <f>'Приложение 9'!I357</f>
        <v>28</v>
      </c>
      <c r="J30" s="7">
        <f>'Приложение 9'!J357</f>
        <v>1</v>
      </c>
      <c r="K30" s="7">
        <f>'Приложение 9'!K357</f>
        <v>3</v>
      </c>
      <c r="L30" s="122" t="str">
        <f>'Приложение 9'!L357</f>
        <v>92</v>
      </c>
      <c r="M30" s="123" t="str">
        <f>'Приложение 9'!M357</f>
        <v>0</v>
      </c>
      <c r="N30" s="123" t="str">
        <f>'Приложение 9'!N357</f>
        <v>00</v>
      </c>
      <c r="O30" s="123" t="str">
        <f>'Приложение 9'!O357</f>
        <v>00190</v>
      </c>
      <c r="P30" s="10">
        <f>'Приложение 9'!P357</f>
        <v>850</v>
      </c>
      <c r="Q30" s="214">
        <f>'Приложение 9'!Q357</f>
        <v>0.3</v>
      </c>
      <c r="R30" s="214"/>
      <c r="S30" s="214"/>
    </row>
    <row r="31" spans="1:19" ht="23.25" customHeight="1" hidden="1">
      <c r="A31" s="97"/>
      <c r="B31" s="98"/>
      <c r="C31" s="103"/>
      <c r="D31" s="107"/>
      <c r="E31" s="104"/>
      <c r="F31" s="104"/>
      <c r="G31" s="89"/>
      <c r="H31" s="11" t="str">
        <f>'Приложение 9'!H358</f>
        <v>Иные межбюджетные трансферты на поощрение за содействие достижению значений (уровней) показателей для оценки эффективности деятельности высших должностных лиц субъектов РФ и деятельности органов исполнительной власти субъектов РФ</v>
      </c>
      <c r="I31" s="10">
        <f>'Приложение 9'!I358</f>
        <v>28</v>
      </c>
      <c r="J31" s="7">
        <f>'Приложение 9'!J358</f>
        <v>1</v>
      </c>
      <c r="K31" s="7">
        <f>'Приложение 9'!K358</f>
        <v>3</v>
      </c>
      <c r="L31" s="122" t="str">
        <f>'Приложение 9'!L358</f>
        <v>92</v>
      </c>
      <c r="M31" s="123" t="str">
        <f>'Приложение 9'!M358</f>
        <v>0</v>
      </c>
      <c r="N31" s="123" t="str">
        <f>'Приложение 9'!N358</f>
        <v>00</v>
      </c>
      <c r="O31" s="123" t="str">
        <f>'Приложение 9'!O358</f>
        <v>5549F</v>
      </c>
      <c r="P31" s="10" t="s">
        <v>614</v>
      </c>
      <c r="Q31" s="214">
        <f>Q32</f>
        <v>0</v>
      </c>
      <c r="R31" s="214"/>
      <c r="S31" s="214"/>
    </row>
    <row r="32" spans="1:19" ht="23.25" customHeight="1" hidden="1">
      <c r="A32" s="97"/>
      <c r="B32" s="98"/>
      <c r="C32" s="103"/>
      <c r="D32" s="107"/>
      <c r="E32" s="104"/>
      <c r="F32" s="104"/>
      <c r="G32" s="89"/>
      <c r="H32" s="11" t="str">
        <f>'Приложение 9'!H359</f>
        <v>Расходы на выплаты персоналу государственных (муниципальных) органов</v>
      </c>
      <c r="I32" s="10">
        <f>'Приложение 9'!I359</f>
        <v>28</v>
      </c>
      <c r="J32" s="7">
        <f>'Приложение 9'!J359</f>
        <v>1</v>
      </c>
      <c r="K32" s="7">
        <f>'Приложение 9'!K359</f>
        <v>3</v>
      </c>
      <c r="L32" s="122" t="str">
        <f>'Приложение 9'!L359</f>
        <v>92</v>
      </c>
      <c r="M32" s="123" t="str">
        <f>'Приложение 9'!M359</f>
        <v>0</v>
      </c>
      <c r="N32" s="123" t="str">
        <f>'Приложение 9'!N359</f>
        <v>00</v>
      </c>
      <c r="O32" s="123" t="str">
        <f>'Приложение 9'!O359</f>
        <v>5549F</v>
      </c>
      <c r="P32" s="10">
        <f>'Приложение 9'!P359</f>
        <v>120</v>
      </c>
      <c r="Q32" s="214">
        <f>'Приложение 9'!Q359</f>
        <v>0</v>
      </c>
      <c r="R32" s="214"/>
      <c r="S32" s="214"/>
    </row>
    <row r="33" spans="1:19" ht="30" customHeight="1">
      <c r="A33" s="97"/>
      <c r="B33" s="98"/>
      <c r="C33" s="103"/>
      <c r="D33" s="107"/>
      <c r="E33" s="104"/>
      <c r="F33" s="104"/>
      <c r="G33" s="89"/>
      <c r="H33" s="11" t="str">
        <f>'Приложение 9'!H360</f>
        <v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v>
      </c>
      <c r="I33" s="10">
        <f>'Приложение 9'!I360</f>
        <v>28</v>
      </c>
      <c r="J33" s="7">
        <f>'Приложение 9'!J360</f>
        <v>1</v>
      </c>
      <c r="K33" s="7">
        <f>'Приложение 9'!K360</f>
        <v>3</v>
      </c>
      <c r="L33" s="122" t="str">
        <f>'Приложение 9'!L360</f>
        <v>92</v>
      </c>
      <c r="M33" s="123" t="str">
        <f>'Приложение 9'!M360</f>
        <v>0</v>
      </c>
      <c r="N33" s="123" t="str">
        <f>'Приложение 9'!N360</f>
        <v>00</v>
      </c>
      <c r="O33" s="123" t="str">
        <f>'Приложение 9'!O360</f>
        <v>70030</v>
      </c>
      <c r="P33" s="10" t="s">
        <v>614</v>
      </c>
      <c r="Q33" s="214">
        <f>'Приложение 9'!Q360</f>
        <v>378.59999999999997</v>
      </c>
      <c r="R33" s="214"/>
      <c r="S33" s="214"/>
    </row>
    <row r="34" spans="1:19" ht="23.25" customHeight="1">
      <c r="A34" s="97"/>
      <c r="B34" s="98"/>
      <c r="C34" s="103"/>
      <c r="D34" s="107"/>
      <c r="E34" s="104"/>
      <c r="F34" s="104"/>
      <c r="G34" s="89"/>
      <c r="H34" s="11" t="str">
        <f>'Приложение 9'!H361</f>
        <v>Расходы на выплаты персоналу государственных (муниципальных) органов</v>
      </c>
      <c r="I34" s="10">
        <f>'Приложение 9'!I361</f>
        <v>28</v>
      </c>
      <c r="J34" s="7">
        <f>'Приложение 9'!J361</f>
        <v>1</v>
      </c>
      <c r="K34" s="7">
        <f>'Приложение 9'!K361</f>
        <v>3</v>
      </c>
      <c r="L34" s="122" t="str">
        <f>'Приложение 9'!L361</f>
        <v>92</v>
      </c>
      <c r="M34" s="123" t="str">
        <f>'Приложение 9'!M361</f>
        <v>0</v>
      </c>
      <c r="N34" s="123" t="str">
        <f>'Приложение 9'!N361</f>
        <v>00</v>
      </c>
      <c r="O34" s="123" t="str">
        <f>'Приложение 9'!O361</f>
        <v>70030</v>
      </c>
      <c r="P34" s="10">
        <f>'Приложение 9'!P361</f>
        <v>120</v>
      </c>
      <c r="Q34" s="214">
        <f>'Приложение 9'!Q361</f>
        <v>378.59999999999997</v>
      </c>
      <c r="R34" s="214"/>
      <c r="S34" s="214"/>
    </row>
    <row r="35" spans="1:19" ht="23.25" customHeight="1">
      <c r="A35" s="97"/>
      <c r="B35" s="98"/>
      <c r="C35" s="103"/>
      <c r="D35" s="107"/>
      <c r="E35" s="104"/>
      <c r="F35" s="104"/>
      <c r="G35" s="89"/>
      <c r="H35" s="11" t="str">
        <f>'Приложение 9'!H362</f>
        <v>Осуществление переданных полномочий в области внешнего муниципального финансового контроля</v>
      </c>
      <c r="I35" s="10">
        <f>'Приложение 9'!I362</f>
        <v>28</v>
      </c>
      <c r="J35" s="7">
        <f>'Приложение 9'!J362</f>
        <v>1</v>
      </c>
      <c r="K35" s="7">
        <f>'Приложение 9'!K362</f>
        <v>3</v>
      </c>
      <c r="L35" s="122" t="str">
        <f>'Приложение 9'!L362</f>
        <v>92</v>
      </c>
      <c r="M35" s="123" t="str">
        <f>'Приложение 9'!M362</f>
        <v>0</v>
      </c>
      <c r="N35" s="123" t="str">
        <f>'Приложение 9'!N362</f>
        <v>00</v>
      </c>
      <c r="O35" s="123" t="str">
        <f>'Приложение 9'!O362</f>
        <v>90130</v>
      </c>
      <c r="P35" s="10" t="s">
        <v>614</v>
      </c>
      <c r="Q35" s="214">
        <f>SUM(Q36:Q37)</f>
        <v>78.4</v>
      </c>
      <c r="R35" s="214"/>
      <c r="S35" s="214"/>
    </row>
    <row r="36" spans="1:19" ht="23.25" customHeight="1">
      <c r="A36" s="97"/>
      <c r="B36" s="98"/>
      <c r="C36" s="103"/>
      <c r="D36" s="107"/>
      <c r="E36" s="104"/>
      <c r="F36" s="104"/>
      <c r="G36" s="89"/>
      <c r="H36" s="11" t="str">
        <f>'Приложение 9'!H363</f>
        <v>Расходы на выплаты персоналу государственных (муниципальных) органов</v>
      </c>
      <c r="I36" s="10">
        <f>'Приложение 9'!I363</f>
        <v>28</v>
      </c>
      <c r="J36" s="7">
        <f>'Приложение 9'!J363</f>
        <v>1</v>
      </c>
      <c r="K36" s="7">
        <f>'Приложение 9'!K363</f>
        <v>3</v>
      </c>
      <c r="L36" s="122" t="str">
        <f>'Приложение 9'!L363</f>
        <v>92</v>
      </c>
      <c r="M36" s="123" t="str">
        <f>'Приложение 9'!M363</f>
        <v>0</v>
      </c>
      <c r="N36" s="123" t="str">
        <f>'Приложение 9'!N363</f>
        <v>00</v>
      </c>
      <c r="O36" s="123" t="str">
        <f>'Приложение 9'!O363</f>
        <v>90130</v>
      </c>
      <c r="P36" s="10">
        <f>'Приложение 9'!P363</f>
        <v>120</v>
      </c>
      <c r="Q36" s="214">
        <f>'Приложение 9'!Q363</f>
        <v>75.4</v>
      </c>
      <c r="R36" s="214"/>
      <c r="S36" s="214"/>
    </row>
    <row r="37" spans="1:19" ht="23.25" customHeight="1">
      <c r="A37" s="97"/>
      <c r="B37" s="98"/>
      <c r="C37" s="103"/>
      <c r="D37" s="107"/>
      <c r="E37" s="104"/>
      <c r="F37" s="104"/>
      <c r="G37" s="89"/>
      <c r="H37" s="11" t="str">
        <f>'Приложение 9'!H364</f>
        <v>Иные закупки товаров, работ и услуг для обеспечения государственных (муниципальных) нужд</v>
      </c>
      <c r="I37" s="10">
        <f>'Приложение 9'!I364</f>
        <v>28</v>
      </c>
      <c r="J37" s="7">
        <f>'Приложение 9'!J364</f>
        <v>1</v>
      </c>
      <c r="K37" s="7">
        <f>'Приложение 9'!K364</f>
        <v>3</v>
      </c>
      <c r="L37" s="122" t="str">
        <f>'Приложение 9'!L364</f>
        <v>92</v>
      </c>
      <c r="M37" s="123" t="str">
        <f>'Приложение 9'!M364</f>
        <v>0</v>
      </c>
      <c r="N37" s="123" t="str">
        <f>'Приложение 9'!N364</f>
        <v>00</v>
      </c>
      <c r="O37" s="123" t="str">
        <f>'Приложение 9'!O364</f>
        <v>90130</v>
      </c>
      <c r="P37" s="10">
        <f>'Приложение 9'!P364</f>
        <v>240</v>
      </c>
      <c r="Q37" s="214">
        <f>'Приложение 9'!Q364</f>
        <v>3</v>
      </c>
      <c r="R37" s="214"/>
      <c r="S37" s="214"/>
    </row>
    <row r="38" spans="1:19" s="179" customFormat="1" ht="45" customHeight="1">
      <c r="A38" s="142"/>
      <c r="B38" s="143"/>
      <c r="C38" s="375">
        <v>104</v>
      </c>
      <c r="D38" s="376"/>
      <c r="E38" s="376"/>
      <c r="F38" s="376"/>
      <c r="G38" s="136">
        <v>120</v>
      </c>
      <c r="H38" s="137" t="s">
        <v>495</v>
      </c>
      <c r="I38" s="138">
        <v>27</v>
      </c>
      <c r="J38" s="148">
        <v>1</v>
      </c>
      <c r="K38" s="148">
        <v>4</v>
      </c>
      <c r="L38" s="140" t="s">
        <v>527</v>
      </c>
      <c r="M38" s="141" t="s">
        <v>527</v>
      </c>
      <c r="N38" s="141" t="s">
        <v>614</v>
      </c>
      <c r="O38" s="141" t="s">
        <v>527</v>
      </c>
      <c r="P38" s="138" t="s">
        <v>527</v>
      </c>
      <c r="Q38" s="213">
        <f>Q39</f>
        <v>20314.8</v>
      </c>
      <c r="R38" s="213">
        <f>R39</f>
        <v>22997.4</v>
      </c>
      <c r="S38" s="213">
        <f>S39</f>
        <v>22839.9</v>
      </c>
    </row>
    <row r="39" spans="1:19" ht="27" customHeight="1">
      <c r="A39" s="99"/>
      <c r="B39" s="98"/>
      <c r="C39" s="97"/>
      <c r="D39" s="94"/>
      <c r="E39" s="94"/>
      <c r="F39" s="94"/>
      <c r="G39" s="89"/>
      <c r="H39" s="11" t="s">
        <v>334</v>
      </c>
      <c r="I39" s="10">
        <v>27</v>
      </c>
      <c r="J39" s="7">
        <v>1</v>
      </c>
      <c r="K39" s="7">
        <v>4</v>
      </c>
      <c r="L39" s="16" t="s">
        <v>573</v>
      </c>
      <c r="M39" s="96" t="s">
        <v>556</v>
      </c>
      <c r="N39" s="96" t="s">
        <v>576</v>
      </c>
      <c r="O39" s="96" t="s">
        <v>613</v>
      </c>
      <c r="P39" s="10"/>
      <c r="Q39" s="214">
        <f>Q40+Q48+Q51+Q53+Q56+Q58+Q46+Q44</f>
        <v>20314.8</v>
      </c>
      <c r="R39" s="214">
        <f>R40+R48+R51+R53+R56+R58</f>
        <v>22997.4</v>
      </c>
      <c r="S39" s="214">
        <f>S40+S48+S51+S53+S56+S58</f>
        <v>22839.9</v>
      </c>
    </row>
    <row r="40" spans="1:19" ht="29.25" customHeight="1">
      <c r="A40" s="99"/>
      <c r="B40" s="98"/>
      <c r="C40" s="97"/>
      <c r="D40" s="368">
        <v>20000</v>
      </c>
      <c r="E40" s="369"/>
      <c r="F40" s="369"/>
      <c r="G40" s="89">
        <v>120</v>
      </c>
      <c r="H40" s="11" t="s">
        <v>335</v>
      </c>
      <c r="I40" s="10">
        <v>27</v>
      </c>
      <c r="J40" s="7">
        <v>1</v>
      </c>
      <c r="K40" s="7">
        <v>4</v>
      </c>
      <c r="L40" s="16" t="s">
        <v>573</v>
      </c>
      <c r="M40" s="96" t="s">
        <v>556</v>
      </c>
      <c r="N40" s="96" t="s">
        <v>576</v>
      </c>
      <c r="O40" s="96" t="s">
        <v>641</v>
      </c>
      <c r="P40" s="10" t="s">
        <v>527</v>
      </c>
      <c r="Q40" s="214">
        <f>SUM(Q41:Q43)</f>
        <v>16012.800000000001</v>
      </c>
      <c r="R40" s="214">
        <f>SUM(R41:R43)</f>
        <v>22997.4</v>
      </c>
      <c r="S40" s="214">
        <f>SUM(S41:S43)</f>
        <v>22839.9</v>
      </c>
    </row>
    <row r="41" spans="1:19" ht="29.25" customHeight="1">
      <c r="A41" s="99"/>
      <c r="B41" s="98"/>
      <c r="C41" s="97"/>
      <c r="D41" s="101"/>
      <c r="E41" s="102"/>
      <c r="F41" s="102"/>
      <c r="G41" s="89"/>
      <c r="H41" s="11" t="s">
        <v>526</v>
      </c>
      <c r="I41" s="6">
        <v>27</v>
      </c>
      <c r="J41" s="7">
        <v>1</v>
      </c>
      <c r="K41" s="7">
        <v>4</v>
      </c>
      <c r="L41" s="16">
        <v>91</v>
      </c>
      <c r="M41" s="96" t="s">
        <v>556</v>
      </c>
      <c r="N41" s="96" t="s">
        <v>576</v>
      </c>
      <c r="O41" s="96" t="s">
        <v>641</v>
      </c>
      <c r="P41" s="10">
        <v>120</v>
      </c>
      <c r="Q41" s="214">
        <f>'Приложение 9'!Q19</f>
        <v>13939.7</v>
      </c>
      <c r="R41" s="214">
        <v>14355.1</v>
      </c>
      <c r="S41" s="214">
        <v>14355.1</v>
      </c>
    </row>
    <row r="42" spans="1:19" ht="26.25" customHeight="1">
      <c r="A42" s="99"/>
      <c r="B42" s="98"/>
      <c r="C42" s="103"/>
      <c r="D42" s="101"/>
      <c r="E42" s="104"/>
      <c r="F42" s="104"/>
      <c r="G42" s="105"/>
      <c r="H42" s="5" t="s">
        <v>712</v>
      </c>
      <c r="I42" s="8">
        <v>27</v>
      </c>
      <c r="J42" s="7">
        <v>1</v>
      </c>
      <c r="K42" s="7">
        <v>4</v>
      </c>
      <c r="L42" s="16">
        <v>91</v>
      </c>
      <c r="M42" s="96" t="s">
        <v>556</v>
      </c>
      <c r="N42" s="96" t="s">
        <v>576</v>
      </c>
      <c r="O42" s="96" t="s">
        <v>641</v>
      </c>
      <c r="P42" s="6">
        <v>240</v>
      </c>
      <c r="Q42" s="214">
        <f>'Приложение 9'!Q20</f>
        <v>1307</v>
      </c>
      <c r="R42" s="214">
        <v>7892.3</v>
      </c>
      <c r="S42" s="214">
        <v>7734.8</v>
      </c>
    </row>
    <row r="43" spans="1:19" ht="20.25" customHeight="1">
      <c r="A43" s="99"/>
      <c r="B43" s="98"/>
      <c r="C43" s="106"/>
      <c r="D43" s="107"/>
      <c r="E43" s="104"/>
      <c r="F43" s="104"/>
      <c r="G43" s="89"/>
      <c r="H43" s="108" t="s">
        <v>713</v>
      </c>
      <c r="I43" s="8">
        <v>27</v>
      </c>
      <c r="J43" s="7">
        <v>1</v>
      </c>
      <c r="K43" s="7">
        <v>4</v>
      </c>
      <c r="L43" s="16">
        <v>91</v>
      </c>
      <c r="M43" s="96" t="s">
        <v>556</v>
      </c>
      <c r="N43" s="96" t="s">
        <v>576</v>
      </c>
      <c r="O43" s="96" t="s">
        <v>641</v>
      </c>
      <c r="P43" s="6">
        <v>850</v>
      </c>
      <c r="Q43" s="214">
        <f>'Приложение 9'!Q21</f>
        <v>766.0999999999999</v>
      </c>
      <c r="R43" s="214">
        <v>750</v>
      </c>
      <c r="S43" s="214">
        <v>750</v>
      </c>
    </row>
    <row r="44" spans="1:19" ht="54.75" customHeight="1" hidden="1">
      <c r="A44" s="99"/>
      <c r="B44" s="98"/>
      <c r="C44" s="106"/>
      <c r="D44" s="107"/>
      <c r="E44" s="104"/>
      <c r="F44" s="104"/>
      <c r="G44" s="89"/>
      <c r="H44" s="108" t="str">
        <f>'Приложение 9'!H22</f>
        <v>Иные межбюджетные трансферты на поощрение за содействие достижению значений (уровней) показателей для оценки эффективности деятельности высших должностных лиц субъектов РФ и деятельности органов исполнительной власти субъектов РФ</v>
      </c>
      <c r="I44" s="13">
        <f>'Приложение 9'!I22</f>
        <v>27</v>
      </c>
      <c r="J44" s="7">
        <f>'Приложение 9'!J22</f>
        <v>1</v>
      </c>
      <c r="K44" s="7">
        <f>'Приложение 9'!K22</f>
        <v>4</v>
      </c>
      <c r="L44" s="16">
        <f>'Приложение 9'!L22</f>
        <v>91</v>
      </c>
      <c r="M44" s="96" t="str">
        <f>'Приложение 9'!M22</f>
        <v>0</v>
      </c>
      <c r="N44" s="96" t="str">
        <f>'Приложение 9'!N22</f>
        <v>00</v>
      </c>
      <c r="O44" s="96" t="str">
        <f>'Приложение 9'!O22</f>
        <v>5549F</v>
      </c>
      <c r="P44" s="10" t="s">
        <v>614</v>
      </c>
      <c r="Q44" s="214">
        <f>Q45</f>
        <v>0</v>
      </c>
      <c r="R44" s="214"/>
      <c r="S44" s="214"/>
    </row>
    <row r="45" spans="1:19" ht="20.25" customHeight="1" hidden="1">
      <c r="A45" s="99"/>
      <c r="B45" s="98"/>
      <c r="C45" s="106"/>
      <c r="D45" s="107"/>
      <c r="E45" s="104"/>
      <c r="F45" s="104"/>
      <c r="G45" s="89"/>
      <c r="H45" s="108" t="str">
        <f>'Приложение 9'!H23</f>
        <v>Расходы на выплаты персоналу государственных (муниципальных) органов</v>
      </c>
      <c r="I45" s="13">
        <f>'Приложение 9'!I23</f>
        <v>27</v>
      </c>
      <c r="J45" s="7">
        <f>'Приложение 9'!J23</f>
        <v>1</v>
      </c>
      <c r="K45" s="7">
        <f>'Приложение 9'!K23</f>
        <v>4</v>
      </c>
      <c r="L45" s="16">
        <f>'Приложение 9'!L23</f>
        <v>91</v>
      </c>
      <c r="M45" s="96" t="str">
        <f>'Приложение 9'!M23</f>
        <v>0</v>
      </c>
      <c r="N45" s="96" t="str">
        <f>'Приложение 9'!N23</f>
        <v>00</v>
      </c>
      <c r="O45" s="96" t="str">
        <f>'Приложение 9'!O23</f>
        <v>5549F</v>
      </c>
      <c r="P45" s="10">
        <f>'Приложение 9'!P23</f>
        <v>120</v>
      </c>
      <c r="Q45" s="214">
        <f>'Приложение 9'!Q23</f>
        <v>0</v>
      </c>
      <c r="R45" s="214"/>
      <c r="S45" s="214"/>
    </row>
    <row r="46" spans="1:19" ht="20.25" customHeight="1">
      <c r="A46" s="99"/>
      <c r="B46" s="98"/>
      <c r="C46" s="106"/>
      <c r="D46" s="107"/>
      <c r="E46" s="104"/>
      <c r="F46" s="104"/>
      <c r="G46" s="89"/>
      <c r="H46" s="108" t="s">
        <v>61</v>
      </c>
      <c r="I46" s="13"/>
      <c r="J46" s="7">
        <v>1</v>
      </c>
      <c r="K46" s="7">
        <v>4</v>
      </c>
      <c r="L46" s="16">
        <v>91</v>
      </c>
      <c r="M46" s="96" t="s">
        <v>556</v>
      </c>
      <c r="N46" s="96" t="s">
        <v>576</v>
      </c>
      <c r="O46" s="96" t="s">
        <v>60</v>
      </c>
      <c r="P46" s="10"/>
      <c r="Q46" s="214">
        <f>Q47</f>
        <v>2785.9</v>
      </c>
      <c r="R46" s="214"/>
      <c r="S46" s="214"/>
    </row>
    <row r="47" spans="1:19" ht="20.25" customHeight="1">
      <c r="A47" s="99"/>
      <c r="B47" s="98"/>
      <c r="C47" s="106"/>
      <c r="D47" s="107"/>
      <c r="E47" s="104"/>
      <c r="F47" s="104"/>
      <c r="G47" s="89"/>
      <c r="H47" s="5" t="s">
        <v>526</v>
      </c>
      <c r="I47" s="13"/>
      <c r="J47" s="7">
        <v>1</v>
      </c>
      <c r="K47" s="7">
        <v>4</v>
      </c>
      <c r="L47" s="16">
        <v>91</v>
      </c>
      <c r="M47" s="96" t="s">
        <v>556</v>
      </c>
      <c r="N47" s="96" t="s">
        <v>576</v>
      </c>
      <c r="O47" s="96" t="s">
        <v>60</v>
      </c>
      <c r="P47" s="10">
        <v>120</v>
      </c>
      <c r="Q47" s="214">
        <f>'Приложение 9'!Q25</f>
        <v>2785.9</v>
      </c>
      <c r="R47" s="214"/>
      <c r="S47" s="214"/>
    </row>
    <row r="48" spans="1:19" ht="36" customHeight="1">
      <c r="A48" s="99"/>
      <c r="B48" s="98"/>
      <c r="C48" s="106"/>
      <c r="D48" s="107"/>
      <c r="E48" s="104"/>
      <c r="F48" s="104"/>
      <c r="G48" s="89"/>
      <c r="H48" s="11" t="s">
        <v>58</v>
      </c>
      <c r="I48" s="10">
        <v>27</v>
      </c>
      <c r="J48" s="7">
        <v>1</v>
      </c>
      <c r="K48" s="7">
        <v>4</v>
      </c>
      <c r="L48" s="16">
        <v>91</v>
      </c>
      <c r="M48" s="96" t="s">
        <v>556</v>
      </c>
      <c r="N48" s="96" t="s">
        <v>576</v>
      </c>
      <c r="O48" s="96" t="s">
        <v>57</v>
      </c>
      <c r="P48" s="10"/>
      <c r="Q48" s="214">
        <f>SUM(Q49:Q50)</f>
        <v>812.4</v>
      </c>
      <c r="R48" s="214">
        <f>SUM(R49:R50)</f>
        <v>0</v>
      </c>
      <c r="S48" s="214">
        <f>SUM(S49:S50)</f>
        <v>0</v>
      </c>
    </row>
    <row r="49" spans="1:19" ht="18" customHeight="1">
      <c r="A49" s="99"/>
      <c r="B49" s="98"/>
      <c r="C49" s="106"/>
      <c r="D49" s="107"/>
      <c r="E49" s="104"/>
      <c r="F49" s="104"/>
      <c r="G49" s="89"/>
      <c r="H49" s="11" t="s">
        <v>526</v>
      </c>
      <c r="I49" s="10">
        <v>27</v>
      </c>
      <c r="J49" s="7">
        <v>1</v>
      </c>
      <c r="K49" s="7">
        <v>4</v>
      </c>
      <c r="L49" s="16">
        <v>91</v>
      </c>
      <c r="M49" s="96" t="s">
        <v>556</v>
      </c>
      <c r="N49" s="96" t="s">
        <v>576</v>
      </c>
      <c r="O49" s="96" t="s">
        <v>57</v>
      </c>
      <c r="P49" s="10">
        <v>120</v>
      </c>
      <c r="Q49" s="214">
        <f>'Приложение 9'!Q27</f>
        <v>797.4</v>
      </c>
      <c r="R49" s="214">
        <v>0</v>
      </c>
      <c r="S49" s="214">
        <v>0</v>
      </c>
    </row>
    <row r="50" spans="1:19" ht="17.25" customHeight="1">
      <c r="A50" s="99"/>
      <c r="B50" s="98"/>
      <c r="C50" s="106"/>
      <c r="D50" s="107"/>
      <c r="E50" s="104"/>
      <c r="F50" s="104"/>
      <c r="G50" s="89"/>
      <c r="H50" s="11" t="s">
        <v>712</v>
      </c>
      <c r="I50" s="10">
        <v>27</v>
      </c>
      <c r="J50" s="7">
        <v>1</v>
      </c>
      <c r="K50" s="7">
        <v>4</v>
      </c>
      <c r="L50" s="16">
        <v>91</v>
      </c>
      <c r="M50" s="96" t="s">
        <v>556</v>
      </c>
      <c r="N50" s="96" t="s">
        <v>576</v>
      </c>
      <c r="O50" s="96" t="s">
        <v>57</v>
      </c>
      <c r="P50" s="10">
        <v>240</v>
      </c>
      <c r="Q50" s="214">
        <f>'Приложение 9'!Q28</f>
        <v>15</v>
      </c>
      <c r="R50" s="214">
        <v>0</v>
      </c>
      <c r="S50" s="214">
        <v>0</v>
      </c>
    </row>
    <row r="51" spans="1:19" ht="56.25" customHeight="1">
      <c r="A51" s="99"/>
      <c r="B51" s="98"/>
      <c r="C51" s="106"/>
      <c r="D51" s="107"/>
      <c r="E51" s="104"/>
      <c r="F51" s="104"/>
      <c r="G51" s="89"/>
      <c r="H51" s="11" t="s">
        <v>233</v>
      </c>
      <c r="I51" s="10">
        <v>27</v>
      </c>
      <c r="J51" s="7">
        <v>1</v>
      </c>
      <c r="K51" s="7">
        <v>4</v>
      </c>
      <c r="L51" s="16">
        <v>91</v>
      </c>
      <c r="M51" s="96" t="s">
        <v>556</v>
      </c>
      <c r="N51" s="96" t="s">
        <v>576</v>
      </c>
      <c r="O51" s="96" t="s">
        <v>59</v>
      </c>
      <c r="P51" s="10"/>
      <c r="Q51" s="214">
        <f>Q52</f>
        <v>95.6</v>
      </c>
      <c r="R51" s="214">
        <v>0</v>
      </c>
      <c r="S51" s="214">
        <v>0</v>
      </c>
    </row>
    <row r="52" spans="1:19" ht="27.75" customHeight="1">
      <c r="A52" s="99"/>
      <c r="B52" s="98"/>
      <c r="C52" s="106"/>
      <c r="D52" s="107"/>
      <c r="E52" s="104"/>
      <c r="F52" s="104"/>
      <c r="G52" s="89"/>
      <c r="H52" s="11" t="s">
        <v>526</v>
      </c>
      <c r="I52" s="10">
        <v>27</v>
      </c>
      <c r="J52" s="7">
        <v>1</v>
      </c>
      <c r="K52" s="7">
        <v>4</v>
      </c>
      <c r="L52" s="16">
        <v>91</v>
      </c>
      <c r="M52" s="96" t="s">
        <v>556</v>
      </c>
      <c r="N52" s="96" t="s">
        <v>576</v>
      </c>
      <c r="O52" s="96" t="s">
        <v>59</v>
      </c>
      <c r="P52" s="10">
        <v>120</v>
      </c>
      <c r="Q52" s="214">
        <f>'Приложение 9'!Q30</f>
        <v>95.6</v>
      </c>
      <c r="R52" s="214">
        <v>0</v>
      </c>
      <c r="S52" s="214">
        <v>0</v>
      </c>
    </row>
    <row r="53" spans="1:19" ht="66" customHeight="1">
      <c r="A53" s="99"/>
      <c r="B53" s="98"/>
      <c r="C53" s="106"/>
      <c r="D53" s="107"/>
      <c r="E53" s="104"/>
      <c r="F53" s="104"/>
      <c r="G53" s="89"/>
      <c r="H53" s="11" t="s">
        <v>747</v>
      </c>
      <c r="I53" s="10">
        <v>27</v>
      </c>
      <c r="J53" s="7">
        <v>1</v>
      </c>
      <c r="K53" s="7">
        <v>4</v>
      </c>
      <c r="L53" s="16">
        <v>91</v>
      </c>
      <c r="M53" s="96" t="s">
        <v>556</v>
      </c>
      <c r="N53" s="96" t="s">
        <v>576</v>
      </c>
      <c r="O53" s="96" t="s">
        <v>745</v>
      </c>
      <c r="P53" s="10"/>
      <c r="Q53" s="214">
        <f>SUM(Q54:Q55)</f>
        <v>448.50000000000006</v>
      </c>
      <c r="R53" s="214">
        <f>SUM(R54:R55)</f>
        <v>0</v>
      </c>
      <c r="S53" s="214">
        <f>SUM(S54:S55)</f>
        <v>0</v>
      </c>
    </row>
    <row r="54" spans="1:19" ht="26.25" customHeight="1">
      <c r="A54" s="99"/>
      <c r="B54" s="98"/>
      <c r="C54" s="106"/>
      <c r="D54" s="107"/>
      <c r="E54" s="104"/>
      <c r="F54" s="104"/>
      <c r="G54" s="89"/>
      <c r="H54" s="11" t="s">
        <v>526</v>
      </c>
      <c r="I54" s="10">
        <v>27</v>
      </c>
      <c r="J54" s="7">
        <v>1</v>
      </c>
      <c r="K54" s="7">
        <v>4</v>
      </c>
      <c r="L54" s="16">
        <v>91</v>
      </c>
      <c r="M54" s="96" t="s">
        <v>556</v>
      </c>
      <c r="N54" s="96" t="s">
        <v>576</v>
      </c>
      <c r="O54" s="96" t="s">
        <v>745</v>
      </c>
      <c r="P54" s="10">
        <v>120</v>
      </c>
      <c r="Q54" s="214">
        <f>'Приложение 9'!Q32</f>
        <v>440.00000000000006</v>
      </c>
      <c r="R54" s="214">
        <v>0</v>
      </c>
      <c r="S54" s="214">
        <v>0</v>
      </c>
    </row>
    <row r="55" spans="1:19" ht="30" customHeight="1">
      <c r="A55" s="99"/>
      <c r="B55" s="98"/>
      <c r="C55" s="106"/>
      <c r="D55" s="107"/>
      <c r="E55" s="104"/>
      <c r="F55" s="104"/>
      <c r="G55" s="89"/>
      <c r="H55" s="11" t="s">
        <v>712</v>
      </c>
      <c r="I55" s="10">
        <v>27</v>
      </c>
      <c r="J55" s="7">
        <v>1</v>
      </c>
      <c r="K55" s="7">
        <v>4</v>
      </c>
      <c r="L55" s="16">
        <v>91</v>
      </c>
      <c r="M55" s="96" t="s">
        <v>556</v>
      </c>
      <c r="N55" s="96" t="s">
        <v>576</v>
      </c>
      <c r="O55" s="96" t="s">
        <v>745</v>
      </c>
      <c r="P55" s="10">
        <v>240</v>
      </c>
      <c r="Q55" s="214">
        <f>'Приложение 9'!Q33</f>
        <v>8.5</v>
      </c>
      <c r="R55" s="215">
        <v>0</v>
      </c>
      <c r="S55" s="215">
        <v>0</v>
      </c>
    </row>
    <row r="56" spans="1:19" ht="27" customHeight="1">
      <c r="A56" s="99"/>
      <c r="B56" s="98"/>
      <c r="C56" s="106"/>
      <c r="D56" s="107"/>
      <c r="E56" s="104"/>
      <c r="F56" s="104"/>
      <c r="G56" s="89"/>
      <c r="H56" s="11" t="s">
        <v>748</v>
      </c>
      <c r="I56" s="10">
        <v>27</v>
      </c>
      <c r="J56" s="7">
        <v>1</v>
      </c>
      <c r="K56" s="7">
        <v>4</v>
      </c>
      <c r="L56" s="16">
        <v>91</v>
      </c>
      <c r="M56" s="96" t="s">
        <v>556</v>
      </c>
      <c r="N56" s="96" t="s">
        <v>576</v>
      </c>
      <c r="O56" s="96" t="s">
        <v>746</v>
      </c>
      <c r="P56" s="10"/>
      <c r="Q56" s="214">
        <f>Q57</f>
        <v>159.1</v>
      </c>
      <c r="R56" s="214">
        <f>R57</f>
        <v>0</v>
      </c>
      <c r="S56" s="214">
        <f>S57</f>
        <v>0</v>
      </c>
    </row>
    <row r="57" spans="1:19" ht="24" customHeight="1">
      <c r="A57" s="99"/>
      <c r="B57" s="98"/>
      <c r="C57" s="106"/>
      <c r="D57" s="107"/>
      <c r="E57" s="104"/>
      <c r="F57" s="104"/>
      <c r="G57" s="89"/>
      <c r="H57" s="11" t="s">
        <v>526</v>
      </c>
      <c r="I57" s="10">
        <v>27</v>
      </c>
      <c r="J57" s="7">
        <v>1</v>
      </c>
      <c r="K57" s="7">
        <v>4</v>
      </c>
      <c r="L57" s="16">
        <v>91</v>
      </c>
      <c r="M57" s="96" t="s">
        <v>556</v>
      </c>
      <c r="N57" s="96" t="s">
        <v>576</v>
      </c>
      <c r="O57" s="96" t="s">
        <v>746</v>
      </c>
      <c r="P57" s="10">
        <v>120</v>
      </c>
      <c r="Q57" s="214">
        <f>'Приложение 9'!Q35</f>
        <v>159.1</v>
      </c>
      <c r="R57" s="214"/>
      <c r="S57" s="214"/>
    </row>
    <row r="58" spans="1:19" ht="67.5" customHeight="1">
      <c r="A58" s="99"/>
      <c r="B58" s="98"/>
      <c r="C58" s="106"/>
      <c r="D58" s="107"/>
      <c r="E58" s="104"/>
      <c r="F58" s="104"/>
      <c r="G58" s="89"/>
      <c r="H58" s="11" t="s">
        <v>655</v>
      </c>
      <c r="I58" s="10">
        <v>27</v>
      </c>
      <c r="J58" s="7">
        <v>1</v>
      </c>
      <c r="K58" s="7">
        <v>4</v>
      </c>
      <c r="L58" s="16">
        <v>91</v>
      </c>
      <c r="M58" s="96" t="s">
        <v>556</v>
      </c>
      <c r="N58" s="96" t="s">
        <v>576</v>
      </c>
      <c r="O58" s="96" t="s">
        <v>5</v>
      </c>
      <c r="P58" s="10"/>
      <c r="Q58" s="214">
        <f>Q59</f>
        <v>0.5</v>
      </c>
      <c r="R58" s="214">
        <v>0</v>
      </c>
      <c r="S58" s="214">
        <v>0</v>
      </c>
    </row>
    <row r="59" spans="1:19" ht="24" customHeight="1">
      <c r="A59" s="99"/>
      <c r="B59" s="98"/>
      <c r="C59" s="106"/>
      <c r="D59" s="107"/>
      <c r="E59" s="104"/>
      <c r="F59" s="104"/>
      <c r="G59" s="89"/>
      <c r="H59" s="11" t="s">
        <v>712</v>
      </c>
      <c r="I59" s="10">
        <v>27</v>
      </c>
      <c r="J59" s="7">
        <v>1</v>
      </c>
      <c r="K59" s="7">
        <v>4</v>
      </c>
      <c r="L59" s="16">
        <v>91</v>
      </c>
      <c r="M59" s="96" t="s">
        <v>556</v>
      </c>
      <c r="N59" s="96" t="s">
        <v>576</v>
      </c>
      <c r="O59" s="96" t="s">
        <v>5</v>
      </c>
      <c r="P59" s="10">
        <v>240</v>
      </c>
      <c r="Q59" s="214">
        <v>0.5</v>
      </c>
      <c r="R59" s="214">
        <v>0</v>
      </c>
      <c r="S59" s="214">
        <v>0</v>
      </c>
    </row>
    <row r="60" spans="1:19" s="179" customFormat="1" ht="27.75" customHeight="1">
      <c r="A60" s="142"/>
      <c r="B60" s="143"/>
      <c r="C60" s="157"/>
      <c r="D60" s="170"/>
      <c r="E60" s="145"/>
      <c r="F60" s="145"/>
      <c r="G60" s="136"/>
      <c r="H60" s="137" t="s">
        <v>609</v>
      </c>
      <c r="I60" s="138">
        <v>27</v>
      </c>
      <c r="J60" s="148">
        <v>1</v>
      </c>
      <c r="K60" s="148">
        <v>5</v>
      </c>
      <c r="L60" s="139"/>
      <c r="M60" s="141"/>
      <c r="N60" s="141"/>
      <c r="O60" s="141"/>
      <c r="P60" s="138"/>
      <c r="Q60" s="213">
        <f aca="true" t="shared" si="2" ref="Q60:S61">Q61</f>
        <v>9.4</v>
      </c>
      <c r="R60" s="213">
        <f t="shared" si="2"/>
        <v>10.1</v>
      </c>
      <c r="S60" s="213">
        <f t="shared" si="2"/>
        <v>28.7</v>
      </c>
    </row>
    <row r="61" spans="1:19" ht="36.75" customHeight="1">
      <c r="A61" s="99"/>
      <c r="B61" s="98"/>
      <c r="C61" s="106"/>
      <c r="D61" s="107"/>
      <c r="E61" s="104"/>
      <c r="F61" s="104"/>
      <c r="G61" s="89"/>
      <c r="H61" s="11" t="s">
        <v>756</v>
      </c>
      <c r="I61" s="10">
        <v>27</v>
      </c>
      <c r="J61" s="7">
        <v>1</v>
      </c>
      <c r="K61" s="7">
        <v>5</v>
      </c>
      <c r="L61" s="16">
        <v>91</v>
      </c>
      <c r="M61" s="96" t="s">
        <v>556</v>
      </c>
      <c r="N61" s="96" t="s">
        <v>576</v>
      </c>
      <c r="O61" s="96" t="s">
        <v>755</v>
      </c>
      <c r="P61" s="10"/>
      <c r="Q61" s="214">
        <f t="shared" si="2"/>
        <v>9.4</v>
      </c>
      <c r="R61" s="214">
        <f t="shared" si="2"/>
        <v>10.1</v>
      </c>
      <c r="S61" s="214">
        <f t="shared" si="2"/>
        <v>28.7</v>
      </c>
    </row>
    <row r="62" spans="1:19" ht="27.75" customHeight="1">
      <c r="A62" s="99"/>
      <c r="B62" s="98"/>
      <c r="C62" s="106"/>
      <c r="D62" s="107"/>
      <c r="E62" s="104"/>
      <c r="F62" s="104"/>
      <c r="G62" s="89"/>
      <c r="H62" s="11" t="s">
        <v>712</v>
      </c>
      <c r="I62" s="10">
        <v>27</v>
      </c>
      <c r="J62" s="7">
        <v>1</v>
      </c>
      <c r="K62" s="7">
        <v>5</v>
      </c>
      <c r="L62" s="16">
        <v>91</v>
      </c>
      <c r="M62" s="96" t="s">
        <v>556</v>
      </c>
      <c r="N62" s="96" t="s">
        <v>576</v>
      </c>
      <c r="O62" s="96" t="s">
        <v>755</v>
      </c>
      <c r="P62" s="10">
        <v>240</v>
      </c>
      <c r="Q62" s="214">
        <v>9.4</v>
      </c>
      <c r="R62" s="214">
        <v>10.1</v>
      </c>
      <c r="S62" s="214">
        <v>28.7</v>
      </c>
    </row>
    <row r="63" spans="1:19" s="179" customFormat="1" ht="36.75" customHeight="1">
      <c r="A63" s="142"/>
      <c r="B63" s="143"/>
      <c r="C63" s="153"/>
      <c r="D63" s="150"/>
      <c r="E63" s="384">
        <v>5201000</v>
      </c>
      <c r="F63" s="384"/>
      <c r="G63" s="136">
        <v>530</v>
      </c>
      <c r="H63" s="137" t="s">
        <v>364</v>
      </c>
      <c r="I63" s="138">
        <v>661</v>
      </c>
      <c r="J63" s="148">
        <v>1</v>
      </c>
      <c r="K63" s="148">
        <v>6</v>
      </c>
      <c r="L63" s="140" t="s">
        <v>527</v>
      </c>
      <c r="M63" s="141" t="s">
        <v>527</v>
      </c>
      <c r="N63" s="141"/>
      <c r="O63" s="141" t="s">
        <v>527</v>
      </c>
      <c r="P63" s="146" t="s">
        <v>527</v>
      </c>
      <c r="Q63" s="217">
        <f>Q64+Q85+Q91+Q89</f>
        <v>8007.8</v>
      </c>
      <c r="R63" s="217">
        <f>R64+R85+R91</f>
        <v>8314.5</v>
      </c>
      <c r="S63" s="217">
        <f>S64+S85+S91</f>
        <v>8314.5</v>
      </c>
    </row>
    <row r="64" spans="1:19" ht="36.75" customHeight="1">
      <c r="A64" s="97"/>
      <c r="B64" s="98"/>
      <c r="C64" s="103"/>
      <c r="D64" s="101"/>
      <c r="E64" s="104"/>
      <c r="F64" s="104"/>
      <c r="G64" s="89"/>
      <c r="H64" s="11" t="s">
        <v>35</v>
      </c>
      <c r="I64" s="10">
        <v>661</v>
      </c>
      <c r="J64" s="7">
        <v>1</v>
      </c>
      <c r="K64" s="7">
        <v>6</v>
      </c>
      <c r="L64" s="95" t="s">
        <v>589</v>
      </c>
      <c r="M64" s="96" t="s">
        <v>556</v>
      </c>
      <c r="N64" s="96" t="s">
        <v>576</v>
      </c>
      <c r="O64" s="96" t="s">
        <v>613</v>
      </c>
      <c r="P64" s="6"/>
      <c r="Q64" s="216">
        <f>Q65+Q69</f>
        <v>6941.3</v>
      </c>
      <c r="R64" s="216">
        <f>R65+R69</f>
        <v>6771.8</v>
      </c>
      <c r="S64" s="216">
        <f>S65+S69</f>
        <v>6771.8</v>
      </c>
    </row>
    <row r="65" spans="1:19" ht="36.75" customHeight="1">
      <c r="A65" s="97"/>
      <c r="B65" s="98"/>
      <c r="C65" s="114"/>
      <c r="D65" s="107"/>
      <c r="E65" s="104"/>
      <c r="F65" s="104"/>
      <c r="G65" s="89"/>
      <c r="H65" s="11" t="s">
        <v>36</v>
      </c>
      <c r="I65" s="10">
        <v>661</v>
      </c>
      <c r="J65" s="7">
        <v>1</v>
      </c>
      <c r="K65" s="7">
        <v>6</v>
      </c>
      <c r="L65" s="95" t="s">
        <v>589</v>
      </c>
      <c r="M65" s="96" t="s">
        <v>558</v>
      </c>
      <c r="N65" s="96" t="s">
        <v>576</v>
      </c>
      <c r="O65" s="96" t="s">
        <v>613</v>
      </c>
      <c r="P65" s="6"/>
      <c r="Q65" s="216">
        <f>Q66</f>
        <v>50</v>
      </c>
      <c r="R65" s="216">
        <f aca="true" t="shared" si="3" ref="R65:S67">R66</f>
        <v>50</v>
      </c>
      <c r="S65" s="216">
        <f t="shared" si="3"/>
        <v>50</v>
      </c>
    </row>
    <row r="66" spans="1:19" ht="36.75" customHeight="1">
      <c r="A66" s="97"/>
      <c r="B66" s="98"/>
      <c r="C66" s="114"/>
      <c r="D66" s="107"/>
      <c r="E66" s="104"/>
      <c r="F66" s="104"/>
      <c r="G66" s="89"/>
      <c r="H66" s="11" t="s">
        <v>37</v>
      </c>
      <c r="I66" s="10">
        <v>661</v>
      </c>
      <c r="J66" s="7">
        <v>1</v>
      </c>
      <c r="K66" s="7">
        <v>6</v>
      </c>
      <c r="L66" s="95" t="s">
        <v>589</v>
      </c>
      <c r="M66" s="96" t="s">
        <v>558</v>
      </c>
      <c r="N66" s="96" t="s">
        <v>557</v>
      </c>
      <c r="O66" s="96" t="s">
        <v>613</v>
      </c>
      <c r="P66" s="6"/>
      <c r="Q66" s="216">
        <f>Q67</f>
        <v>50</v>
      </c>
      <c r="R66" s="216">
        <f t="shared" si="3"/>
        <v>50</v>
      </c>
      <c r="S66" s="216">
        <f t="shared" si="3"/>
        <v>50</v>
      </c>
    </row>
    <row r="67" spans="1:19" ht="21.75" customHeight="1">
      <c r="A67" s="97"/>
      <c r="B67" s="98"/>
      <c r="C67" s="114"/>
      <c r="D67" s="107"/>
      <c r="E67" s="104"/>
      <c r="F67" s="104"/>
      <c r="G67" s="89"/>
      <c r="H67" s="11" t="s">
        <v>335</v>
      </c>
      <c r="I67" s="10">
        <v>661</v>
      </c>
      <c r="J67" s="7">
        <v>1</v>
      </c>
      <c r="K67" s="7">
        <v>6</v>
      </c>
      <c r="L67" s="95" t="s">
        <v>589</v>
      </c>
      <c r="M67" s="96" t="s">
        <v>558</v>
      </c>
      <c r="N67" s="96" t="s">
        <v>557</v>
      </c>
      <c r="O67" s="96" t="s">
        <v>641</v>
      </c>
      <c r="P67" s="6"/>
      <c r="Q67" s="216">
        <f>Q68</f>
        <v>50</v>
      </c>
      <c r="R67" s="216">
        <f t="shared" si="3"/>
        <v>50</v>
      </c>
      <c r="S67" s="216">
        <f t="shared" si="3"/>
        <v>50</v>
      </c>
    </row>
    <row r="68" spans="1:19" ht="28.5" customHeight="1">
      <c r="A68" s="97"/>
      <c r="B68" s="98"/>
      <c r="C68" s="114"/>
      <c r="D68" s="107"/>
      <c r="E68" s="104"/>
      <c r="F68" s="104"/>
      <c r="G68" s="89"/>
      <c r="H68" s="11" t="s">
        <v>712</v>
      </c>
      <c r="I68" s="10">
        <v>661</v>
      </c>
      <c r="J68" s="7">
        <v>1</v>
      </c>
      <c r="K68" s="7">
        <v>6</v>
      </c>
      <c r="L68" s="95" t="s">
        <v>589</v>
      </c>
      <c r="M68" s="96" t="s">
        <v>558</v>
      </c>
      <c r="N68" s="96" t="s">
        <v>557</v>
      </c>
      <c r="O68" s="96" t="s">
        <v>641</v>
      </c>
      <c r="P68" s="6">
        <v>240</v>
      </c>
      <c r="Q68" s="216">
        <v>50</v>
      </c>
      <c r="R68" s="216">
        <v>50</v>
      </c>
      <c r="S68" s="216">
        <v>50</v>
      </c>
    </row>
    <row r="69" spans="1:19" ht="38.25" customHeight="1">
      <c r="A69" s="97"/>
      <c r="B69" s="98"/>
      <c r="C69" s="114"/>
      <c r="D69" s="94"/>
      <c r="E69" s="94"/>
      <c r="F69" s="94"/>
      <c r="G69" s="89"/>
      <c r="H69" s="11" t="s">
        <v>34</v>
      </c>
      <c r="I69" s="10">
        <v>661</v>
      </c>
      <c r="J69" s="7">
        <v>1</v>
      </c>
      <c r="K69" s="7">
        <v>6</v>
      </c>
      <c r="L69" s="95" t="s">
        <v>589</v>
      </c>
      <c r="M69" s="96" t="s">
        <v>553</v>
      </c>
      <c r="N69" s="96" t="s">
        <v>576</v>
      </c>
      <c r="O69" s="96" t="s">
        <v>613</v>
      </c>
      <c r="P69" s="10"/>
      <c r="Q69" s="214">
        <f>Q70</f>
        <v>6891.3</v>
      </c>
      <c r="R69" s="214">
        <f>R70</f>
        <v>6721.8</v>
      </c>
      <c r="S69" s="214">
        <f>S70</f>
        <v>6721.8</v>
      </c>
    </row>
    <row r="70" spans="1:19" ht="62.25" customHeight="1">
      <c r="A70" s="97"/>
      <c r="B70" s="98"/>
      <c r="C70" s="114"/>
      <c r="D70" s="111"/>
      <c r="E70" s="114"/>
      <c r="F70" s="114"/>
      <c r="G70" s="89"/>
      <c r="H70" s="11" t="s">
        <v>33</v>
      </c>
      <c r="I70" s="10">
        <v>661</v>
      </c>
      <c r="J70" s="7">
        <v>1</v>
      </c>
      <c r="K70" s="7">
        <v>6</v>
      </c>
      <c r="L70" s="95" t="s">
        <v>589</v>
      </c>
      <c r="M70" s="96" t="s">
        <v>553</v>
      </c>
      <c r="N70" s="96" t="s">
        <v>557</v>
      </c>
      <c r="O70" s="96" t="s">
        <v>613</v>
      </c>
      <c r="P70" s="6"/>
      <c r="Q70" s="216">
        <f>Q71+Q79+Q82+Q77+Q75</f>
        <v>6891.3</v>
      </c>
      <c r="R70" s="216">
        <f>R71+R79+R82</f>
        <v>6721.8</v>
      </c>
      <c r="S70" s="216">
        <f>S71+S79+S82</f>
        <v>6721.8</v>
      </c>
    </row>
    <row r="71" spans="1:19" ht="33.75" customHeight="1">
      <c r="A71" s="99"/>
      <c r="B71" s="98"/>
      <c r="C71" s="103"/>
      <c r="D71" s="101"/>
      <c r="E71" s="104"/>
      <c r="F71" s="104"/>
      <c r="G71" s="105">
        <v>530</v>
      </c>
      <c r="H71" s="11" t="s">
        <v>335</v>
      </c>
      <c r="I71" s="10">
        <v>661</v>
      </c>
      <c r="J71" s="7">
        <v>1</v>
      </c>
      <c r="K71" s="7">
        <v>6</v>
      </c>
      <c r="L71" s="16">
        <v>11</v>
      </c>
      <c r="M71" s="96" t="s">
        <v>553</v>
      </c>
      <c r="N71" s="96" t="s">
        <v>557</v>
      </c>
      <c r="O71" s="96" t="s">
        <v>641</v>
      </c>
      <c r="P71" s="6" t="s">
        <v>527</v>
      </c>
      <c r="Q71" s="216">
        <f>SUM(Q72:Q74)</f>
        <v>4738.1</v>
      </c>
      <c r="R71" s="216">
        <f>SUM(R72:R74)</f>
        <v>6721.8</v>
      </c>
      <c r="S71" s="216">
        <f>SUM(S72:S74)</f>
        <v>6721.8</v>
      </c>
    </row>
    <row r="72" spans="1:19" ht="22.5" customHeight="1">
      <c r="A72" s="110"/>
      <c r="B72" s="111"/>
      <c r="C72" s="106"/>
      <c r="D72" s="107"/>
      <c r="E72" s="104"/>
      <c r="F72" s="104"/>
      <c r="G72" s="89"/>
      <c r="H72" s="11" t="s">
        <v>526</v>
      </c>
      <c r="I72" s="6">
        <v>661</v>
      </c>
      <c r="J72" s="7">
        <v>1</v>
      </c>
      <c r="K72" s="7">
        <v>6</v>
      </c>
      <c r="L72" s="16">
        <v>11</v>
      </c>
      <c r="M72" s="96" t="s">
        <v>553</v>
      </c>
      <c r="N72" s="96" t="s">
        <v>557</v>
      </c>
      <c r="O72" s="96" t="s">
        <v>641</v>
      </c>
      <c r="P72" s="6">
        <v>120</v>
      </c>
      <c r="Q72" s="216">
        <f>'Приложение 9'!Q421</f>
        <v>4029.2</v>
      </c>
      <c r="R72" s="216">
        <v>3954</v>
      </c>
      <c r="S72" s="216">
        <v>3954</v>
      </c>
    </row>
    <row r="73" spans="1:19" ht="21.75" customHeight="1">
      <c r="A73" s="110"/>
      <c r="B73" s="112"/>
      <c r="C73" s="106"/>
      <c r="D73" s="109"/>
      <c r="E73" s="104"/>
      <c r="F73" s="104"/>
      <c r="G73" s="89"/>
      <c r="H73" s="5" t="s">
        <v>712</v>
      </c>
      <c r="I73" s="6">
        <v>661</v>
      </c>
      <c r="J73" s="7">
        <v>1</v>
      </c>
      <c r="K73" s="7">
        <v>6</v>
      </c>
      <c r="L73" s="16">
        <v>11</v>
      </c>
      <c r="M73" s="96" t="s">
        <v>553</v>
      </c>
      <c r="N73" s="96" t="s">
        <v>557</v>
      </c>
      <c r="O73" s="96" t="s">
        <v>641</v>
      </c>
      <c r="P73" s="6">
        <v>240</v>
      </c>
      <c r="Q73" s="214">
        <f>'Приложение 9'!Q422</f>
        <v>708.3</v>
      </c>
      <c r="R73" s="214">
        <v>2744.8</v>
      </c>
      <c r="S73" s="214">
        <v>2744.8</v>
      </c>
    </row>
    <row r="74" spans="1:19" ht="21.75" customHeight="1">
      <c r="A74" s="97"/>
      <c r="B74" s="98"/>
      <c r="C74" s="94"/>
      <c r="D74" s="94"/>
      <c r="E74" s="94"/>
      <c r="F74" s="94"/>
      <c r="G74" s="89"/>
      <c r="H74" s="11" t="s">
        <v>713</v>
      </c>
      <c r="I74" s="10">
        <v>661</v>
      </c>
      <c r="J74" s="7">
        <v>1</v>
      </c>
      <c r="K74" s="7">
        <v>6</v>
      </c>
      <c r="L74" s="95" t="s">
        <v>589</v>
      </c>
      <c r="M74" s="96" t="s">
        <v>553</v>
      </c>
      <c r="N74" s="96" t="s">
        <v>557</v>
      </c>
      <c r="O74" s="96" t="s">
        <v>641</v>
      </c>
      <c r="P74" s="10">
        <v>850</v>
      </c>
      <c r="Q74" s="214">
        <f>'Приложение 9'!Q423</f>
        <v>0.6000000000000014</v>
      </c>
      <c r="R74" s="214">
        <v>23</v>
      </c>
      <c r="S74" s="214">
        <v>23</v>
      </c>
    </row>
    <row r="75" spans="1:19" ht="21.75" customHeight="1">
      <c r="A75" s="97"/>
      <c r="B75" s="98"/>
      <c r="C75" s="94"/>
      <c r="D75" s="94"/>
      <c r="E75" s="94"/>
      <c r="F75" s="94"/>
      <c r="G75" s="89"/>
      <c r="H75" s="11" t="str">
        <f>'Приложение 9'!H424</f>
        <v>Иные межбюджетные трансферты на поощрение за содействие достижению значений (уровней) показателей для оценки эффективности деятельности высших должностных лиц субъектов РФ и деятельности органов исполнительной власти субъектов РФ</v>
      </c>
      <c r="I75" s="10">
        <f>'Приложение 9'!I424</f>
        <v>661</v>
      </c>
      <c r="J75" s="7">
        <f>'Приложение 9'!J424</f>
        <v>1</v>
      </c>
      <c r="K75" s="7">
        <f>'Приложение 9'!K424</f>
        <v>6</v>
      </c>
      <c r="L75" s="95" t="str">
        <f>'Приложение 9'!L424</f>
        <v>11</v>
      </c>
      <c r="M75" s="96" t="str">
        <f>'Приложение 9'!M424</f>
        <v>4</v>
      </c>
      <c r="N75" s="96" t="str">
        <f>'Приложение 9'!N424</f>
        <v>01</v>
      </c>
      <c r="O75" s="96" t="str">
        <f>'Приложение 9'!O424</f>
        <v>5549F</v>
      </c>
      <c r="P75" s="10" t="s">
        <v>614</v>
      </c>
      <c r="Q75" s="214">
        <f>Q76</f>
        <v>0</v>
      </c>
      <c r="R75" s="214"/>
      <c r="S75" s="214"/>
    </row>
    <row r="76" spans="1:19" ht="21.75" customHeight="1">
      <c r="A76" s="97"/>
      <c r="B76" s="98"/>
      <c r="C76" s="94"/>
      <c r="D76" s="94"/>
      <c r="E76" s="94"/>
      <c r="F76" s="94"/>
      <c r="G76" s="89"/>
      <c r="H76" s="11" t="str">
        <f>'Приложение 9'!H425</f>
        <v>Расходы на выплаты персоналу государственных (муниципальных) органов</v>
      </c>
      <c r="I76" s="10">
        <f>'Приложение 9'!I425</f>
        <v>661</v>
      </c>
      <c r="J76" s="7">
        <f>'Приложение 9'!J425</f>
        <v>1</v>
      </c>
      <c r="K76" s="7">
        <f>'Приложение 9'!K425</f>
        <v>6</v>
      </c>
      <c r="L76" s="95" t="str">
        <f>'Приложение 9'!L425</f>
        <v>11</v>
      </c>
      <c r="M76" s="96" t="str">
        <f>'Приложение 9'!M425</f>
        <v>4</v>
      </c>
      <c r="N76" s="96" t="str">
        <f>'Приложение 9'!N425</f>
        <v>01</v>
      </c>
      <c r="O76" s="96" t="str">
        <f>'Приложение 9'!O425</f>
        <v>5549F</v>
      </c>
      <c r="P76" s="10">
        <f>'Приложение 9'!P425</f>
        <v>120</v>
      </c>
      <c r="Q76" s="214">
        <f>'Приложение 9'!Q425</f>
        <v>0</v>
      </c>
      <c r="R76" s="214"/>
      <c r="S76" s="214"/>
    </row>
    <row r="77" spans="1:19" ht="21.75" customHeight="1">
      <c r="A77" s="97"/>
      <c r="B77" s="98"/>
      <c r="C77" s="94"/>
      <c r="D77" s="94"/>
      <c r="E77" s="94"/>
      <c r="F77" s="94"/>
      <c r="G77" s="89"/>
      <c r="H77" s="11" t="str">
        <f>'Приложение 9'!H426</f>
        <v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v>
      </c>
      <c r="I77" s="10">
        <f>'Приложение 9'!I426</f>
        <v>661</v>
      </c>
      <c r="J77" s="7">
        <f>'Приложение 9'!J426</f>
        <v>1</v>
      </c>
      <c r="K77" s="7">
        <f>'Приложение 9'!K426</f>
        <v>6</v>
      </c>
      <c r="L77" s="95" t="str">
        <f>'Приложение 9'!L426</f>
        <v>11</v>
      </c>
      <c r="M77" s="96" t="str">
        <f>'Приложение 9'!M426</f>
        <v>4</v>
      </c>
      <c r="N77" s="96" t="str">
        <f>'Приложение 9'!N426</f>
        <v>01</v>
      </c>
      <c r="O77" s="96" t="str">
        <f>'Приложение 9'!O426</f>
        <v>70030</v>
      </c>
      <c r="P77" s="10" t="s">
        <v>614</v>
      </c>
      <c r="Q77" s="214">
        <f>Q78</f>
        <v>722</v>
      </c>
      <c r="R77" s="214"/>
      <c r="S77" s="214"/>
    </row>
    <row r="78" spans="1:19" ht="21.75" customHeight="1">
      <c r="A78" s="97"/>
      <c r="B78" s="98"/>
      <c r="C78" s="94"/>
      <c r="D78" s="94"/>
      <c r="E78" s="94"/>
      <c r="F78" s="94"/>
      <c r="G78" s="89"/>
      <c r="H78" s="11" t="str">
        <f>'Приложение 9'!H427</f>
        <v>Расходы на выплаты персоналу государственных (муниципальных) органов</v>
      </c>
      <c r="I78" s="10">
        <f>'Приложение 9'!I427</f>
        <v>661</v>
      </c>
      <c r="J78" s="7">
        <f>'Приложение 9'!J427</f>
        <v>1</v>
      </c>
      <c r="K78" s="7">
        <f>'Приложение 9'!K427</f>
        <v>6</v>
      </c>
      <c r="L78" s="95" t="str">
        <f>'Приложение 9'!L427</f>
        <v>11</v>
      </c>
      <c r="M78" s="96" t="str">
        <f>'Приложение 9'!M427</f>
        <v>4</v>
      </c>
      <c r="N78" s="96" t="str">
        <f>'Приложение 9'!N427</f>
        <v>01</v>
      </c>
      <c r="O78" s="96" t="str">
        <f>'Приложение 9'!O427</f>
        <v>70030</v>
      </c>
      <c r="P78" s="10">
        <f>'Приложение 9'!P427</f>
        <v>120</v>
      </c>
      <c r="Q78" s="214">
        <f>'Приложение 9'!Q427</f>
        <v>722</v>
      </c>
      <c r="R78" s="214"/>
      <c r="S78" s="214"/>
    </row>
    <row r="79" spans="1:19" ht="24" customHeight="1">
      <c r="A79" s="97"/>
      <c r="B79" s="98"/>
      <c r="C79" s="94"/>
      <c r="D79" s="94"/>
      <c r="E79" s="94"/>
      <c r="F79" s="94"/>
      <c r="G79" s="89"/>
      <c r="H79" s="11" t="s">
        <v>241</v>
      </c>
      <c r="I79" s="10">
        <v>661</v>
      </c>
      <c r="J79" s="7">
        <v>1</v>
      </c>
      <c r="K79" s="7">
        <v>6</v>
      </c>
      <c r="L79" s="95" t="s">
        <v>589</v>
      </c>
      <c r="M79" s="96" t="s">
        <v>553</v>
      </c>
      <c r="N79" s="96" t="s">
        <v>557</v>
      </c>
      <c r="O79" s="96" t="s">
        <v>239</v>
      </c>
      <c r="P79" s="10"/>
      <c r="Q79" s="221">
        <f>SUM(Q80:Q81)</f>
        <v>372.9</v>
      </c>
      <c r="R79" s="221"/>
      <c r="S79" s="221"/>
    </row>
    <row r="80" spans="1:19" ht="24" customHeight="1">
      <c r="A80" s="97"/>
      <c r="B80" s="98"/>
      <c r="C80" s="94"/>
      <c r="D80" s="94"/>
      <c r="E80" s="94"/>
      <c r="F80" s="94"/>
      <c r="G80" s="89"/>
      <c r="H80" s="11" t="s">
        <v>526</v>
      </c>
      <c r="I80" s="10">
        <v>661</v>
      </c>
      <c r="J80" s="7">
        <v>1</v>
      </c>
      <c r="K80" s="7">
        <v>6</v>
      </c>
      <c r="L80" s="95" t="s">
        <v>589</v>
      </c>
      <c r="M80" s="96" t="s">
        <v>553</v>
      </c>
      <c r="N80" s="96" t="s">
        <v>557</v>
      </c>
      <c r="O80" s="96" t="s">
        <v>239</v>
      </c>
      <c r="P80" s="10">
        <v>120</v>
      </c>
      <c r="Q80" s="221">
        <f>'Приложение 9'!Q429</f>
        <v>371.9</v>
      </c>
      <c r="R80" s="221"/>
      <c r="S80" s="221"/>
    </row>
    <row r="81" spans="1:19" ht="29.25" customHeight="1">
      <c r="A81" s="97"/>
      <c r="B81" s="98"/>
      <c r="C81" s="94"/>
      <c r="D81" s="94"/>
      <c r="E81" s="94"/>
      <c r="F81" s="94"/>
      <c r="G81" s="89"/>
      <c r="H81" s="11" t="s">
        <v>712</v>
      </c>
      <c r="I81" s="10">
        <v>661</v>
      </c>
      <c r="J81" s="7">
        <v>1</v>
      </c>
      <c r="K81" s="7">
        <v>6</v>
      </c>
      <c r="L81" s="95" t="s">
        <v>589</v>
      </c>
      <c r="M81" s="96" t="s">
        <v>553</v>
      </c>
      <c r="N81" s="96" t="s">
        <v>557</v>
      </c>
      <c r="O81" s="96" t="s">
        <v>239</v>
      </c>
      <c r="P81" s="10">
        <v>240</v>
      </c>
      <c r="Q81" s="214">
        <v>1</v>
      </c>
      <c r="R81" s="221"/>
      <c r="S81" s="221"/>
    </row>
    <row r="82" spans="1:19" ht="31.5" customHeight="1">
      <c r="A82" s="97"/>
      <c r="B82" s="98"/>
      <c r="C82" s="94"/>
      <c r="D82" s="94"/>
      <c r="E82" s="94"/>
      <c r="F82" s="94"/>
      <c r="G82" s="89"/>
      <c r="H82" s="11" t="s">
        <v>242</v>
      </c>
      <c r="I82" s="10">
        <v>661</v>
      </c>
      <c r="J82" s="7">
        <v>1</v>
      </c>
      <c r="K82" s="7">
        <v>6</v>
      </c>
      <c r="L82" s="95" t="s">
        <v>589</v>
      </c>
      <c r="M82" s="96" t="s">
        <v>553</v>
      </c>
      <c r="N82" s="96" t="s">
        <v>557</v>
      </c>
      <c r="O82" s="96" t="s">
        <v>240</v>
      </c>
      <c r="P82" s="10"/>
      <c r="Q82" s="221">
        <f>SUM(Q83:Q84)</f>
        <v>1058.3</v>
      </c>
      <c r="R82" s="221"/>
      <c r="S82" s="221"/>
    </row>
    <row r="83" spans="1:19" ht="22.5" customHeight="1">
      <c r="A83" s="97"/>
      <c r="B83" s="98"/>
      <c r="C83" s="94"/>
      <c r="D83" s="94"/>
      <c r="E83" s="94"/>
      <c r="F83" s="94"/>
      <c r="G83" s="89"/>
      <c r="H83" s="11" t="s">
        <v>526</v>
      </c>
      <c r="I83" s="10">
        <v>661</v>
      </c>
      <c r="J83" s="7">
        <v>1</v>
      </c>
      <c r="K83" s="7">
        <v>6</v>
      </c>
      <c r="L83" s="95" t="s">
        <v>589</v>
      </c>
      <c r="M83" s="96" t="s">
        <v>553</v>
      </c>
      <c r="N83" s="96" t="s">
        <v>557</v>
      </c>
      <c r="O83" s="96" t="s">
        <v>240</v>
      </c>
      <c r="P83" s="10">
        <v>120</v>
      </c>
      <c r="Q83" s="221">
        <f>'Приложение 9'!Q432</f>
        <v>999.1</v>
      </c>
      <c r="R83" s="221"/>
      <c r="S83" s="221"/>
    </row>
    <row r="84" spans="1:19" ht="24" customHeight="1">
      <c r="A84" s="97"/>
      <c r="B84" s="98"/>
      <c r="C84" s="106"/>
      <c r="D84" s="111"/>
      <c r="E84" s="114"/>
      <c r="F84" s="114"/>
      <c r="G84" s="89"/>
      <c r="H84" s="11" t="s">
        <v>712</v>
      </c>
      <c r="I84" s="6">
        <v>661</v>
      </c>
      <c r="J84" s="7">
        <v>1</v>
      </c>
      <c r="K84" s="7">
        <v>6</v>
      </c>
      <c r="L84" s="95" t="s">
        <v>589</v>
      </c>
      <c r="M84" s="96" t="s">
        <v>553</v>
      </c>
      <c r="N84" s="96" t="s">
        <v>557</v>
      </c>
      <c r="O84" s="96" t="s">
        <v>240</v>
      </c>
      <c r="P84" s="10">
        <v>240</v>
      </c>
      <c r="Q84" s="214">
        <v>59.2</v>
      </c>
      <c r="R84" s="214"/>
      <c r="S84" s="214"/>
    </row>
    <row r="85" spans="1:19" ht="22.5" customHeight="1">
      <c r="A85" s="99"/>
      <c r="B85" s="98"/>
      <c r="C85" s="103"/>
      <c r="D85" s="101"/>
      <c r="E85" s="113"/>
      <c r="F85" s="113">
        <v>5250104</v>
      </c>
      <c r="G85" s="105">
        <v>530</v>
      </c>
      <c r="H85" s="11" t="s">
        <v>335</v>
      </c>
      <c r="I85" s="10">
        <v>658</v>
      </c>
      <c r="J85" s="7">
        <v>1</v>
      </c>
      <c r="K85" s="7">
        <v>6</v>
      </c>
      <c r="L85" s="16" t="s">
        <v>573</v>
      </c>
      <c r="M85" s="96" t="s">
        <v>556</v>
      </c>
      <c r="N85" s="96" t="s">
        <v>576</v>
      </c>
      <c r="O85" s="96" t="s">
        <v>641</v>
      </c>
      <c r="P85" s="10" t="s">
        <v>527</v>
      </c>
      <c r="Q85" s="214">
        <f>SUM(Q86:Q88)</f>
        <v>838.6999999999998</v>
      </c>
      <c r="R85" s="214">
        <f>SUM(R86:R87)</f>
        <v>1542.6999999999998</v>
      </c>
      <c r="S85" s="214">
        <f>SUM(S86:S87)</f>
        <v>1542.6999999999998</v>
      </c>
    </row>
    <row r="86" spans="1:19" ht="22.5" customHeight="1">
      <c r="A86" s="99"/>
      <c r="B86" s="98"/>
      <c r="C86" s="103"/>
      <c r="D86" s="101"/>
      <c r="E86" s="113"/>
      <c r="F86" s="113"/>
      <c r="G86" s="105"/>
      <c r="H86" s="11" t="s">
        <v>526</v>
      </c>
      <c r="I86" s="6">
        <v>658</v>
      </c>
      <c r="J86" s="7">
        <v>1</v>
      </c>
      <c r="K86" s="7">
        <v>6</v>
      </c>
      <c r="L86" s="16">
        <v>91</v>
      </c>
      <c r="M86" s="96" t="s">
        <v>556</v>
      </c>
      <c r="N86" s="96" t="s">
        <v>576</v>
      </c>
      <c r="O86" s="96" t="s">
        <v>641</v>
      </c>
      <c r="P86" s="10">
        <v>120</v>
      </c>
      <c r="Q86" s="214">
        <f>'Приложение 9'!Q387</f>
        <v>836.2999999999998</v>
      </c>
      <c r="R86" s="214">
        <v>1273.6</v>
      </c>
      <c r="S86" s="214">
        <v>1273.6</v>
      </c>
    </row>
    <row r="87" spans="1:19" ht="20.25" customHeight="1">
      <c r="A87" s="99"/>
      <c r="B87" s="98"/>
      <c r="C87" s="103"/>
      <c r="D87" s="101"/>
      <c r="E87" s="113"/>
      <c r="F87" s="113"/>
      <c r="G87" s="105"/>
      <c r="H87" s="5" t="s">
        <v>712</v>
      </c>
      <c r="I87" s="8">
        <v>658</v>
      </c>
      <c r="J87" s="7">
        <v>1</v>
      </c>
      <c r="K87" s="7">
        <v>6</v>
      </c>
      <c r="L87" s="16">
        <v>91</v>
      </c>
      <c r="M87" s="96" t="s">
        <v>556</v>
      </c>
      <c r="N87" s="96" t="s">
        <v>576</v>
      </c>
      <c r="O87" s="96" t="s">
        <v>641</v>
      </c>
      <c r="P87" s="6">
        <v>240</v>
      </c>
      <c r="Q87" s="214">
        <f>269.1-251.1-14-1.6</f>
        <v>2.4000000000000283</v>
      </c>
      <c r="R87" s="214">
        <v>269.1</v>
      </c>
      <c r="S87" s="214">
        <v>269.1</v>
      </c>
    </row>
    <row r="88" spans="1:19" ht="20.25" customHeight="1" hidden="1">
      <c r="A88" s="99"/>
      <c r="B88" s="98"/>
      <c r="C88" s="103"/>
      <c r="D88" s="101"/>
      <c r="E88" s="104"/>
      <c r="F88" s="104"/>
      <c r="G88" s="89"/>
      <c r="H88" s="11" t="str">
        <f>'Приложение 9'!H389</f>
        <v>Уплата налогов, сборов и иных платежей</v>
      </c>
      <c r="I88" s="13">
        <f>'Приложение 9'!I389</f>
        <v>658</v>
      </c>
      <c r="J88" s="7">
        <f>'Приложение 9'!J389</f>
        <v>1</v>
      </c>
      <c r="K88" s="7">
        <f>'Приложение 9'!K389</f>
        <v>6</v>
      </c>
      <c r="L88" s="16">
        <f>'Приложение 9'!L389</f>
        <v>91</v>
      </c>
      <c r="M88" s="96" t="str">
        <f>'Приложение 9'!M389</f>
        <v>0</v>
      </c>
      <c r="N88" s="96" t="str">
        <f>'Приложение 9'!N389</f>
        <v>00</v>
      </c>
      <c r="O88" s="96" t="str">
        <f>'Приложение 9'!O389</f>
        <v>00190</v>
      </c>
      <c r="P88" s="10">
        <f>'Приложение 9'!P389</f>
        <v>850</v>
      </c>
      <c r="Q88" s="214">
        <f>'Приложение 9'!Q389</f>
        <v>0</v>
      </c>
      <c r="R88" s="214"/>
      <c r="S88" s="214"/>
    </row>
    <row r="89" spans="1:19" ht="31.5" customHeight="1">
      <c r="A89" s="99"/>
      <c r="B89" s="98"/>
      <c r="C89" s="103"/>
      <c r="D89" s="101"/>
      <c r="E89" s="104"/>
      <c r="F89" s="104"/>
      <c r="G89" s="89"/>
      <c r="H89" s="11" t="str">
        <f>'Приложение 9'!H390</f>
        <v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v>
      </c>
      <c r="I89" s="13">
        <f>'Приложение 9'!I390</f>
        <v>658</v>
      </c>
      <c r="J89" s="7">
        <f>'Приложение 9'!J390</f>
        <v>1</v>
      </c>
      <c r="K89" s="7">
        <f>'Приложение 9'!K390</f>
        <v>6</v>
      </c>
      <c r="L89" s="16">
        <f>'Приложение 9'!L390</f>
        <v>91</v>
      </c>
      <c r="M89" s="96" t="str">
        <f>'Приложение 9'!M390</f>
        <v>0</v>
      </c>
      <c r="N89" s="96" t="str">
        <f>'Приложение 9'!N390</f>
        <v>00</v>
      </c>
      <c r="O89" s="96" t="str">
        <f>'Приложение 9'!O390</f>
        <v>70030</v>
      </c>
      <c r="P89" s="10" t="s">
        <v>614</v>
      </c>
      <c r="Q89" s="214">
        <f>Q90</f>
        <v>89.69999999999999</v>
      </c>
      <c r="R89" s="214"/>
      <c r="S89" s="214"/>
    </row>
    <row r="90" spans="1:19" ht="20.25" customHeight="1">
      <c r="A90" s="99"/>
      <c r="B90" s="98"/>
      <c r="C90" s="103"/>
      <c r="D90" s="101"/>
      <c r="E90" s="104"/>
      <c r="F90" s="104"/>
      <c r="G90" s="89"/>
      <c r="H90" s="11" t="str">
        <f>'Приложение 9'!H391</f>
        <v>Расходы на выплаты персоналу государственных (муниципальных) органов</v>
      </c>
      <c r="I90" s="13">
        <f>'Приложение 9'!I391</f>
        <v>658</v>
      </c>
      <c r="J90" s="7">
        <f>'Приложение 9'!J391</f>
        <v>1</v>
      </c>
      <c r="K90" s="7">
        <f>'Приложение 9'!K391</f>
        <v>6</v>
      </c>
      <c r="L90" s="16">
        <f>'Приложение 9'!L391</f>
        <v>91</v>
      </c>
      <c r="M90" s="96" t="str">
        <f>'Приложение 9'!M391</f>
        <v>0</v>
      </c>
      <c r="N90" s="96" t="str">
        <f>'Приложение 9'!N391</f>
        <v>00</v>
      </c>
      <c r="O90" s="96" t="str">
        <f>'Приложение 9'!O391</f>
        <v>70030</v>
      </c>
      <c r="P90" s="10">
        <f>'Приложение 9'!P391</f>
        <v>120</v>
      </c>
      <c r="Q90" s="214">
        <f>'Приложение 9'!Q391</f>
        <v>89.69999999999999</v>
      </c>
      <c r="R90" s="214"/>
      <c r="S90" s="214"/>
    </row>
    <row r="91" spans="1:19" ht="21.75" customHeight="1">
      <c r="A91" s="99"/>
      <c r="B91" s="98"/>
      <c r="C91" s="103"/>
      <c r="D91" s="101"/>
      <c r="E91" s="104"/>
      <c r="F91" s="104"/>
      <c r="G91" s="89"/>
      <c r="H91" s="11" t="s">
        <v>236</v>
      </c>
      <c r="I91" s="10">
        <v>658</v>
      </c>
      <c r="J91" s="7">
        <v>1</v>
      </c>
      <c r="K91" s="7">
        <v>6</v>
      </c>
      <c r="L91" s="16">
        <v>91</v>
      </c>
      <c r="M91" s="96" t="s">
        <v>556</v>
      </c>
      <c r="N91" s="96" t="s">
        <v>576</v>
      </c>
      <c r="O91" s="96" t="s">
        <v>235</v>
      </c>
      <c r="P91" s="10"/>
      <c r="Q91" s="214">
        <f>SUM(Q92:Q93)</f>
        <v>138.1</v>
      </c>
      <c r="R91" s="214"/>
      <c r="S91" s="214"/>
    </row>
    <row r="92" spans="1:19" ht="21" customHeight="1">
      <c r="A92" s="99"/>
      <c r="B92" s="98"/>
      <c r="C92" s="103"/>
      <c r="D92" s="101"/>
      <c r="E92" s="104"/>
      <c r="F92" s="104"/>
      <c r="G92" s="89"/>
      <c r="H92" s="11" t="s">
        <v>526</v>
      </c>
      <c r="I92" s="10">
        <v>658</v>
      </c>
      <c r="J92" s="7">
        <v>1</v>
      </c>
      <c r="K92" s="7">
        <v>6</v>
      </c>
      <c r="L92" s="16">
        <v>91</v>
      </c>
      <c r="M92" s="96" t="s">
        <v>556</v>
      </c>
      <c r="N92" s="96" t="s">
        <v>576</v>
      </c>
      <c r="O92" s="96" t="s">
        <v>235</v>
      </c>
      <c r="P92" s="10">
        <v>120</v>
      </c>
      <c r="Q92" s="214">
        <f>'Приложение 9'!Q393</f>
        <v>95</v>
      </c>
      <c r="R92" s="214">
        <v>0</v>
      </c>
      <c r="S92" s="214">
        <v>0</v>
      </c>
    </row>
    <row r="93" spans="1:19" ht="28.5" customHeight="1">
      <c r="A93" s="99"/>
      <c r="B93" s="98"/>
      <c r="C93" s="103"/>
      <c r="D93" s="101"/>
      <c r="E93" s="104"/>
      <c r="F93" s="104"/>
      <c r="G93" s="89"/>
      <c r="H93" s="11" t="s">
        <v>712</v>
      </c>
      <c r="I93" s="10">
        <v>658</v>
      </c>
      <c r="J93" s="7">
        <v>1</v>
      </c>
      <c r="K93" s="7">
        <v>6</v>
      </c>
      <c r="L93" s="16">
        <v>91</v>
      </c>
      <c r="M93" s="96" t="s">
        <v>556</v>
      </c>
      <c r="N93" s="96" t="s">
        <v>576</v>
      </c>
      <c r="O93" s="96" t="s">
        <v>235</v>
      </c>
      <c r="P93" s="10">
        <v>240</v>
      </c>
      <c r="Q93" s="214">
        <f>'Приложение 9'!Q394</f>
        <v>43.099999999999994</v>
      </c>
      <c r="R93" s="214">
        <v>0</v>
      </c>
      <c r="S93" s="214">
        <v>0</v>
      </c>
    </row>
    <row r="94" spans="1:19" ht="27" customHeight="1">
      <c r="A94" s="99"/>
      <c r="B94" s="98"/>
      <c r="C94" s="103"/>
      <c r="D94" s="101"/>
      <c r="E94" s="104"/>
      <c r="F94" s="104"/>
      <c r="G94" s="89"/>
      <c r="H94" s="11" t="s">
        <v>713</v>
      </c>
      <c r="I94" s="10">
        <v>658</v>
      </c>
      <c r="J94" s="7">
        <v>1</v>
      </c>
      <c r="K94" s="7">
        <v>6</v>
      </c>
      <c r="L94" s="16">
        <v>91</v>
      </c>
      <c r="M94" s="96" t="s">
        <v>556</v>
      </c>
      <c r="N94" s="96" t="s">
        <v>576</v>
      </c>
      <c r="O94" s="96" t="s">
        <v>235</v>
      </c>
      <c r="P94" s="10">
        <v>850</v>
      </c>
      <c r="Q94" s="214">
        <v>1</v>
      </c>
      <c r="R94" s="214"/>
      <c r="S94" s="214"/>
    </row>
    <row r="95" spans="1:19" s="179" customFormat="1" ht="18.75" customHeight="1" hidden="1">
      <c r="A95" s="375">
        <v>1200</v>
      </c>
      <c r="B95" s="375"/>
      <c r="C95" s="376"/>
      <c r="D95" s="376"/>
      <c r="E95" s="376"/>
      <c r="F95" s="376"/>
      <c r="G95" s="136">
        <v>622</v>
      </c>
      <c r="H95" s="137" t="s">
        <v>363</v>
      </c>
      <c r="I95" s="138">
        <v>27</v>
      </c>
      <c r="J95" s="148">
        <v>1</v>
      </c>
      <c r="K95" s="148">
        <v>11</v>
      </c>
      <c r="L95" s="140" t="s">
        <v>527</v>
      </c>
      <c r="M95" s="141" t="s">
        <v>527</v>
      </c>
      <c r="N95" s="141"/>
      <c r="O95" s="141" t="s">
        <v>527</v>
      </c>
      <c r="P95" s="138" t="s">
        <v>527</v>
      </c>
      <c r="Q95" s="213">
        <f aca="true" t="shared" si="4" ref="Q95:S97">Q96</f>
        <v>0</v>
      </c>
      <c r="R95" s="213">
        <f t="shared" si="4"/>
        <v>500</v>
      </c>
      <c r="S95" s="213">
        <f t="shared" si="4"/>
        <v>500</v>
      </c>
    </row>
    <row r="96" spans="1:19" ht="23.25" customHeight="1" hidden="1">
      <c r="A96" s="99"/>
      <c r="B96" s="98"/>
      <c r="C96" s="381">
        <v>1204</v>
      </c>
      <c r="D96" s="382"/>
      <c r="E96" s="382"/>
      <c r="F96" s="382"/>
      <c r="G96" s="89">
        <v>622</v>
      </c>
      <c r="H96" s="11" t="s">
        <v>363</v>
      </c>
      <c r="I96" s="10">
        <v>27</v>
      </c>
      <c r="J96" s="7">
        <v>1</v>
      </c>
      <c r="K96" s="7">
        <v>11</v>
      </c>
      <c r="L96" s="95">
        <v>70</v>
      </c>
      <c r="M96" s="96">
        <v>0</v>
      </c>
      <c r="N96" s="96" t="s">
        <v>576</v>
      </c>
      <c r="O96" s="96" t="s">
        <v>613</v>
      </c>
      <c r="P96" s="10" t="s">
        <v>527</v>
      </c>
      <c r="Q96" s="214">
        <f t="shared" si="4"/>
        <v>0</v>
      </c>
      <c r="R96" s="214">
        <f t="shared" si="4"/>
        <v>500</v>
      </c>
      <c r="S96" s="214">
        <f t="shared" si="4"/>
        <v>500</v>
      </c>
    </row>
    <row r="97" spans="1:19" ht="21" customHeight="1" hidden="1">
      <c r="A97" s="99"/>
      <c r="B97" s="98"/>
      <c r="C97" s="97"/>
      <c r="D97" s="368">
        <v>4440000</v>
      </c>
      <c r="E97" s="368"/>
      <c r="F97" s="368"/>
      <c r="G97" s="89">
        <v>621</v>
      </c>
      <c r="H97" s="11" t="s">
        <v>346</v>
      </c>
      <c r="I97" s="10">
        <v>27</v>
      </c>
      <c r="J97" s="7">
        <v>1</v>
      </c>
      <c r="K97" s="7">
        <v>11</v>
      </c>
      <c r="L97" s="95" t="s">
        <v>336</v>
      </c>
      <c r="M97" s="96" t="s">
        <v>579</v>
      </c>
      <c r="N97" s="96" t="s">
        <v>576</v>
      </c>
      <c r="O97" s="96" t="s">
        <v>613</v>
      </c>
      <c r="P97" s="10" t="s">
        <v>527</v>
      </c>
      <c r="Q97" s="214">
        <f t="shared" si="4"/>
        <v>0</v>
      </c>
      <c r="R97" s="214">
        <f t="shared" si="4"/>
        <v>500</v>
      </c>
      <c r="S97" s="214">
        <f t="shared" si="4"/>
        <v>500</v>
      </c>
    </row>
    <row r="98" spans="1:19" ht="23.25" customHeight="1" hidden="1">
      <c r="A98" s="99"/>
      <c r="B98" s="98"/>
      <c r="C98" s="103"/>
      <c r="D98" s="109"/>
      <c r="E98" s="104"/>
      <c r="F98" s="104"/>
      <c r="G98" s="105">
        <v>621</v>
      </c>
      <c r="H98" s="5" t="s">
        <v>544</v>
      </c>
      <c r="I98" s="8">
        <v>27</v>
      </c>
      <c r="J98" s="7">
        <v>1</v>
      </c>
      <c r="K98" s="7">
        <v>11</v>
      </c>
      <c r="L98" s="95" t="s">
        <v>336</v>
      </c>
      <c r="M98" s="96" t="s">
        <v>579</v>
      </c>
      <c r="N98" s="96" t="s">
        <v>576</v>
      </c>
      <c r="O98" s="96" t="s">
        <v>613</v>
      </c>
      <c r="P98" s="6">
        <v>870</v>
      </c>
      <c r="Q98" s="216">
        <f>'Приложение 9'!Q44</f>
        <v>0</v>
      </c>
      <c r="R98" s="216">
        <v>500</v>
      </c>
      <c r="S98" s="216">
        <v>500</v>
      </c>
    </row>
    <row r="99" spans="1:19" s="179" customFormat="1" ht="23.25" customHeight="1">
      <c r="A99" s="142"/>
      <c r="B99" s="143"/>
      <c r="C99" s="142"/>
      <c r="D99" s="144"/>
      <c r="E99" s="145"/>
      <c r="F99" s="145"/>
      <c r="G99" s="136"/>
      <c r="H99" s="137" t="s">
        <v>528</v>
      </c>
      <c r="I99" s="146">
        <v>27</v>
      </c>
      <c r="J99" s="148">
        <v>1</v>
      </c>
      <c r="K99" s="148">
        <v>13</v>
      </c>
      <c r="L99" s="140"/>
      <c r="M99" s="141"/>
      <c r="N99" s="141"/>
      <c r="O99" s="141"/>
      <c r="P99" s="146"/>
      <c r="Q99" s="217">
        <f>Q100+Q107+Q118+Q164+Q131+Q162</f>
        <v>72472.79999999999</v>
      </c>
      <c r="R99" s="217" t="e">
        <f>R100+R107+R118+R164+#REF!+#REF!</f>
        <v>#REF!</v>
      </c>
      <c r="S99" s="217" t="e">
        <f>S100+S107+S118+S164+#REF!+#REF!</f>
        <v>#REF!</v>
      </c>
    </row>
    <row r="100" spans="1:19" ht="33.75" customHeight="1">
      <c r="A100" s="99"/>
      <c r="B100" s="98"/>
      <c r="C100" s="103"/>
      <c r="D100" s="101"/>
      <c r="E100" s="113"/>
      <c r="F100" s="113"/>
      <c r="G100" s="105"/>
      <c r="H100" s="3" t="s">
        <v>29</v>
      </c>
      <c r="I100" s="6">
        <v>28</v>
      </c>
      <c r="J100" s="7">
        <v>1</v>
      </c>
      <c r="K100" s="7">
        <v>13</v>
      </c>
      <c r="L100" s="95" t="s">
        <v>586</v>
      </c>
      <c r="M100" s="96" t="s">
        <v>556</v>
      </c>
      <c r="N100" s="96" t="s">
        <v>576</v>
      </c>
      <c r="O100" s="96" t="s">
        <v>613</v>
      </c>
      <c r="P100" s="6"/>
      <c r="Q100" s="216">
        <f>Q101+Q104</f>
        <v>156.1</v>
      </c>
      <c r="R100" s="216">
        <f>R101+R104</f>
        <v>0</v>
      </c>
      <c r="S100" s="216">
        <f>S101+S104</f>
        <v>0</v>
      </c>
    </row>
    <row r="101" spans="1:19" ht="19.5" customHeight="1">
      <c r="A101" s="99"/>
      <c r="B101" s="98"/>
      <c r="C101" s="103"/>
      <c r="D101" s="101"/>
      <c r="E101" s="113"/>
      <c r="F101" s="113"/>
      <c r="G101" s="105"/>
      <c r="H101" s="3" t="s">
        <v>27</v>
      </c>
      <c r="I101" s="8">
        <v>28</v>
      </c>
      <c r="J101" s="7">
        <v>1</v>
      </c>
      <c r="K101" s="7">
        <v>13</v>
      </c>
      <c r="L101" s="95" t="s">
        <v>586</v>
      </c>
      <c r="M101" s="96" t="s">
        <v>556</v>
      </c>
      <c r="N101" s="96" t="s">
        <v>557</v>
      </c>
      <c r="O101" s="96" t="s">
        <v>613</v>
      </c>
      <c r="P101" s="6"/>
      <c r="Q101" s="216">
        <f aca="true" t="shared" si="5" ref="Q101:S102">Q102</f>
        <v>101.1</v>
      </c>
      <c r="R101" s="216">
        <f t="shared" si="5"/>
        <v>0</v>
      </c>
      <c r="S101" s="216">
        <f t="shared" si="5"/>
        <v>0</v>
      </c>
    </row>
    <row r="102" spans="1:19" ht="36.75" customHeight="1">
      <c r="A102" s="99"/>
      <c r="B102" s="98"/>
      <c r="C102" s="103"/>
      <c r="D102" s="101"/>
      <c r="E102" s="113"/>
      <c r="F102" s="113"/>
      <c r="G102" s="105">
        <v>240</v>
      </c>
      <c r="H102" s="18" t="s">
        <v>243</v>
      </c>
      <c r="I102" s="8">
        <v>28</v>
      </c>
      <c r="J102" s="7">
        <v>1</v>
      </c>
      <c r="K102" s="7">
        <v>13</v>
      </c>
      <c r="L102" s="95" t="s">
        <v>586</v>
      </c>
      <c r="M102" s="96" t="s">
        <v>556</v>
      </c>
      <c r="N102" s="96" t="s">
        <v>557</v>
      </c>
      <c r="O102" s="96" t="s">
        <v>244</v>
      </c>
      <c r="P102" s="6"/>
      <c r="Q102" s="216">
        <f t="shared" si="5"/>
        <v>101.1</v>
      </c>
      <c r="R102" s="216">
        <f t="shared" si="5"/>
        <v>0</v>
      </c>
      <c r="S102" s="216">
        <f t="shared" si="5"/>
        <v>0</v>
      </c>
    </row>
    <row r="103" spans="1:19" ht="24.75" customHeight="1">
      <c r="A103" s="110"/>
      <c r="B103" s="111"/>
      <c r="C103" s="106"/>
      <c r="D103" s="107"/>
      <c r="E103" s="104"/>
      <c r="F103" s="104"/>
      <c r="G103" s="105"/>
      <c r="H103" s="5" t="s">
        <v>606</v>
      </c>
      <c r="I103" s="6">
        <v>28</v>
      </c>
      <c r="J103" s="7">
        <v>1</v>
      </c>
      <c r="K103" s="7">
        <v>13</v>
      </c>
      <c r="L103" s="95" t="s">
        <v>586</v>
      </c>
      <c r="M103" s="96" t="s">
        <v>556</v>
      </c>
      <c r="N103" s="96" t="s">
        <v>557</v>
      </c>
      <c r="O103" s="96" t="s">
        <v>244</v>
      </c>
      <c r="P103" s="6">
        <v>340</v>
      </c>
      <c r="Q103" s="214">
        <f>'Приложение 9'!Q369</f>
        <v>101.1</v>
      </c>
      <c r="R103" s="216"/>
      <c r="S103" s="216"/>
    </row>
    <row r="104" spans="1:19" ht="24.75" customHeight="1">
      <c r="A104" s="110"/>
      <c r="B104" s="111"/>
      <c r="C104" s="106"/>
      <c r="D104" s="107"/>
      <c r="E104" s="104"/>
      <c r="F104" s="104"/>
      <c r="G104" s="105"/>
      <c r="H104" s="5" t="s">
        <v>28</v>
      </c>
      <c r="I104" s="6">
        <v>28</v>
      </c>
      <c r="J104" s="7">
        <v>1</v>
      </c>
      <c r="K104" s="7">
        <v>13</v>
      </c>
      <c r="L104" s="95" t="s">
        <v>586</v>
      </c>
      <c r="M104" s="96" t="s">
        <v>556</v>
      </c>
      <c r="N104" s="96" t="s">
        <v>585</v>
      </c>
      <c r="O104" s="96" t="s">
        <v>613</v>
      </c>
      <c r="P104" s="6"/>
      <c r="Q104" s="214">
        <f aca="true" t="shared" si="6" ref="Q104:S105">Q105</f>
        <v>55</v>
      </c>
      <c r="R104" s="214">
        <f t="shared" si="6"/>
        <v>0</v>
      </c>
      <c r="S104" s="214">
        <f t="shared" si="6"/>
        <v>0</v>
      </c>
    </row>
    <row r="105" spans="1:19" ht="36.75" customHeight="1">
      <c r="A105" s="110"/>
      <c r="B105" s="111"/>
      <c r="C105" s="106"/>
      <c r="D105" s="107"/>
      <c r="E105" s="104"/>
      <c r="F105" s="104"/>
      <c r="G105" s="105"/>
      <c r="H105" s="5" t="s">
        <v>243</v>
      </c>
      <c r="I105" s="6">
        <v>28</v>
      </c>
      <c r="J105" s="7">
        <v>1</v>
      </c>
      <c r="K105" s="7">
        <v>13</v>
      </c>
      <c r="L105" s="95" t="s">
        <v>586</v>
      </c>
      <c r="M105" s="96" t="s">
        <v>556</v>
      </c>
      <c r="N105" s="96" t="s">
        <v>585</v>
      </c>
      <c r="O105" s="96" t="s">
        <v>244</v>
      </c>
      <c r="P105" s="6"/>
      <c r="Q105" s="214">
        <f t="shared" si="6"/>
        <v>55</v>
      </c>
      <c r="R105" s="214">
        <f t="shared" si="6"/>
        <v>0</v>
      </c>
      <c r="S105" s="214">
        <f t="shared" si="6"/>
        <v>0</v>
      </c>
    </row>
    <row r="106" spans="1:19" ht="24.75" customHeight="1">
      <c r="A106" s="110"/>
      <c r="B106" s="111"/>
      <c r="C106" s="106"/>
      <c r="D106" s="107"/>
      <c r="E106" s="104"/>
      <c r="F106" s="104"/>
      <c r="G106" s="105"/>
      <c r="H106" s="5" t="s">
        <v>712</v>
      </c>
      <c r="I106" s="6">
        <v>28</v>
      </c>
      <c r="J106" s="7">
        <v>1</v>
      </c>
      <c r="K106" s="7">
        <v>13</v>
      </c>
      <c r="L106" s="95" t="s">
        <v>586</v>
      </c>
      <c r="M106" s="96" t="s">
        <v>556</v>
      </c>
      <c r="N106" s="96" t="s">
        <v>585</v>
      </c>
      <c r="O106" s="96" t="s">
        <v>244</v>
      </c>
      <c r="P106" s="6">
        <v>240</v>
      </c>
      <c r="Q106" s="214">
        <f>'Приложение 9'!Q372</f>
        <v>55</v>
      </c>
      <c r="R106" s="214"/>
      <c r="S106" s="214"/>
    </row>
    <row r="107" spans="1:19" s="179" customFormat="1" ht="41.25" customHeight="1">
      <c r="A107" s="142"/>
      <c r="B107" s="143"/>
      <c r="C107" s="142"/>
      <c r="D107" s="144"/>
      <c r="E107" s="145"/>
      <c r="F107" s="145"/>
      <c r="G107" s="136"/>
      <c r="H107" s="11" t="s">
        <v>612</v>
      </c>
      <c r="I107" s="6">
        <v>27</v>
      </c>
      <c r="J107" s="7">
        <v>1</v>
      </c>
      <c r="K107" s="7">
        <v>13</v>
      </c>
      <c r="L107" s="95" t="s">
        <v>555</v>
      </c>
      <c r="M107" s="96" t="s">
        <v>556</v>
      </c>
      <c r="N107" s="96" t="s">
        <v>576</v>
      </c>
      <c r="O107" s="96" t="s">
        <v>613</v>
      </c>
      <c r="P107" s="6"/>
      <c r="Q107" s="216">
        <f>Q108+Q115</f>
        <v>5180.6</v>
      </c>
      <c r="R107" s="216"/>
      <c r="S107" s="216"/>
    </row>
    <row r="108" spans="1:19" s="179" customFormat="1" ht="23.25" customHeight="1">
      <c r="A108" s="142"/>
      <c r="B108" s="143"/>
      <c r="C108" s="142"/>
      <c r="D108" s="144"/>
      <c r="E108" s="145"/>
      <c r="F108" s="145"/>
      <c r="G108" s="136"/>
      <c r="H108" s="11" t="s">
        <v>782</v>
      </c>
      <c r="I108" s="6">
        <v>27</v>
      </c>
      <c r="J108" s="7">
        <v>1</v>
      </c>
      <c r="K108" s="7">
        <v>13</v>
      </c>
      <c r="L108" s="95" t="s">
        <v>555</v>
      </c>
      <c r="M108" s="96" t="s">
        <v>556</v>
      </c>
      <c r="N108" s="96" t="s">
        <v>585</v>
      </c>
      <c r="O108" s="96" t="s">
        <v>613</v>
      </c>
      <c r="P108" s="6"/>
      <c r="Q108" s="216">
        <f>Q109+Q111+Q113</f>
        <v>5013.6</v>
      </c>
      <c r="R108" s="216"/>
      <c r="S108" s="216"/>
    </row>
    <row r="109" spans="1:19" s="179" customFormat="1" ht="41.25" customHeight="1" hidden="1">
      <c r="A109" s="142"/>
      <c r="B109" s="143"/>
      <c r="C109" s="142"/>
      <c r="D109" s="144"/>
      <c r="E109" s="145"/>
      <c r="F109" s="145"/>
      <c r="G109" s="136"/>
      <c r="H109" s="11" t="s">
        <v>780</v>
      </c>
      <c r="I109" s="6">
        <v>27</v>
      </c>
      <c r="J109" s="7">
        <v>1</v>
      </c>
      <c r="K109" s="7">
        <v>13</v>
      </c>
      <c r="L109" s="95" t="s">
        <v>555</v>
      </c>
      <c r="M109" s="96" t="s">
        <v>556</v>
      </c>
      <c r="N109" s="96" t="s">
        <v>585</v>
      </c>
      <c r="O109" s="96" t="s">
        <v>779</v>
      </c>
      <c r="P109" s="6"/>
      <c r="Q109" s="216">
        <f>Q110</f>
        <v>0</v>
      </c>
      <c r="R109" s="216"/>
      <c r="S109" s="216"/>
    </row>
    <row r="110" spans="1:19" s="179" customFormat="1" ht="23.25" customHeight="1" hidden="1">
      <c r="A110" s="142"/>
      <c r="B110" s="143"/>
      <c r="C110" s="142"/>
      <c r="D110" s="144"/>
      <c r="E110" s="145"/>
      <c r="F110" s="145"/>
      <c r="G110" s="136"/>
      <c r="H110" s="11" t="s">
        <v>640</v>
      </c>
      <c r="I110" s="6">
        <v>27</v>
      </c>
      <c r="J110" s="7">
        <v>1</v>
      </c>
      <c r="K110" s="7">
        <v>13</v>
      </c>
      <c r="L110" s="95" t="s">
        <v>555</v>
      </c>
      <c r="M110" s="96" t="s">
        <v>556</v>
      </c>
      <c r="N110" s="96" t="s">
        <v>585</v>
      </c>
      <c r="O110" s="96" t="s">
        <v>779</v>
      </c>
      <c r="P110" s="6">
        <v>540</v>
      </c>
      <c r="Q110" s="216">
        <v>0</v>
      </c>
      <c r="R110" s="216"/>
      <c r="S110" s="216"/>
    </row>
    <row r="111" spans="1:19" s="179" customFormat="1" ht="23.25" customHeight="1">
      <c r="A111" s="142"/>
      <c r="B111" s="143"/>
      <c r="C111" s="142"/>
      <c r="D111" s="144"/>
      <c r="E111" s="145"/>
      <c r="F111" s="145"/>
      <c r="G111" s="136"/>
      <c r="H111" s="11" t="s">
        <v>787</v>
      </c>
      <c r="I111" s="6">
        <v>27</v>
      </c>
      <c r="J111" s="7">
        <v>1</v>
      </c>
      <c r="K111" s="7">
        <v>13</v>
      </c>
      <c r="L111" s="95" t="s">
        <v>555</v>
      </c>
      <c r="M111" s="96" t="s">
        <v>556</v>
      </c>
      <c r="N111" s="96" t="s">
        <v>585</v>
      </c>
      <c r="O111" s="96" t="s">
        <v>786</v>
      </c>
      <c r="P111" s="6"/>
      <c r="Q111" s="216">
        <f>Q112</f>
        <v>582</v>
      </c>
      <c r="R111" s="216"/>
      <c r="S111" s="216"/>
    </row>
    <row r="112" spans="1:19" s="179" customFormat="1" ht="23.25" customHeight="1">
      <c r="A112" s="142"/>
      <c r="B112" s="143"/>
      <c r="C112" s="142"/>
      <c r="D112" s="144"/>
      <c r="E112" s="145"/>
      <c r="F112" s="145"/>
      <c r="G112" s="136"/>
      <c r="H112" s="11" t="s">
        <v>640</v>
      </c>
      <c r="I112" s="6">
        <v>27</v>
      </c>
      <c r="J112" s="7">
        <v>1</v>
      </c>
      <c r="K112" s="7">
        <v>13</v>
      </c>
      <c r="L112" s="95" t="s">
        <v>555</v>
      </c>
      <c r="M112" s="96" t="s">
        <v>556</v>
      </c>
      <c r="N112" s="96" t="s">
        <v>585</v>
      </c>
      <c r="O112" s="96" t="s">
        <v>786</v>
      </c>
      <c r="P112" s="6">
        <v>540</v>
      </c>
      <c r="Q112" s="216">
        <f>'Приложение 9'!Q51</f>
        <v>582</v>
      </c>
      <c r="R112" s="216"/>
      <c r="S112" s="216"/>
    </row>
    <row r="113" spans="1:19" s="179" customFormat="1" ht="23.25" customHeight="1">
      <c r="A113" s="142"/>
      <c r="B113" s="143"/>
      <c r="C113" s="142"/>
      <c r="D113" s="144"/>
      <c r="E113" s="145"/>
      <c r="F113" s="145"/>
      <c r="G113" s="136"/>
      <c r="H113" s="11" t="str">
        <f>'Приложение 9'!H52</f>
        <v>Реализация мероприятий по строительству объектов инженерной инфраструктуры</v>
      </c>
      <c r="I113" s="10">
        <f>'Приложение 9'!I52</f>
        <v>27</v>
      </c>
      <c r="J113" s="7">
        <f>'Приложение 9'!J52</f>
        <v>1</v>
      </c>
      <c r="K113" s="7">
        <f>'Приложение 9'!K52</f>
        <v>13</v>
      </c>
      <c r="L113" s="95" t="str">
        <f>'Приложение 9'!L52</f>
        <v>08</v>
      </c>
      <c r="M113" s="96" t="str">
        <f>'Приложение 9'!M52</f>
        <v>0</v>
      </c>
      <c r="N113" s="96" t="str">
        <f>'Приложение 9'!N52</f>
        <v>02</v>
      </c>
      <c r="O113" s="96" t="str">
        <f>'Приложение 9'!O52</f>
        <v>S1600</v>
      </c>
      <c r="P113" s="6" t="s">
        <v>614</v>
      </c>
      <c r="Q113" s="216">
        <f>Q114</f>
        <v>4431.6</v>
      </c>
      <c r="R113" s="216"/>
      <c r="S113" s="216"/>
    </row>
    <row r="114" spans="1:19" s="179" customFormat="1" ht="23.25" customHeight="1">
      <c r="A114" s="142"/>
      <c r="B114" s="143"/>
      <c r="C114" s="142"/>
      <c r="D114" s="144"/>
      <c r="E114" s="145"/>
      <c r="F114" s="145"/>
      <c r="G114" s="136"/>
      <c r="H114" s="11" t="str">
        <f>'Приложение 9'!H53</f>
        <v>Иные межбюджетные трансферты</v>
      </c>
      <c r="I114" s="10">
        <f>'Приложение 9'!I53</f>
        <v>27</v>
      </c>
      <c r="J114" s="7">
        <f>'Приложение 9'!J53</f>
        <v>1</v>
      </c>
      <c r="K114" s="7">
        <f>'Приложение 9'!K53</f>
        <v>13</v>
      </c>
      <c r="L114" s="95" t="str">
        <f>'Приложение 9'!L53</f>
        <v>08</v>
      </c>
      <c r="M114" s="96" t="str">
        <f>'Приложение 9'!M53</f>
        <v>0</v>
      </c>
      <c r="N114" s="96" t="str">
        <f>'Приложение 9'!N53</f>
        <v>02</v>
      </c>
      <c r="O114" s="96" t="str">
        <f>'Приложение 9'!O53</f>
        <v>S1600</v>
      </c>
      <c r="P114" s="6">
        <f>'Приложение 9'!P53</f>
        <v>540</v>
      </c>
      <c r="Q114" s="216">
        <f>'Приложение 9'!Q53</f>
        <v>4431.6</v>
      </c>
      <c r="R114" s="216"/>
      <c r="S114" s="216"/>
    </row>
    <row r="115" spans="1:19" s="179" customFormat="1" ht="23.25" customHeight="1">
      <c r="A115" s="142"/>
      <c r="B115" s="143"/>
      <c r="C115" s="142"/>
      <c r="D115" s="144"/>
      <c r="E115" s="145"/>
      <c r="F115" s="145"/>
      <c r="G115" s="136"/>
      <c r="H115" s="11" t="str">
        <f>'Приложение 9'!H54</f>
        <v>Основное мероприятие "Строительство фельдерско-акушерских пунктов и офисов врача общей практики"</v>
      </c>
      <c r="I115" s="10">
        <f>'Приложение 9'!I54</f>
        <v>27</v>
      </c>
      <c r="J115" s="7">
        <f>'Приложение 9'!J54</f>
        <v>1</v>
      </c>
      <c r="K115" s="7">
        <f>'Приложение 9'!K54</f>
        <v>13</v>
      </c>
      <c r="L115" s="95" t="str">
        <f>'Приложение 9'!L54</f>
        <v>08</v>
      </c>
      <c r="M115" s="96" t="str">
        <f>'Приложение 9'!M54</f>
        <v>0</v>
      </c>
      <c r="N115" s="96" t="str">
        <f>'Приложение 9'!N54</f>
        <v>03</v>
      </c>
      <c r="O115" s="96" t="str">
        <f>'Приложение 9'!O54</f>
        <v>00000</v>
      </c>
      <c r="P115" s="6" t="s">
        <v>614</v>
      </c>
      <c r="Q115" s="216">
        <f>Q116</f>
        <v>167</v>
      </c>
      <c r="R115" s="216"/>
      <c r="S115" s="216"/>
    </row>
    <row r="116" spans="1:19" s="179" customFormat="1" ht="23.25" customHeight="1">
      <c r="A116" s="142"/>
      <c r="B116" s="143"/>
      <c r="C116" s="142"/>
      <c r="D116" s="144"/>
      <c r="E116" s="145"/>
      <c r="F116" s="145"/>
      <c r="G116" s="136"/>
      <c r="H116" s="11" t="str">
        <f>'Приложение 9'!H55</f>
        <v>Мероприятия по строительству ФАПов</v>
      </c>
      <c r="I116" s="10">
        <f>'Приложение 9'!I55</f>
        <v>27</v>
      </c>
      <c r="J116" s="7">
        <f>'Приложение 9'!J55</f>
        <v>1</v>
      </c>
      <c r="K116" s="7">
        <f>'Приложение 9'!K55</f>
        <v>13</v>
      </c>
      <c r="L116" s="95" t="str">
        <f>'Приложение 9'!L55</f>
        <v>08</v>
      </c>
      <c r="M116" s="96" t="str">
        <f>'Приложение 9'!M55</f>
        <v>0</v>
      </c>
      <c r="N116" s="96" t="str">
        <f>'Приложение 9'!N55</f>
        <v>03</v>
      </c>
      <c r="O116" s="96" t="str">
        <f>'Приложение 9'!O55</f>
        <v>20140</v>
      </c>
      <c r="P116" s="6" t="s">
        <v>614</v>
      </c>
      <c r="Q116" s="216">
        <f>Q117</f>
        <v>167</v>
      </c>
      <c r="R116" s="216"/>
      <c r="S116" s="216"/>
    </row>
    <row r="117" spans="1:19" s="179" customFormat="1" ht="23.25" customHeight="1">
      <c r="A117" s="142"/>
      <c r="B117" s="143"/>
      <c r="C117" s="142"/>
      <c r="D117" s="144"/>
      <c r="E117" s="145"/>
      <c r="F117" s="145"/>
      <c r="G117" s="136"/>
      <c r="H117" s="11" t="str">
        <f>'Приложение 9'!H56</f>
        <v>Иные межбюджетные трансферты</v>
      </c>
      <c r="I117" s="10">
        <f>'Приложение 9'!I56</f>
        <v>27</v>
      </c>
      <c r="J117" s="7">
        <f>'Приложение 9'!J56</f>
        <v>1</v>
      </c>
      <c r="K117" s="7">
        <f>'Приложение 9'!K56</f>
        <v>13</v>
      </c>
      <c r="L117" s="95" t="str">
        <f>'Приложение 9'!L56</f>
        <v>08</v>
      </c>
      <c r="M117" s="96" t="str">
        <f>'Приложение 9'!M56</f>
        <v>0</v>
      </c>
      <c r="N117" s="96" t="str">
        <f>'Приложение 9'!N56</f>
        <v>03</v>
      </c>
      <c r="O117" s="96" t="str">
        <f>'Приложение 9'!O56</f>
        <v>20140</v>
      </c>
      <c r="P117" s="6">
        <f>'Приложение 9'!P56</f>
        <v>540</v>
      </c>
      <c r="Q117" s="216">
        <f>'Приложение 9'!Q56</f>
        <v>167</v>
      </c>
      <c r="R117" s="216"/>
      <c r="S117" s="216"/>
    </row>
    <row r="118" spans="1:19" ht="36.75" customHeight="1">
      <c r="A118" s="97"/>
      <c r="B118" s="98"/>
      <c r="C118" s="103"/>
      <c r="D118" s="101"/>
      <c r="E118" s="104"/>
      <c r="F118" s="104"/>
      <c r="G118" s="89"/>
      <c r="H118" s="11" t="s">
        <v>35</v>
      </c>
      <c r="I118" s="10">
        <v>661</v>
      </c>
      <c r="J118" s="7">
        <v>1</v>
      </c>
      <c r="K118" s="7">
        <v>13</v>
      </c>
      <c r="L118" s="95" t="s">
        <v>589</v>
      </c>
      <c r="M118" s="96" t="s">
        <v>556</v>
      </c>
      <c r="N118" s="96" t="s">
        <v>576</v>
      </c>
      <c r="O118" s="96" t="s">
        <v>613</v>
      </c>
      <c r="P118" s="6"/>
      <c r="Q118" s="216">
        <f aca="true" t="shared" si="7" ref="Q118:S119">Q119</f>
        <v>15778.900000000001</v>
      </c>
      <c r="R118" s="216">
        <f t="shared" si="7"/>
        <v>13395.400000000001</v>
      </c>
      <c r="S118" s="216">
        <f t="shared" si="7"/>
        <v>13395.400000000001</v>
      </c>
    </row>
    <row r="119" spans="1:19" ht="38.25" customHeight="1">
      <c r="A119" s="97"/>
      <c r="B119" s="98"/>
      <c r="C119" s="114"/>
      <c r="D119" s="94"/>
      <c r="E119" s="94"/>
      <c r="F119" s="94"/>
      <c r="G119" s="89"/>
      <c r="H119" s="11" t="s">
        <v>34</v>
      </c>
      <c r="I119" s="10">
        <v>661</v>
      </c>
      <c r="J119" s="7">
        <v>1</v>
      </c>
      <c r="K119" s="7">
        <v>13</v>
      </c>
      <c r="L119" s="95" t="s">
        <v>589</v>
      </c>
      <c r="M119" s="96" t="s">
        <v>553</v>
      </c>
      <c r="N119" s="96" t="s">
        <v>576</v>
      </c>
      <c r="O119" s="96" t="s">
        <v>613</v>
      </c>
      <c r="P119" s="10"/>
      <c r="Q119" s="214">
        <f t="shared" si="7"/>
        <v>15778.900000000001</v>
      </c>
      <c r="R119" s="214">
        <f t="shared" si="7"/>
        <v>13395.400000000001</v>
      </c>
      <c r="S119" s="214">
        <f t="shared" si="7"/>
        <v>13395.400000000001</v>
      </c>
    </row>
    <row r="120" spans="1:19" ht="36" customHeight="1">
      <c r="A120" s="97"/>
      <c r="B120" s="98"/>
      <c r="C120" s="106"/>
      <c r="D120" s="111"/>
      <c r="E120" s="114"/>
      <c r="F120" s="114"/>
      <c r="G120" s="89"/>
      <c r="H120" s="11" t="s">
        <v>795</v>
      </c>
      <c r="I120" s="10">
        <v>661</v>
      </c>
      <c r="J120" s="7">
        <v>1</v>
      </c>
      <c r="K120" s="7">
        <v>13</v>
      </c>
      <c r="L120" s="95" t="s">
        <v>589</v>
      </c>
      <c r="M120" s="96" t="s">
        <v>553</v>
      </c>
      <c r="N120" s="96" t="s">
        <v>585</v>
      </c>
      <c r="O120" s="96" t="s">
        <v>613</v>
      </c>
      <c r="P120" s="10"/>
      <c r="Q120" s="214">
        <f>Q121+Q128+Q126</f>
        <v>15778.900000000001</v>
      </c>
      <c r="R120" s="214">
        <f>R121+R128</f>
        <v>13395.400000000001</v>
      </c>
      <c r="S120" s="214">
        <f>S121+S128</f>
        <v>13395.400000000001</v>
      </c>
    </row>
    <row r="121" spans="1:19" ht="33.75" customHeight="1">
      <c r="A121" s="97"/>
      <c r="B121" s="98"/>
      <c r="C121" s="106"/>
      <c r="D121" s="111"/>
      <c r="E121" s="114"/>
      <c r="F121" s="114"/>
      <c r="G121" s="89"/>
      <c r="H121" s="11" t="s">
        <v>337</v>
      </c>
      <c r="I121" s="10">
        <v>661</v>
      </c>
      <c r="J121" s="7">
        <v>1</v>
      </c>
      <c r="K121" s="7">
        <v>13</v>
      </c>
      <c r="L121" s="95" t="s">
        <v>589</v>
      </c>
      <c r="M121" s="96" t="s">
        <v>553</v>
      </c>
      <c r="N121" s="96" t="s">
        <v>585</v>
      </c>
      <c r="O121" s="96" t="s">
        <v>338</v>
      </c>
      <c r="P121" s="10"/>
      <c r="Q121" s="221">
        <f>SUM(Q122:Q125)</f>
        <v>11336.600000000002</v>
      </c>
      <c r="R121" s="221">
        <f>SUM(R122:R125)</f>
        <v>13395.400000000001</v>
      </c>
      <c r="S121" s="221">
        <f>SUM(S122:S125)</f>
        <v>13395.400000000001</v>
      </c>
    </row>
    <row r="122" spans="1:19" ht="30" customHeight="1">
      <c r="A122" s="97"/>
      <c r="B122" s="98"/>
      <c r="C122" s="106"/>
      <c r="D122" s="111"/>
      <c r="E122" s="114"/>
      <c r="F122" s="114"/>
      <c r="G122" s="89"/>
      <c r="H122" s="11" t="s">
        <v>781</v>
      </c>
      <c r="I122" s="10">
        <v>661</v>
      </c>
      <c r="J122" s="7">
        <v>1</v>
      </c>
      <c r="K122" s="7">
        <v>13</v>
      </c>
      <c r="L122" s="95" t="s">
        <v>589</v>
      </c>
      <c r="M122" s="96" t="s">
        <v>553</v>
      </c>
      <c r="N122" s="96" t="s">
        <v>585</v>
      </c>
      <c r="O122" s="96" t="s">
        <v>338</v>
      </c>
      <c r="P122" s="10">
        <v>110</v>
      </c>
      <c r="Q122" s="214">
        <f>'Приложение 9'!Q439</f>
        <v>10531.800000000001</v>
      </c>
      <c r="R122" s="240">
        <v>11244.7</v>
      </c>
      <c r="S122" s="240">
        <v>11244.7</v>
      </c>
    </row>
    <row r="123" spans="1:19" ht="30" customHeight="1">
      <c r="A123" s="97"/>
      <c r="B123" s="98"/>
      <c r="C123" s="106"/>
      <c r="D123" s="111"/>
      <c r="E123" s="114"/>
      <c r="F123" s="114"/>
      <c r="G123" s="89"/>
      <c r="H123" s="11" t="s">
        <v>712</v>
      </c>
      <c r="I123" s="10">
        <v>661</v>
      </c>
      <c r="J123" s="7">
        <v>1</v>
      </c>
      <c r="K123" s="7">
        <v>13</v>
      </c>
      <c r="L123" s="95" t="s">
        <v>589</v>
      </c>
      <c r="M123" s="96" t="s">
        <v>553</v>
      </c>
      <c r="N123" s="96" t="s">
        <v>585</v>
      </c>
      <c r="O123" s="96" t="s">
        <v>338</v>
      </c>
      <c r="P123" s="10">
        <v>240</v>
      </c>
      <c r="Q123" s="214">
        <f>'Приложение 9'!Q440</f>
        <v>736.7</v>
      </c>
      <c r="R123" s="240">
        <v>2149.7</v>
      </c>
      <c r="S123" s="240">
        <v>2149.7</v>
      </c>
    </row>
    <row r="124" spans="1:19" ht="30" customHeight="1">
      <c r="A124" s="97"/>
      <c r="B124" s="98"/>
      <c r="C124" s="106"/>
      <c r="D124" s="111"/>
      <c r="E124" s="114"/>
      <c r="F124" s="114"/>
      <c r="G124" s="89"/>
      <c r="H124" s="11" t="str">
        <f>'Приложение 9'!H441</f>
        <v>Социальные выплаты гражданам, кроме публичных нормативных социальных выплат</v>
      </c>
      <c r="I124" s="10">
        <f>'Приложение 9'!I441</f>
        <v>661</v>
      </c>
      <c r="J124" s="7">
        <f>'Приложение 9'!J441</f>
        <v>1</v>
      </c>
      <c r="K124" s="7">
        <f>'Приложение 9'!K441</f>
        <v>13</v>
      </c>
      <c r="L124" s="95" t="str">
        <f>'Приложение 9'!L441</f>
        <v>11</v>
      </c>
      <c r="M124" s="96" t="str">
        <f>'Приложение 9'!M441</f>
        <v>4</v>
      </c>
      <c r="N124" s="96" t="str">
        <f>'Приложение 9'!N441</f>
        <v>02</v>
      </c>
      <c r="O124" s="96" t="str">
        <f>'Приложение 9'!O441</f>
        <v>00590</v>
      </c>
      <c r="P124" s="10">
        <f>'Приложение 9'!P441</f>
        <v>320</v>
      </c>
      <c r="Q124" s="214">
        <f>'Приложение 9'!Q441</f>
        <v>68</v>
      </c>
      <c r="R124" s="240"/>
      <c r="S124" s="240"/>
    </row>
    <row r="125" spans="1:19" ht="30" customHeight="1">
      <c r="A125" s="97"/>
      <c r="B125" s="98"/>
      <c r="C125" s="106"/>
      <c r="D125" s="111"/>
      <c r="E125" s="114"/>
      <c r="F125" s="114"/>
      <c r="G125" s="89"/>
      <c r="H125" s="11" t="s">
        <v>713</v>
      </c>
      <c r="I125" s="10">
        <v>661</v>
      </c>
      <c r="J125" s="7">
        <v>1</v>
      </c>
      <c r="K125" s="7">
        <v>13</v>
      </c>
      <c r="L125" s="95" t="s">
        <v>589</v>
      </c>
      <c r="M125" s="96" t="s">
        <v>553</v>
      </c>
      <c r="N125" s="96" t="s">
        <v>585</v>
      </c>
      <c r="O125" s="96" t="s">
        <v>338</v>
      </c>
      <c r="P125" s="10">
        <v>850</v>
      </c>
      <c r="Q125" s="214">
        <f>'Приложение 9'!Q442</f>
        <v>0.10000000000000009</v>
      </c>
      <c r="R125" s="240">
        <v>1</v>
      </c>
      <c r="S125" s="240">
        <v>1</v>
      </c>
    </row>
    <row r="126" spans="1:19" ht="30" customHeight="1">
      <c r="A126" s="97"/>
      <c r="B126" s="98"/>
      <c r="C126" s="106"/>
      <c r="D126" s="111"/>
      <c r="E126" s="114"/>
      <c r="F126" s="114"/>
      <c r="G126" s="89"/>
      <c r="H126" s="11" t="str">
        <f>'Приложение 9'!H443</f>
        <v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v>
      </c>
      <c r="I126" s="10">
        <f>'Приложение 9'!I443</f>
        <v>661</v>
      </c>
      <c r="J126" s="7">
        <f>'Приложение 9'!J443</f>
        <v>1</v>
      </c>
      <c r="K126" s="7">
        <f>'Приложение 9'!K443</f>
        <v>13</v>
      </c>
      <c r="L126" s="95" t="str">
        <f>'Приложение 9'!L443</f>
        <v>11</v>
      </c>
      <c r="M126" s="96" t="str">
        <f>'Приложение 9'!M443</f>
        <v>4</v>
      </c>
      <c r="N126" s="96" t="str">
        <f>'Приложение 9'!N443</f>
        <v>02</v>
      </c>
      <c r="O126" s="96" t="str">
        <f>'Приложение 9'!O443</f>
        <v>70030</v>
      </c>
      <c r="P126" s="10" t="s">
        <v>614</v>
      </c>
      <c r="Q126" s="214">
        <f>Q127</f>
        <v>2235.2</v>
      </c>
      <c r="R126" s="240"/>
      <c r="S126" s="240"/>
    </row>
    <row r="127" spans="1:19" ht="30" customHeight="1">
      <c r="A127" s="97"/>
      <c r="B127" s="98"/>
      <c r="C127" s="106"/>
      <c r="D127" s="111"/>
      <c r="E127" s="114"/>
      <c r="F127" s="114"/>
      <c r="G127" s="89"/>
      <c r="H127" s="11" t="str">
        <f>'Приложение 9'!H444</f>
        <v> Расходы на выплаты персоналу казенных учреждений</v>
      </c>
      <c r="I127" s="10">
        <f>'Приложение 9'!I444</f>
        <v>661</v>
      </c>
      <c r="J127" s="7">
        <f>'Приложение 9'!J444</f>
        <v>1</v>
      </c>
      <c r="K127" s="7">
        <f>'Приложение 9'!K444</f>
        <v>13</v>
      </c>
      <c r="L127" s="95" t="str">
        <f>'Приложение 9'!L444</f>
        <v>11</v>
      </c>
      <c r="M127" s="96" t="str">
        <f>'Приложение 9'!M444</f>
        <v>4</v>
      </c>
      <c r="N127" s="96" t="str">
        <f>'Приложение 9'!N444</f>
        <v>02</v>
      </c>
      <c r="O127" s="96" t="str">
        <f>'Приложение 9'!O444</f>
        <v>70030</v>
      </c>
      <c r="P127" s="10">
        <f>'Приложение 9'!P444</f>
        <v>110</v>
      </c>
      <c r="Q127" s="214">
        <f>'Приложение 9'!Q444</f>
        <v>2235.2</v>
      </c>
      <c r="R127" s="240"/>
      <c r="S127" s="240"/>
    </row>
    <row r="128" spans="1:19" ht="33.75" customHeight="1">
      <c r="A128" s="97"/>
      <c r="B128" s="98"/>
      <c r="C128" s="106"/>
      <c r="D128" s="111"/>
      <c r="E128" s="114"/>
      <c r="F128" s="114"/>
      <c r="G128" s="89"/>
      <c r="H128" s="11" t="s">
        <v>752</v>
      </c>
      <c r="I128" s="10">
        <v>661</v>
      </c>
      <c r="J128" s="7">
        <v>1</v>
      </c>
      <c r="K128" s="7">
        <v>13</v>
      </c>
      <c r="L128" s="95" t="s">
        <v>589</v>
      </c>
      <c r="M128" s="96" t="s">
        <v>553</v>
      </c>
      <c r="N128" s="96" t="s">
        <v>585</v>
      </c>
      <c r="O128" s="96" t="s">
        <v>751</v>
      </c>
      <c r="P128" s="10"/>
      <c r="Q128" s="214">
        <f>SUM(Q129:Q130)</f>
        <v>2207.0999999999995</v>
      </c>
      <c r="R128" s="214">
        <f>SUM(R129:R130)</f>
        <v>0</v>
      </c>
      <c r="S128" s="214">
        <f>SUM(S129:S130)</f>
        <v>0</v>
      </c>
    </row>
    <row r="129" spans="1:19" ht="33.75" customHeight="1">
      <c r="A129" s="97"/>
      <c r="B129" s="98"/>
      <c r="C129" s="106"/>
      <c r="D129" s="111"/>
      <c r="E129" s="114"/>
      <c r="F129" s="114"/>
      <c r="G129" s="89"/>
      <c r="H129" s="11" t="s">
        <v>715</v>
      </c>
      <c r="I129" s="10">
        <v>661</v>
      </c>
      <c r="J129" s="7">
        <v>1</v>
      </c>
      <c r="K129" s="7">
        <v>13</v>
      </c>
      <c r="L129" s="95" t="s">
        <v>589</v>
      </c>
      <c r="M129" s="96" t="s">
        <v>553</v>
      </c>
      <c r="N129" s="96" t="s">
        <v>585</v>
      </c>
      <c r="O129" s="96" t="s">
        <v>751</v>
      </c>
      <c r="P129" s="10">
        <v>110</v>
      </c>
      <c r="Q129" s="214">
        <f>'Приложение 9'!Q446</f>
        <v>2095.4999999999995</v>
      </c>
      <c r="R129" s="214"/>
      <c r="S129" s="214"/>
    </row>
    <row r="130" spans="1:19" ht="33.75" customHeight="1">
      <c r="A130" s="97"/>
      <c r="B130" s="98"/>
      <c r="C130" s="106"/>
      <c r="D130" s="111"/>
      <c r="E130" s="114"/>
      <c r="F130" s="114"/>
      <c r="G130" s="89"/>
      <c r="H130" s="11" t="s">
        <v>712</v>
      </c>
      <c r="I130" s="10">
        <v>661</v>
      </c>
      <c r="J130" s="7">
        <v>1</v>
      </c>
      <c r="K130" s="7">
        <v>13</v>
      </c>
      <c r="L130" s="95" t="s">
        <v>589</v>
      </c>
      <c r="M130" s="96" t="s">
        <v>553</v>
      </c>
      <c r="N130" s="96" t="s">
        <v>585</v>
      </c>
      <c r="O130" s="96" t="s">
        <v>751</v>
      </c>
      <c r="P130" s="10">
        <v>240</v>
      </c>
      <c r="Q130" s="214">
        <f>'Приложение 9'!Q447</f>
        <v>111.6</v>
      </c>
      <c r="R130" s="214"/>
      <c r="S130" s="214"/>
    </row>
    <row r="131" spans="1:19" ht="33.75" customHeight="1">
      <c r="A131" s="97"/>
      <c r="B131" s="98"/>
      <c r="C131" s="114"/>
      <c r="D131" s="111"/>
      <c r="E131" s="114"/>
      <c r="F131" s="114"/>
      <c r="G131" s="89"/>
      <c r="H131" s="11" t="str">
        <f>'Приложение 9'!H663</f>
        <v>Муниципальная программа «Управление и распоряжение муниципальным имуществом Белозерского муниципального района на 2020-2025 годы»</v>
      </c>
      <c r="I131" s="10">
        <f>'Приложение 9'!I663</f>
        <v>664</v>
      </c>
      <c r="J131" s="7">
        <f>'Приложение 9'!J663</f>
        <v>1</v>
      </c>
      <c r="K131" s="7">
        <f>'Приложение 9'!K663</f>
        <v>13</v>
      </c>
      <c r="L131" s="95" t="str">
        <f>'Приложение 9'!L663</f>
        <v>48</v>
      </c>
      <c r="M131" s="96" t="str">
        <f>'Приложение 9'!M663</f>
        <v>0</v>
      </c>
      <c r="N131" s="96" t="str">
        <f>'Приложение 9'!N663</f>
        <v>00</v>
      </c>
      <c r="O131" s="96" t="str">
        <f>'Приложение 9'!O663</f>
        <v>00000</v>
      </c>
      <c r="P131" s="10" t="s">
        <v>614</v>
      </c>
      <c r="Q131" s="214">
        <f>Q132+Q135+Q138+Q143+Q159</f>
        <v>6909.7</v>
      </c>
      <c r="R131" s="214"/>
      <c r="S131" s="214"/>
    </row>
    <row r="132" spans="1:19" ht="33.75" customHeight="1">
      <c r="A132" s="97"/>
      <c r="B132" s="98"/>
      <c r="C132" s="114"/>
      <c r="D132" s="111"/>
      <c r="E132" s="114"/>
      <c r="F132" s="114"/>
      <c r="G132" s="89"/>
      <c r="H132" s="11" t="str">
        <f>'Приложение 9'!H664</f>
        <v>Основное мероприятие «Осуществление кадастрового учета объектов недвижимости и земельных участков»</v>
      </c>
      <c r="I132" s="10">
        <f>'Приложение 9'!I664</f>
        <v>664</v>
      </c>
      <c r="J132" s="7">
        <f>'Приложение 9'!J664</f>
        <v>1</v>
      </c>
      <c r="K132" s="7">
        <f>'Приложение 9'!K664</f>
        <v>13</v>
      </c>
      <c r="L132" s="95">
        <f>'Приложение 9'!L664</f>
        <v>48</v>
      </c>
      <c r="M132" s="96" t="str">
        <f>'Приложение 9'!M664</f>
        <v>0</v>
      </c>
      <c r="N132" s="96" t="str">
        <f>'Приложение 9'!N664</f>
        <v>01</v>
      </c>
      <c r="O132" s="96" t="str">
        <f>'Приложение 9'!O664</f>
        <v>00000</v>
      </c>
      <c r="P132" s="10" t="s">
        <v>614</v>
      </c>
      <c r="Q132" s="214">
        <f>Q133</f>
        <v>367.7</v>
      </c>
      <c r="R132" s="214"/>
      <c r="S132" s="214"/>
    </row>
    <row r="133" spans="1:19" ht="33.75" customHeight="1">
      <c r="A133" s="97"/>
      <c r="B133" s="98"/>
      <c r="C133" s="114"/>
      <c r="D133" s="111"/>
      <c r="E133" s="114"/>
      <c r="F133" s="114"/>
      <c r="G133" s="89"/>
      <c r="H133" s="11" t="str">
        <f>'Приложение 9'!H665</f>
        <v>Выполнение других обязательств государства</v>
      </c>
      <c r="I133" s="10">
        <f>'Приложение 9'!I665</f>
        <v>664</v>
      </c>
      <c r="J133" s="7">
        <f>'Приложение 9'!J665</f>
        <v>1</v>
      </c>
      <c r="K133" s="7">
        <f>'Приложение 9'!K665</f>
        <v>13</v>
      </c>
      <c r="L133" s="95">
        <f>'Приложение 9'!L665</f>
        <v>48</v>
      </c>
      <c r="M133" s="96" t="str">
        <f>'Приложение 9'!M665</f>
        <v>0</v>
      </c>
      <c r="N133" s="96" t="str">
        <f>'Приложение 9'!N665</f>
        <v>01</v>
      </c>
      <c r="O133" s="96" t="str">
        <f>'Приложение 9'!O665</f>
        <v>20520</v>
      </c>
      <c r="P133" s="10" t="s">
        <v>614</v>
      </c>
      <c r="Q133" s="214">
        <f>Q134</f>
        <v>367.7</v>
      </c>
      <c r="R133" s="214"/>
      <c r="S133" s="214"/>
    </row>
    <row r="134" spans="1:19" ht="33.75" customHeight="1">
      <c r="A134" s="97"/>
      <c r="B134" s="98"/>
      <c r="C134" s="114"/>
      <c r="D134" s="111"/>
      <c r="E134" s="114"/>
      <c r="F134" s="114"/>
      <c r="G134" s="89"/>
      <c r="H134" s="11" t="str">
        <f>'Приложение 9'!H666</f>
        <v>Иные закупки товаров, работ и услуг для обеспечения государственных (муниципальных) нужд</v>
      </c>
      <c r="I134" s="10">
        <f>'Приложение 9'!I666</f>
        <v>664</v>
      </c>
      <c r="J134" s="7">
        <f>'Приложение 9'!J666</f>
        <v>1</v>
      </c>
      <c r="K134" s="7">
        <f>'Приложение 9'!K666</f>
        <v>13</v>
      </c>
      <c r="L134" s="95">
        <f>'Приложение 9'!L666</f>
        <v>48</v>
      </c>
      <c r="M134" s="96" t="str">
        <f>'Приложение 9'!M666</f>
        <v>0</v>
      </c>
      <c r="N134" s="96" t="str">
        <f>'Приложение 9'!N666</f>
        <v>01</v>
      </c>
      <c r="O134" s="96" t="str">
        <f>'Приложение 9'!O666</f>
        <v>20520</v>
      </c>
      <c r="P134" s="10">
        <f>'Приложение 9'!P666</f>
        <v>240</v>
      </c>
      <c r="Q134" s="214">
        <f>'Приложение 9'!Q666</f>
        <v>367.7</v>
      </c>
      <c r="R134" s="214"/>
      <c r="S134" s="214"/>
    </row>
    <row r="135" spans="1:19" ht="33.75" customHeight="1">
      <c r="A135" s="97"/>
      <c r="B135" s="98"/>
      <c r="C135" s="114"/>
      <c r="D135" s="111"/>
      <c r="E135" s="114"/>
      <c r="F135" s="114"/>
      <c r="G135" s="89"/>
      <c r="H135" s="11" t="str">
        <f>'Приложение 9'!H667</f>
        <v>Основное мероприятие «Проведение работ по оценке стоимости аренды, продажи или залоговой стоимости объектов»</v>
      </c>
      <c r="I135" s="10">
        <f>'Приложение 9'!I667</f>
        <v>664</v>
      </c>
      <c r="J135" s="7">
        <f>'Приложение 9'!J667</f>
        <v>1</v>
      </c>
      <c r="K135" s="7">
        <f>'Приложение 9'!K667</f>
        <v>13</v>
      </c>
      <c r="L135" s="95">
        <f>'Приложение 9'!L667</f>
        <v>48</v>
      </c>
      <c r="M135" s="96" t="str">
        <f>'Приложение 9'!M667</f>
        <v>0</v>
      </c>
      <c r="N135" s="96" t="str">
        <f>'Приложение 9'!N667</f>
        <v>02</v>
      </c>
      <c r="O135" s="96" t="str">
        <f>'Приложение 9'!O667</f>
        <v>00000</v>
      </c>
      <c r="P135" s="10" t="s">
        <v>614</v>
      </c>
      <c r="Q135" s="214">
        <f>Q136</f>
        <v>62.3</v>
      </c>
      <c r="R135" s="214"/>
      <c r="S135" s="214"/>
    </row>
    <row r="136" spans="1:19" ht="33.75" customHeight="1">
      <c r="A136" s="97"/>
      <c r="B136" s="98"/>
      <c r="C136" s="114"/>
      <c r="D136" s="111"/>
      <c r="E136" s="114"/>
      <c r="F136" s="114"/>
      <c r="G136" s="89"/>
      <c r="H136" s="11" t="str">
        <f>'Приложение 9'!H668</f>
        <v>Оценка недвижимости, признание прав и регулирование отношений по государственной  (муниципальной)  собственности</v>
      </c>
      <c r="I136" s="10">
        <f>'Приложение 9'!I668</f>
        <v>664</v>
      </c>
      <c r="J136" s="7">
        <f>'Приложение 9'!J668</f>
        <v>1</v>
      </c>
      <c r="K136" s="7">
        <f>'Приложение 9'!K668</f>
        <v>13</v>
      </c>
      <c r="L136" s="95">
        <f>'Приложение 9'!L668</f>
        <v>48</v>
      </c>
      <c r="M136" s="96" t="str">
        <f>'Приложение 9'!M668</f>
        <v>0</v>
      </c>
      <c r="N136" s="96" t="str">
        <f>'Приложение 9'!N668</f>
        <v>02</v>
      </c>
      <c r="O136" s="96" t="str">
        <f>'Приложение 9'!O668</f>
        <v>20510</v>
      </c>
      <c r="P136" s="10" t="s">
        <v>614</v>
      </c>
      <c r="Q136" s="214">
        <f>Q137</f>
        <v>62.3</v>
      </c>
      <c r="R136" s="214"/>
      <c r="S136" s="214"/>
    </row>
    <row r="137" spans="1:19" ht="33.75" customHeight="1">
      <c r="A137" s="97"/>
      <c r="B137" s="98"/>
      <c r="C137" s="114"/>
      <c r="D137" s="111"/>
      <c r="E137" s="114"/>
      <c r="F137" s="114"/>
      <c r="G137" s="89"/>
      <c r="H137" s="11" t="str">
        <f>'Приложение 9'!H669</f>
        <v>Иные закупки товаров, работ и услуг для обеспечения государственных (муниципальных) нужд</v>
      </c>
      <c r="I137" s="10">
        <f>'Приложение 9'!I669</f>
        <v>664</v>
      </c>
      <c r="J137" s="7">
        <f>'Приложение 9'!J669</f>
        <v>1</v>
      </c>
      <c r="K137" s="7">
        <f>'Приложение 9'!K669</f>
        <v>13</v>
      </c>
      <c r="L137" s="95">
        <f>'Приложение 9'!L669</f>
        <v>48</v>
      </c>
      <c r="M137" s="96" t="str">
        <f>'Приложение 9'!M669</f>
        <v>0</v>
      </c>
      <c r="N137" s="96" t="str">
        <f>'Приложение 9'!N669</f>
        <v>02</v>
      </c>
      <c r="O137" s="96" t="str">
        <f>'Приложение 9'!O669</f>
        <v>20510</v>
      </c>
      <c r="P137" s="10">
        <f>'Приложение 9'!P669</f>
        <v>240</v>
      </c>
      <c r="Q137" s="214">
        <f>'Приложение 9'!Q669</f>
        <v>62.3</v>
      </c>
      <c r="R137" s="214"/>
      <c r="S137" s="214"/>
    </row>
    <row r="138" spans="1:19" ht="33.75" customHeight="1">
      <c r="A138" s="97"/>
      <c r="B138" s="98"/>
      <c r="C138" s="114"/>
      <c r="D138" s="111"/>
      <c r="E138" s="114"/>
      <c r="F138" s="114"/>
      <c r="G138" s="89"/>
      <c r="H138" s="11" t="str">
        <f>'Приложение 9'!H670</f>
        <v>Основное мероприятие «Содержание объектов муниципальной собственности, находящихся в казне муниципального имущества Белозерского муниципального района»</v>
      </c>
      <c r="I138" s="10">
        <f>'Приложение 9'!I670</f>
        <v>664</v>
      </c>
      <c r="J138" s="7">
        <f>'Приложение 9'!J670</f>
        <v>1</v>
      </c>
      <c r="K138" s="7">
        <f>'Приложение 9'!K670</f>
        <v>13</v>
      </c>
      <c r="L138" s="95">
        <f>'Приложение 9'!L670</f>
        <v>48</v>
      </c>
      <c r="M138" s="96" t="str">
        <f>'Приложение 9'!M670</f>
        <v>0</v>
      </c>
      <c r="N138" s="96" t="str">
        <f>'Приложение 9'!N670</f>
        <v>03</v>
      </c>
      <c r="O138" s="96" t="str">
        <f>'Приложение 9'!O670</f>
        <v>00000</v>
      </c>
      <c r="P138" s="10" t="s">
        <v>614</v>
      </c>
      <c r="Q138" s="214">
        <f>Q139</f>
        <v>1626.8</v>
      </c>
      <c r="R138" s="214"/>
      <c r="S138" s="214"/>
    </row>
    <row r="139" spans="1:19" ht="33.75" customHeight="1">
      <c r="A139" s="97"/>
      <c r="B139" s="98"/>
      <c r="C139" s="114"/>
      <c r="D139" s="111"/>
      <c r="E139" s="114"/>
      <c r="F139" s="114"/>
      <c r="G139" s="89"/>
      <c r="H139" s="11" t="str">
        <f>'Приложение 9'!H671</f>
        <v>Выполнение других обязательств, связанных с содержанием имущества, находящегося в казне района</v>
      </c>
      <c r="I139" s="10">
        <f>'Приложение 9'!I671</f>
        <v>664</v>
      </c>
      <c r="J139" s="7">
        <f>'Приложение 9'!J671</f>
        <v>1</v>
      </c>
      <c r="K139" s="7">
        <f>'Приложение 9'!K671</f>
        <v>13</v>
      </c>
      <c r="L139" s="95">
        <f>'Приложение 9'!L671</f>
        <v>48</v>
      </c>
      <c r="M139" s="96" t="str">
        <f>'Приложение 9'!M671</f>
        <v>0</v>
      </c>
      <c r="N139" s="96" t="str">
        <f>'Приложение 9'!N671</f>
        <v>03</v>
      </c>
      <c r="O139" s="96" t="str">
        <f>'Приложение 9'!O671</f>
        <v>20530</v>
      </c>
      <c r="P139" s="10" t="s">
        <v>614</v>
      </c>
      <c r="Q139" s="214">
        <f>SUM(Q140:Q142)</f>
        <v>1626.8</v>
      </c>
      <c r="R139" s="214"/>
      <c r="S139" s="214"/>
    </row>
    <row r="140" spans="1:19" ht="33.75" customHeight="1">
      <c r="A140" s="97"/>
      <c r="B140" s="98"/>
      <c r="C140" s="114"/>
      <c r="D140" s="111"/>
      <c r="E140" s="114"/>
      <c r="F140" s="114"/>
      <c r="G140" s="89"/>
      <c r="H140" s="11" t="str">
        <f>'Приложение 9'!H672</f>
        <v>Иные закупки товаров, работ и услуг для обеспечения государственных (муниципальных) нужд</v>
      </c>
      <c r="I140" s="10">
        <f>'Приложение 9'!I672</f>
        <v>664</v>
      </c>
      <c r="J140" s="7">
        <f>'Приложение 9'!J672</f>
        <v>1</v>
      </c>
      <c r="K140" s="7">
        <f>'Приложение 9'!K672</f>
        <v>13</v>
      </c>
      <c r="L140" s="95">
        <f>'Приложение 9'!L672</f>
        <v>48</v>
      </c>
      <c r="M140" s="96" t="str">
        <f>'Приложение 9'!M672</f>
        <v>0</v>
      </c>
      <c r="N140" s="96" t="str">
        <f>'Приложение 9'!N672</f>
        <v>03</v>
      </c>
      <c r="O140" s="96" t="str">
        <f>'Приложение 9'!O672</f>
        <v>20530</v>
      </c>
      <c r="P140" s="10">
        <f>'Приложение 9'!P672</f>
        <v>240</v>
      </c>
      <c r="Q140" s="214">
        <f>'Приложение 9'!Q672</f>
        <v>42.7</v>
      </c>
      <c r="R140" s="214"/>
      <c r="S140" s="214"/>
    </row>
    <row r="141" spans="1:19" ht="33.75" customHeight="1">
      <c r="A141" s="97"/>
      <c r="B141" s="98"/>
      <c r="C141" s="114"/>
      <c r="D141" s="111"/>
      <c r="E141" s="114"/>
      <c r="F141" s="114"/>
      <c r="G141" s="89"/>
      <c r="H141" s="11" t="str">
        <f>'Приложение 9'!H673</f>
        <v>Исполнение судебных актов</v>
      </c>
      <c r="I141" s="10">
        <f>'Приложение 9'!I673</f>
        <v>664</v>
      </c>
      <c r="J141" s="7">
        <f>'Приложение 9'!J673</f>
        <v>1</v>
      </c>
      <c r="K141" s="7">
        <f>'Приложение 9'!K673</f>
        <v>13</v>
      </c>
      <c r="L141" s="95">
        <f>'Приложение 9'!L673</f>
        <v>48</v>
      </c>
      <c r="M141" s="96" t="str">
        <f>'Приложение 9'!M673</f>
        <v>0</v>
      </c>
      <c r="N141" s="96" t="str">
        <f>'Приложение 9'!N673</f>
        <v>03</v>
      </c>
      <c r="O141" s="96" t="str">
        <f>'Приложение 9'!O673</f>
        <v>20530</v>
      </c>
      <c r="P141" s="10">
        <f>'Приложение 9'!P673</f>
        <v>830</v>
      </c>
      <c r="Q141" s="214">
        <f>'Приложение 9'!Q673</f>
        <v>1548.5</v>
      </c>
      <c r="R141" s="214"/>
      <c r="S141" s="214"/>
    </row>
    <row r="142" spans="1:19" ht="33.75" customHeight="1">
      <c r="A142" s="97"/>
      <c r="B142" s="98"/>
      <c r="C142" s="114"/>
      <c r="D142" s="111"/>
      <c r="E142" s="114"/>
      <c r="F142" s="114"/>
      <c r="G142" s="89"/>
      <c r="H142" s="11" t="str">
        <f>'Приложение 9'!H674</f>
        <v>Уплата налогов, сборов и иных платежей</v>
      </c>
      <c r="I142" s="10">
        <f>'Приложение 9'!I674</f>
        <v>664</v>
      </c>
      <c r="J142" s="7">
        <f>'Приложение 9'!J674</f>
        <v>1</v>
      </c>
      <c r="K142" s="7">
        <f>'Приложение 9'!K674</f>
        <v>13</v>
      </c>
      <c r="L142" s="95">
        <f>'Приложение 9'!L674</f>
        <v>48</v>
      </c>
      <c r="M142" s="96" t="str">
        <f>'Приложение 9'!M674</f>
        <v>0</v>
      </c>
      <c r="N142" s="96" t="str">
        <f>'Приложение 9'!N674</f>
        <v>03</v>
      </c>
      <c r="O142" s="96" t="str">
        <f>'Приложение 9'!O674</f>
        <v>20530</v>
      </c>
      <c r="P142" s="10">
        <f>'Приложение 9'!P674</f>
        <v>850</v>
      </c>
      <c r="Q142" s="214">
        <f>'Приложение 9'!Q674</f>
        <v>35.6</v>
      </c>
      <c r="R142" s="214"/>
      <c r="S142" s="214"/>
    </row>
    <row r="143" spans="1:19" ht="33.75" customHeight="1">
      <c r="A143" s="97"/>
      <c r="B143" s="98"/>
      <c r="C143" s="114"/>
      <c r="D143" s="111"/>
      <c r="E143" s="114"/>
      <c r="F143" s="114"/>
      <c r="G143" s="89"/>
      <c r="H143" s="11" t="str">
        <f>'Приложение 9'!H675</f>
        <v>Основное мероприятие «Обеспечение деятельности Управления имущественных отношений»</v>
      </c>
      <c r="I143" s="10">
        <f>'Приложение 9'!I675</f>
        <v>664</v>
      </c>
      <c r="J143" s="7">
        <f>'Приложение 9'!J675</f>
        <v>1</v>
      </c>
      <c r="K143" s="7">
        <f>'Приложение 9'!K675</f>
        <v>13</v>
      </c>
      <c r="L143" s="95">
        <f>'Приложение 9'!L675</f>
        <v>48</v>
      </c>
      <c r="M143" s="96" t="str">
        <f>'Приложение 9'!M675</f>
        <v>0</v>
      </c>
      <c r="N143" s="96" t="str">
        <f>'Приложение 9'!N675</f>
        <v>04</v>
      </c>
      <c r="O143" s="96" t="str">
        <f>'Приложение 9'!O675</f>
        <v>00000</v>
      </c>
      <c r="P143" s="10" t="s">
        <v>614</v>
      </c>
      <c r="Q143" s="214">
        <f>Q144+Q151+Q153+Q156+Q149</f>
        <v>4779.2</v>
      </c>
      <c r="R143" s="214"/>
      <c r="S143" s="214"/>
    </row>
    <row r="144" spans="1:19" ht="33.75" customHeight="1">
      <c r="A144" s="97"/>
      <c r="B144" s="98"/>
      <c r="C144" s="114"/>
      <c r="D144" s="111"/>
      <c r="E144" s="114"/>
      <c r="F144" s="114"/>
      <c r="G144" s="89"/>
      <c r="H144" s="11" t="str">
        <f>'Приложение 9'!H676</f>
        <v>Расходы на обеспечение функций муниципальных органов</v>
      </c>
      <c r="I144" s="10">
        <f>'Приложение 9'!I676</f>
        <v>664</v>
      </c>
      <c r="J144" s="7">
        <f>'Приложение 9'!J676</f>
        <v>1</v>
      </c>
      <c r="K144" s="7">
        <f>'Приложение 9'!K676</f>
        <v>13</v>
      </c>
      <c r="L144" s="95">
        <f>'Приложение 9'!L676</f>
        <v>48</v>
      </c>
      <c r="M144" s="96" t="str">
        <f>'Приложение 9'!M676</f>
        <v>0</v>
      </c>
      <c r="N144" s="96" t="str">
        <f>'Приложение 9'!N676</f>
        <v>04</v>
      </c>
      <c r="O144" s="96" t="str">
        <f>'Приложение 9'!O676</f>
        <v>00190</v>
      </c>
      <c r="P144" s="10" t="s">
        <v>614</v>
      </c>
      <c r="Q144" s="214">
        <f>Q145+Q146+Q147+Q148</f>
        <v>3155.8</v>
      </c>
      <c r="R144" s="214"/>
      <c r="S144" s="214"/>
    </row>
    <row r="145" spans="1:19" ht="33.75" customHeight="1">
      <c r="A145" s="97"/>
      <c r="B145" s="98"/>
      <c r="C145" s="114"/>
      <c r="D145" s="111"/>
      <c r="E145" s="114"/>
      <c r="F145" s="114"/>
      <c r="G145" s="89"/>
      <c r="H145" s="11" t="str">
        <f>'Приложение 9'!H677</f>
        <v>Расходы на выплаты персоналу государственных (муниципальных) органов</v>
      </c>
      <c r="I145" s="10">
        <f>'Приложение 9'!I677</f>
        <v>664</v>
      </c>
      <c r="J145" s="7">
        <f>'Приложение 9'!J677</f>
        <v>1</v>
      </c>
      <c r="K145" s="7">
        <f>'Приложение 9'!K677</f>
        <v>13</v>
      </c>
      <c r="L145" s="95">
        <f>'Приложение 9'!L677</f>
        <v>48</v>
      </c>
      <c r="M145" s="96" t="str">
        <f>'Приложение 9'!M677</f>
        <v>0</v>
      </c>
      <c r="N145" s="96" t="str">
        <f>'Приложение 9'!N677</f>
        <v>04</v>
      </c>
      <c r="O145" s="96" t="str">
        <f>'Приложение 9'!O677</f>
        <v>00190</v>
      </c>
      <c r="P145" s="10">
        <f>'Приложение 9'!P677</f>
        <v>120</v>
      </c>
      <c r="Q145" s="214">
        <f>'Приложение 9'!Q677</f>
        <v>2812.6</v>
      </c>
      <c r="R145" s="214"/>
      <c r="S145" s="214"/>
    </row>
    <row r="146" spans="1:19" ht="33.75" customHeight="1">
      <c r="A146" s="97"/>
      <c r="B146" s="98"/>
      <c r="C146" s="114"/>
      <c r="D146" s="111"/>
      <c r="E146" s="114"/>
      <c r="F146" s="114"/>
      <c r="G146" s="89"/>
      <c r="H146" s="11" t="str">
        <f>'Приложение 9'!H678</f>
        <v>Иные закупки товаров, работ и услуг для обеспечения государственных (муниципальных) нужд</v>
      </c>
      <c r="I146" s="10">
        <f>'Приложение 9'!I678</f>
        <v>664</v>
      </c>
      <c r="J146" s="7">
        <f>'Приложение 9'!J678</f>
        <v>1</v>
      </c>
      <c r="K146" s="7">
        <f>'Приложение 9'!K678</f>
        <v>13</v>
      </c>
      <c r="L146" s="95">
        <f>'Приложение 9'!L678</f>
        <v>48</v>
      </c>
      <c r="M146" s="96" t="str">
        <f>'Приложение 9'!M678</f>
        <v>0</v>
      </c>
      <c r="N146" s="96" t="str">
        <f>'Приложение 9'!N678</f>
        <v>04</v>
      </c>
      <c r="O146" s="96" t="str">
        <f>'Приложение 9'!O678</f>
        <v>00190</v>
      </c>
      <c r="P146" s="10">
        <f>'Приложение 9'!P678</f>
        <v>240</v>
      </c>
      <c r="Q146" s="214">
        <f>'Приложение 9'!Q678</f>
        <v>323.20000000000016</v>
      </c>
      <c r="R146" s="214"/>
      <c r="S146" s="214"/>
    </row>
    <row r="147" spans="1:19" ht="33.75" customHeight="1">
      <c r="A147" s="97"/>
      <c r="B147" s="98"/>
      <c r="C147" s="114"/>
      <c r="D147" s="111"/>
      <c r="E147" s="114"/>
      <c r="F147" s="114"/>
      <c r="G147" s="89"/>
      <c r="H147" s="11" t="str">
        <f>'Приложение 9'!H679</f>
        <v>Исполнение судебных актов</v>
      </c>
      <c r="I147" s="10">
        <f>'Приложение 9'!I679</f>
        <v>664</v>
      </c>
      <c r="J147" s="7">
        <f>'Приложение 9'!J679</f>
        <v>1</v>
      </c>
      <c r="K147" s="7">
        <f>'Приложение 9'!K679</f>
        <v>13</v>
      </c>
      <c r="L147" s="95">
        <f>'Приложение 9'!L679</f>
        <v>48</v>
      </c>
      <c r="M147" s="96" t="str">
        <f>'Приложение 9'!M679</f>
        <v>0</v>
      </c>
      <c r="N147" s="96" t="str">
        <f>'Приложение 9'!N679</f>
        <v>04</v>
      </c>
      <c r="O147" s="96" t="str">
        <f>'Приложение 9'!O679</f>
        <v>00190</v>
      </c>
      <c r="P147" s="10">
        <f>'Приложение 9'!P679</f>
        <v>830</v>
      </c>
      <c r="Q147" s="214">
        <f>'Приложение 9'!Q679</f>
        <v>10</v>
      </c>
      <c r="R147" s="214"/>
      <c r="S147" s="214"/>
    </row>
    <row r="148" spans="1:19" ht="33.75" customHeight="1">
      <c r="A148" s="97"/>
      <c r="B148" s="98"/>
      <c r="C148" s="114"/>
      <c r="D148" s="111"/>
      <c r="E148" s="114"/>
      <c r="F148" s="114"/>
      <c r="G148" s="89"/>
      <c r="H148" s="11" t="str">
        <f>'Приложение 9'!H680</f>
        <v>Уплата налогов, сборов и иных платежей</v>
      </c>
      <c r="I148" s="10">
        <f>'Приложение 9'!I680</f>
        <v>664</v>
      </c>
      <c r="J148" s="7">
        <f>'Приложение 9'!J680</f>
        <v>1</v>
      </c>
      <c r="K148" s="7">
        <f>'Приложение 9'!K680</f>
        <v>13</v>
      </c>
      <c r="L148" s="95">
        <f>'Приложение 9'!L680</f>
        <v>48</v>
      </c>
      <c r="M148" s="96" t="str">
        <f>'Приложение 9'!M680</f>
        <v>0</v>
      </c>
      <c r="N148" s="96" t="str">
        <f>'Приложение 9'!N680</f>
        <v>04</v>
      </c>
      <c r="O148" s="96" t="str">
        <f>'Приложение 9'!O680</f>
        <v>00190</v>
      </c>
      <c r="P148" s="10">
        <f>'Приложение 9'!P680</f>
        <v>850</v>
      </c>
      <c r="Q148" s="214">
        <f>'Приложение 9'!Q680</f>
        <v>10</v>
      </c>
      <c r="R148" s="214"/>
      <c r="S148" s="214"/>
    </row>
    <row r="149" spans="1:19" ht="33.75" customHeight="1" hidden="1">
      <c r="A149" s="97"/>
      <c r="B149" s="98"/>
      <c r="C149" s="114"/>
      <c r="D149" s="111"/>
      <c r="E149" s="114"/>
      <c r="F149" s="114"/>
      <c r="G149" s="89"/>
      <c r="H149" s="11" t="str">
        <f>'Приложение 9'!H681</f>
        <v>Иные межбюджетные трансферты на поощрение за содействие достижению значений (уровней) показателей для оценки эффективности деятельности высших должностных лиц субъектов РФ и деятельности органов исполнительной власти субъектов РФ</v>
      </c>
      <c r="I149" s="10">
        <f>'Приложение 9'!I681</f>
        <v>664</v>
      </c>
      <c r="J149" s="7">
        <f>'Приложение 9'!J681</f>
        <v>1</v>
      </c>
      <c r="K149" s="7">
        <f>'Приложение 9'!K681</f>
        <v>13</v>
      </c>
      <c r="L149" s="95">
        <f>'Приложение 9'!L681</f>
        <v>48</v>
      </c>
      <c r="M149" s="96" t="str">
        <f>'Приложение 9'!M681</f>
        <v>0</v>
      </c>
      <c r="N149" s="96" t="str">
        <f>'Приложение 9'!N681</f>
        <v>04</v>
      </c>
      <c r="O149" s="96" t="str">
        <f>'Приложение 9'!O681</f>
        <v>5549F</v>
      </c>
      <c r="P149" s="10" t="s">
        <v>614</v>
      </c>
      <c r="Q149" s="214">
        <f>Q150</f>
        <v>0</v>
      </c>
      <c r="R149" s="214"/>
      <c r="S149" s="214"/>
    </row>
    <row r="150" spans="1:19" ht="33.75" customHeight="1" hidden="1">
      <c r="A150" s="97"/>
      <c r="B150" s="98"/>
      <c r="C150" s="114"/>
      <c r="D150" s="111"/>
      <c r="E150" s="114"/>
      <c r="F150" s="114"/>
      <c r="G150" s="89"/>
      <c r="H150" s="11" t="str">
        <f>'Приложение 9'!H682</f>
        <v>Расходы на выплаты персоналу государственных (муниципальных) органов</v>
      </c>
      <c r="I150" s="10">
        <f>'Приложение 9'!I682</f>
        <v>664</v>
      </c>
      <c r="J150" s="7">
        <f>'Приложение 9'!J682</f>
        <v>1</v>
      </c>
      <c r="K150" s="7">
        <f>'Приложение 9'!K682</f>
        <v>13</v>
      </c>
      <c r="L150" s="95">
        <f>'Приложение 9'!L682</f>
        <v>48</v>
      </c>
      <c r="M150" s="96" t="str">
        <f>'Приложение 9'!M682</f>
        <v>0</v>
      </c>
      <c r="N150" s="96" t="str">
        <f>'Приложение 9'!N682</f>
        <v>04</v>
      </c>
      <c r="O150" s="96" t="str">
        <f>'Приложение 9'!O682</f>
        <v>5549F</v>
      </c>
      <c r="P150" s="10">
        <f>'Приложение 9'!P682</f>
        <v>120</v>
      </c>
      <c r="Q150" s="214">
        <f>'Приложение 9'!Q682</f>
        <v>0</v>
      </c>
      <c r="R150" s="214"/>
      <c r="S150" s="214"/>
    </row>
    <row r="151" spans="1:19" ht="33.75" customHeight="1">
      <c r="A151" s="97"/>
      <c r="B151" s="98"/>
      <c r="C151" s="114"/>
      <c r="D151" s="111"/>
      <c r="E151" s="114"/>
      <c r="F151" s="114"/>
      <c r="G151" s="89"/>
      <c r="H151" s="11" t="str">
        <f>'Приложение 9'!H683</f>
        <v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v>
      </c>
      <c r="I151" s="10">
        <f>'Приложение 9'!I683</f>
        <v>664</v>
      </c>
      <c r="J151" s="7">
        <f>'Приложение 9'!J683</f>
        <v>1</v>
      </c>
      <c r="K151" s="7">
        <f>'Приложение 9'!K683</f>
        <v>13</v>
      </c>
      <c r="L151" s="95">
        <f>'Приложение 9'!L683</f>
        <v>48</v>
      </c>
      <c r="M151" s="96" t="str">
        <f>'Приложение 9'!M683</f>
        <v>0</v>
      </c>
      <c r="N151" s="96" t="str">
        <f>'Приложение 9'!N683</f>
        <v>04</v>
      </c>
      <c r="O151" s="96" t="str">
        <f>'Приложение 9'!O683</f>
        <v>70030</v>
      </c>
      <c r="P151" s="10" t="s">
        <v>614</v>
      </c>
      <c r="Q151" s="214">
        <f>Q152</f>
        <v>789.2</v>
      </c>
      <c r="R151" s="214"/>
      <c r="S151" s="214"/>
    </row>
    <row r="152" spans="1:19" ht="33.75" customHeight="1">
      <c r="A152" s="97"/>
      <c r="B152" s="98"/>
      <c r="C152" s="114"/>
      <c r="D152" s="111"/>
      <c r="E152" s="114"/>
      <c r="F152" s="114"/>
      <c r="G152" s="89"/>
      <c r="H152" s="11" t="str">
        <f>'Приложение 9'!H684</f>
        <v>Расходы на выплаты персоналу государственных (муниципальных) органов</v>
      </c>
      <c r="I152" s="10">
        <f>'Приложение 9'!I684</f>
        <v>664</v>
      </c>
      <c r="J152" s="7">
        <f>'Приложение 9'!J684</f>
        <v>1</v>
      </c>
      <c r="K152" s="7">
        <f>'Приложение 9'!K684</f>
        <v>13</v>
      </c>
      <c r="L152" s="95">
        <f>'Приложение 9'!L684</f>
        <v>48</v>
      </c>
      <c r="M152" s="96" t="str">
        <f>'Приложение 9'!M684</f>
        <v>0</v>
      </c>
      <c r="N152" s="96" t="str">
        <f>'Приложение 9'!N684</f>
        <v>04</v>
      </c>
      <c r="O152" s="96" t="str">
        <f>'Приложение 9'!O684</f>
        <v>70030</v>
      </c>
      <c r="P152" s="10">
        <f>'Приложение 9'!P684</f>
        <v>120</v>
      </c>
      <c r="Q152" s="214">
        <f>'Приложение 9'!Q684</f>
        <v>789.2</v>
      </c>
      <c r="R152" s="214"/>
      <c r="S152" s="214"/>
    </row>
    <row r="153" spans="1:19" ht="33.75" customHeight="1">
      <c r="A153" s="97"/>
      <c r="B153" s="98"/>
      <c r="C153" s="114"/>
      <c r="D153" s="111"/>
      <c r="E153" s="114"/>
      <c r="F153" s="114"/>
      <c r="G153" s="89"/>
      <c r="H153" s="11" t="str">
        <f>'Приложение 9'!H685</f>
        <v>Осуществление полномочий по владению, пользованию и распоряжению имуществом, находящимся в муниципальной собственности, и обеспечение выполнения работ, необходимых для создания искусственных земельных участков для нужд поселения</v>
      </c>
      <c r="I153" s="10">
        <f>'Приложение 9'!I685</f>
        <v>664</v>
      </c>
      <c r="J153" s="7">
        <f>'Приложение 9'!J685</f>
        <v>1</v>
      </c>
      <c r="K153" s="7">
        <f>'Приложение 9'!K685</f>
        <v>13</v>
      </c>
      <c r="L153" s="95">
        <f>'Приложение 9'!L685</f>
        <v>48</v>
      </c>
      <c r="M153" s="96" t="str">
        <f>'Приложение 9'!M685</f>
        <v>0</v>
      </c>
      <c r="N153" s="96" t="str">
        <f>'Приложение 9'!N685</f>
        <v>04</v>
      </c>
      <c r="O153" s="96" t="str">
        <f>'Приложение 9'!O685</f>
        <v>90190</v>
      </c>
      <c r="P153" s="10" t="s">
        <v>614</v>
      </c>
      <c r="Q153" s="214">
        <f>Q154+Q155</f>
        <v>373.8</v>
      </c>
      <c r="R153" s="214"/>
      <c r="S153" s="214"/>
    </row>
    <row r="154" spans="1:19" ht="33.75" customHeight="1">
      <c r="A154" s="97"/>
      <c r="B154" s="98"/>
      <c r="C154" s="114"/>
      <c r="D154" s="111"/>
      <c r="E154" s="114"/>
      <c r="F154" s="114"/>
      <c r="G154" s="89"/>
      <c r="H154" s="11" t="str">
        <f>'Приложение 9'!H686</f>
        <v>Расходы на выплаты персоналу государственных (муниципальных) органов</v>
      </c>
      <c r="I154" s="10">
        <f>'Приложение 9'!I686</f>
        <v>664</v>
      </c>
      <c r="J154" s="7">
        <f>'Приложение 9'!J686</f>
        <v>1</v>
      </c>
      <c r="K154" s="7">
        <f>'Приложение 9'!K686</f>
        <v>13</v>
      </c>
      <c r="L154" s="95">
        <f>'Приложение 9'!L686</f>
        <v>48</v>
      </c>
      <c r="M154" s="96" t="str">
        <f>'Приложение 9'!M686</f>
        <v>0</v>
      </c>
      <c r="N154" s="96" t="str">
        <f>'Приложение 9'!N686</f>
        <v>04</v>
      </c>
      <c r="O154" s="96" t="str">
        <f>'Приложение 9'!O686</f>
        <v>90190</v>
      </c>
      <c r="P154" s="10">
        <f>'Приложение 9'!P686</f>
        <v>120</v>
      </c>
      <c r="Q154" s="214">
        <f>'Приложение 9'!Q686</f>
        <v>365.3</v>
      </c>
      <c r="R154" s="214"/>
      <c r="S154" s="214"/>
    </row>
    <row r="155" spans="1:19" ht="33.75" customHeight="1">
      <c r="A155" s="97"/>
      <c r="B155" s="98"/>
      <c r="C155" s="114"/>
      <c r="D155" s="111"/>
      <c r="E155" s="114"/>
      <c r="F155" s="114"/>
      <c r="G155" s="89"/>
      <c r="H155" s="11" t="str">
        <f>'Приложение 9'!H687</f>
        <v>Иные закупки товаров, работ и услуг для обеспечения государственных (муниципальных) нужд</v>
      </c>
      <c r="I155" s="10">
        <f>'Приложение 9'!I687</f>
        <v>664</v>
      </c>
      <c r="J155" s="7">
        <f>'Приложение 9'!J687</f>
        <v>1</v>
      </c>
      <c r="K155" s="7">
        <f>'Приложение 9'!K687</f>
        <v>13</v>
      </c>
      <c r="L155" s="95">
        <f>'Приложение 9'!L687</f>
        <v>48</v>
      </c>
      <c r="M155" s="96" t="str">
        <f>'Приложение 9'!M687</f>
        <v>0</v>
      </c>
      <c r="N155" s="96" t="str">
        <f>'Приложение 9'!N687</f>
        <v>04</v>
      </c>
      <c r="O155" s="96" t="str">
        <f>'Приложение 9'!O687</f>
        <v>90190</v>
      </c>
      <c r="P155" s="10">
        <f>'Приложение 9'!P687</f>
        <v>240</v>
      </c>
      <c r="Q155" s="214">
        <f>'Приложение 9'!Q687</f>
        <v>8.5</v>
      </c>
      <c r="R155" s="214"/>
      <c r="S155" s="214"/>
    </row>
    <row r="156" spans="1:19" ht="33.75" customHeight="1">
      <c r="A156" s="97"/>
      <c r="B156" s="98"/>
      <c r="C156" s="114"/>
      <c r="D156" s="111"/>
      <c r="E156" s="114"/>
      <c r="F156" s="114"/>
      <c r="G156" s="89"/>
      <c r="H156" s="11" t="str">
        <f>'Приложение 9'!H688</f>
        <v>Осуществление земельного контроля в границах поселения</v>
      </c>
      <c r="I156" s="10">
        <f>'Приложение 9'!I688</f>
        <v>664</v>
      </c>
      <c r="J156" s="7">
        <f>'Приложение 9'!J688</f>
        <v>1</v>
      </c>
      <c r="K156" s="7">
        <f>'Приложение 9'!K688</f>
        <v>13</v>
      </c>
      <c r="L156" s="95">
        <f>'Приложение 9'!L688</f>
        <v>48</v>
      </c>
      <c r="M156" s="96" t="str">
        <f>'Приложение 9'!M688</f>
        <v>0</v>
      </c>
      <c r="N156" s="96" t="str">
        <f>'Приложение 9'!N688</f>
        <v>04</v>
      </c>
      <c r="O156" s="96" t="str">
        <f>'Приложение 9'!O688</f>
        <v>90200</v>
      </c>
      <c r="P156" s="10" t="s">
        <v>614</v>
      </c>
      <c r="Q156" s="214">
        <f>Q157+Q158</f>
        <v>460.4</v>
      </c>
      <c r="R156" s="214"/>
      <c r="S156" s="214"/>
    </row>
    <row r="157" spans="1:19" ht="33.75" customHeight="1">
      <c r="A157" s="97"/>
      <c r="B157" s="98"/>
      <c r="C157" s="114"/>
      <c r="D157" s="111"/>
      <c r="E157" s="114"/>
      <c r="F157" s="114"/>
      <c r="G157" s="89"/>
      <c r="H157" s="11" t="str">
        <f>'Приложение 9'!H689</f>
        <v>Расходы на выплаты персоналу государственных (муниципальных) органов</v>
      </c>
      <c r="I157" s="10">
        <f>'Приложение 9'!I689</f>
        <v>664</v>
      </c>
      <c r="J157" s="7">
        <f>'Приложение 9'!J689</f>
        <v>1</v>
      </c>
      <c r="K157" s="7">
        <f>'Приложение 9'!K689</f>
        <v>13</v>
      </c>
      <c r="L157" s="95">
        <f>'Приложение 9'!L689</f>
        <v>48</v>
      </c>
      <c r="M157" s="96" t="str">
        <f>'Приложение 9'!M689</f>
        <v>0</v>
      </c>
      <c r="N157" s="96" t="str">
        <f>'Приложение 9'!N689</f>
        <v>04</v>
      </c>
      <c r="O157" s="96" t="str">
        <f>'Приложение 9'!O689</f>
        <v>90200</v>
      </c>
      <c r="P157" s="10">
        <f>'Приложение 9'!P689</f>
        <v>120</v>
      </c>
      <c r="Q157" s="214">
        <f>'Приложение 9'!Q689</f>
        <v>451.9</v>
      </c>
      <c r="R157" s="214"/>
      <c r="S157" s="214"/>
    </row>
    <row r="158" spans="1:19" ht="33.75" customHeight="1">
      <c r="A158" s="97"/>
      <c r="B158" s="98"/>
      <c r="C158" s="114"/>
      <c r="D158" s="111"/>
      <c r="E158" s="114"/>
      <c r="F158" s="114"/>
      <c r="G158" s="89"/>
      <c r="H158" s="11" t="str">
        <f>'Приложение 9'!H690</f>
        <v>Иные закупки товаров, работ и услуг для обеспечения государственных (муниципальных) нужд</v>
      </c>
      <c r="I158" s="10">
        <f>'Приложение 9'!I690</f>
        <v>664</v>
      </c>
      <c r="J158" s="7">
        <f>'Приложение 9'!J690</f>
        <v>1</v>
      </c>
      <c r="K158" s="7">
        <f>'Приложение 9'!K690</f>
        <v>13</v>
      </c>
      <c r="L158" s="95">
        <f>'Приложение 9'!L690</f>
        <v>48</v>
      </c>
      <c r="M158" s="96" t="str">
        <f>'Приложение 9'!M690</f>
        <v>0</v>
      </c>
      <c r="N158" s="96" t="str">
        <f>'Приложение 9'!N690</f>
        <v>04</v>
      </c>
      <c r="O158" s="96" t="str">
        <f>'Приложение 9'!O690</f>
        <v>90200</v>
      </c>
      <c r="P158" s="10">
        <f>'Приложение 9'!P690</f>
        <v>240</v>
      </c>
      <c r="Q158" s="214">
        <f>'Приложение 9'!Q690</f>
        <v>8.5</v>
      </c>
      <c r="R158" s="214"/>
      <c r="S158" s="214"/>
    </row>
    <row r="159" spans="1:19" ht="33.75" customHeight="1">
      <c r="A159" s="97"/>
      <c r="B159" s="98"/>
      <c r="C159" s="114"/>
      <c r="D159" s="111"/>
      <c r="E159" s="114"/>
      <c r="F159" s="114"/>
      <c r="G159" s="89"/>
      <c r="H159" s="11" t="str">
        <f>'Приложение 9'!H691</f>
        <v>Основное мероприятие «Реализация регионального проекта «Финансовая поддержка семей при рождении детей» в части организации и предоставления денежной выплаты взамен предоставления земельного участка гражданам, имеющих трех и более детей»</v>
      </c>
      <c r="I159" s="10">
        <f>'Приложение 9'!I691</f>
        <v>664</v>
      </c>
      <c r="J159" s="7">
        <f>'Приложение 9'!J691</f>
        <v>1</v>
      </c>
      <c r="K159" s="7">
        <f>'Приложение 9'!K691</f>
        <v>13</v>
      </c>
      <c r="L159" s="95" t="str">
        <f>'Приложение 9'!L691</f>
        <v>48</v>
      </c>
      <c r="M159" s="96" t="str">
        <f>'Приложение 9'!M691</f>
        <v>0</v>
      </c>
      <c r="N159" s="96" t="str">
        <f>'Приложение 9'!N691</f>
        <v>P1</v>
      </c>
      <c r="O159" s="96" t="str">
        <f>'Приложение 9'!O691</f>
        <v>00000</v>
      </c>
      <c r="P159" s="10" t="s">
        <v>614</v>
      </c>
      <c r="Q159" s="214">
        <f>Q160</f>
        <v>73.7</v>
      </c>
      <c r="R159" s="214"/>
      <c r="S159" s="214"/>
    </row>
    <row r="160" spans="1:19" ht="33.75" customHeight="1">
      <c r="A160" s="97"/>
      <c r="B160" s="98"/>
      <c r="C160" s="114"/>
      <c r="D160" s="111"/>
      <c r="E160" s="114"/>
      <c r="F160" s="114"/>
      <c r="G160" s="89"/>
      <c r="H160" s="11" t="str">
        <f>'Приложение 9'!H692</f>
        <v>Осуществление отдельных государственных полномочий в соответствии с законом области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v>
      </c>
      <c r="I160" s="10">
        <f>'Приложение 9'!I692</f>
        <v>664</v>
      </c>
      <c r="J160" s="7">
        <f>'Приложение 9'!J692</f>
        <v>1</v>
      </c>
      <c r="K160" s="7">
        <f>'Приложение 9'!K692</f>
        <v>13</v>
      </c>
      <c r="L160" s="95">
        <f>'Приложение 9'!L692</f>
        <v>48</v>
      </c>
      <c r="M160" s="96" t="str">
        <f>'Приложение 9'!M692</f>
        <v>0</v>
      </c>
      <c r="N160" s="96" t="str">
        <f>'Приложение 9'!N692</f>
        <v>P1</v>
      </c>
      <c r="O160" s="96" t="str">
        <f>'Приложение 9'!O692</f>
        <v>72300</v>
      </c>
      <c r="P160" s="10" t="s">
        <v>614</v>
      </c>
      <c r="Q160" s="214">
        <f>Q161</f>
        <v>73.7</v>
      </c>
      <c r="R160" s="214"/>
      <c r="S160" s="214"/>
    </row>
    <row r="161" spans="1:19" ht="33.75" customHeight="1">
      <c r="A161" s="97"/>
      <c r="B161" s="98"/>
      <c r="C161" s="114"/>
      <c r="D161" s="111"/>
      <c r="E161" s="114"/>
      <c r="F161" s="114"/>
      <c r="G161" s="89"/>
      <c r="H161" s="11" t="str">
        <f>'Приложение 9'!H693</f>
        <v>Иные закупки товаров, работ и услуг для обеспечения государственных (муниципальных) нужд</v>
      </c>
      <c r="I161" s="10">
        <f>'Приложение 9'!I693</f>
        <v>664</v>
      </c>
      <c r="J161" s="7">
        <f>'Приложение 9'!J693</f>
        <v>1</v>
      </c>
      <c r="K161" s="7">
        <f>'Приложение 9'!K693</f>
        <v>13</v>
      </c>
      <c r="L161" s="95">
        <f>'Приложение 9'!L693</f>
        <v>48</v>
      </c>
      <c r="M161" s="96" t="str">
        <f>'Приложение 9'!M693</f>
        <v>0</v>
      </c>
      <c r="N161" s="96" t="str">
        <f>'Приложение 9'!N693</f>
        <v>P1</v>
      </c>
      <c r="O161" s="96" t="str">
        <f>'Приложение 9'!O693</f>
        <v>72300</v>
      </c>
      <c r="P161" s="10">
        <f>'Приложение 9'!P693</f>
        <v>240</v>
      </c>
      <c r="Q161" s="214">
        <f>'Приложение 9'!Q693</f>
        <v>73.7</v>
      </c>
      <c r="R161" s="214"/>
      <c r="S161" s="214"/>
    </row>
    <row r="162" spans="1:19" ht="33.75" customHeight="1">
      <c r="A162" s="97"/>
      <c r="B162" s="98"/>
      <c r="C162" s="114"/>
      <c r="D162" s="111"/>
      <c r="E162" s="114"/>
      <c r="F162" s="114"/>
      <c r="G162" s="89"/>
      <c r="H162" s="11" t="str">
        <f>'Приложение 9'!H57</f>
        <v>Резервные фонды местных администраций</v>
      </c>
      <c r="I162" s="10">
        <f>'Приложение 9'!I57</f>
        <v>27</v>
      </c>
      <c r="J162" s="7">
        <f>'Приложение 9'!J57</f>
        <v>1</v>
      </c>
      <c r="K162" s="7">
        <f>'Приложение 9'!K57</f>
        <v>13</v>
      </c>
      <c r="L162" s="95" t="str">
        <f>'Приложение 9'!L57</f>
        <v>70</v>
      </c>
      <c r="M162" s="96" t="str">
        <f>'Приложение 9'!M57</f>
        <v>5</v>
      </c>
      <c r="N162" s="96" t="str">
        <f>'Приложение 9'!N57</f>
        <v>00</v>
      </c>
      <c r="O162" s="96" t="str">
        <f>'Приложение 9'!O57</f>
        <v>00000</v>
      </c>
      <c r="P162" s="10" t="s">
        <v>614</v>
      </c>
      <c r="Q162" s="214">
        <f>Q163</f>
        <v>9741.4</v>
      </c>
      <c r="R162" s="214"/>
      <c r="S162" s="214"/>
    </row>
    <row r="163" spans="1:19" ht="33.75" customHeight="1">
      <c r="A163" s="97"/>
      <c r="B163" s="98"/>
      <c r="C163" s="114"/>
      <c r="D163" s="111"/>
      <c r="E163" s="114"/>
      <c r="F163" s="114"/>
      <c r="G163" s="89"/>
      <c r="H163" s="11" t="str">
        <f>'Приложение 9'!H58</f>
        <v>Иные закупки товаров, работ и услуг для обеспечения государственных (муниципальных) нужд</v>
      </c>
      <c r="I163" s="10">
        <f>'Приложение 9'!I58</f>
        <v>27</v>
      </c>
      <c r="J163" s="7">
        <f>'Приложение 9'!J58</f>
        <v>1</v>
      </c>
      <c r="K163" s="7">
        <f>'Приложение 9'!K58</f>
        <v>13</v>
      </c>
      <c r="L163" s="95" t="str">
        <f>'Приложение 9'!L58</f>
        <v>70</v>
      </c>
      <c r="M163" s="96" t="str">
        <f>'Приложение 9'!M58</f>
        <v>5</v>
      </c>
      <c r="N163" s="96" t="str">
        <f>'Приложение 9'!N58</f>
        <v>00</v>
      </c>
      <c r="O163" s="96" t="str">
        <f>'Приложение 9'!O58</f>
        <v>00000</v>
      </c>
      <c r="P163" s="10">
        <f>'Приложение 9'!P58</f>
        <v>240</v>
      </c>
      <c r="Q163" s="214">
        <f>'Приложение 9'!Q58</f>
        <v>9741.4</v>
      </c>
      <c r="R163" s="214"/>
      <c r="S163" s="214"/>
    </row>
    <row r="164" spans="1:19" s="179" customFormat="1" ht="18.75" customHeight="1">
      <c r="A164" s="142"/>
      <c r="B164" s="143"/>
      <c r="C164" s="166"/>
      <c r="D164" s="135"/>
      <c r="E164" s="135"/>
      <c r="F164" s="135"/>
      <c r="G164" s="136"/>
      <c r="H164" s="11" t="s">
        <v>292</v>
      </c>
      <c r="I164" s="10">
        <v>660</v>
      </c>
      <c r="J164" s="7">
        <v>1</v>
      </c>
      <c r="K164" s="7">
        <v>13</v>
      </c>
      <c r="L164" s="95" t="s">
        <v>573</v>
      </c>
      <c r="M164" s="96" t="s">
        <v>556</v>
      </c>
      <c r="N164" s="96" t="s">
        <v>576</v>
      </c>
      <c r="O164" s="96" t="s">
        <v>613</v>
      </c>
      <c r="P164" s="138"/>
      <c r="Q164" s="214">
        <f>Q165+Q187+Q169+Q179+Q182+Q184+Q190+Q176+Q192+Q172+Q174</f>
        <v>34706.1</v>
      </c>
      <c r="R164" s="214" t="e">
        <f>R165+R187+R169+#REF!+R179+R182+#REF!+R184+#REF!+#REF!+R190+#REF!</f>
        <v>#REF!</v>
      </c>
      <c r="S164" s="214" t="e">
        <f>S165+S187+S169+#REF!+S179+S182+#REF!+S184+#REF!+#REF!+S190</f>
        <v>#REF!</v>
      </c>
    </row>
    <row r="165" spans="1:19" ht="18.75" customHeight="1">
      <c r="A165" s="99"/>
      <c r="B165" s="98"/>
      <c r="C165" s="97"/>
      <c r="D165" s="368">
        <v>5050000</v>
      </c>
      <c r="E165" s="369"/>
      <c r="F165" s="369"/>
      <c r="G165" s="89">
        <v>321</v>
      </c>
      <c r="H165" s="11" t="s">
        <v>335</v>
      </c>
      <c r="I165" s="10">
        <v>660</v>
      </c>
      <c r="J165" s="7">
        <v>1</v>
      </c>
      <c r="K165" s="7">
        <v>13</v>
      </c>
      <c r="L165" s="16" t="s">
        <v>573</v>
      </c>
      <c r="M165" s="96" t="s">
        <v>556</v>
      </c>
      <c r="N165" s="96" t="s">
        <v>576</v>
      </c>
      <c r="O165" s="96" t="s">
        <v>641</v>
      </c>
      <c r="P165" s="10" t="s">
        <v>527</v>
      </c>
      <c r="Q165" s="214">
        <f>SUM(Q166:Q168)</f>
        <v>1736.2000000000003</v>
      </c>
      <c r="R165" s="214">
        <f>SUM(R166:R168)</f>
        <v>3646</v>
      </c>
      <c r="S165" s="214">
        <f>SUM(S166:S168)</f>
        <v>2978.8</v>
      </c>
    </row>
    <row r="166" spans="1:19" ht="26.25" customHeight="1">
      <c r="A166" s="99"/>
      <c r="B166" s="98"/>
      <c r="C166" s="97"/>
      <c r="D166" s="101"/>
      <c r="E166" s="100"/>
      <c r="F166" s="100"/>
      <c r="G166" s="89"/>
      <c r="H166" s="11" t="s">
        <v>526</v>
      </c>
      <c r="I166" s="6">
        <v>660</v>
      </c>
      <c r="J166" s="7">
        <v>1</v>
      </c>
      <c r="K166" s="7">
        <v>13</v>
      </c>
      <c r="L166" s="16">
        <v>91</v>
      </c>
      <c r="M166" s="96" t="s">
        <v>556</v>
      </c>
      <c r="N166" s="96" t="s">
        <v>576</v>
      </c>
      <c r="O166" s="96" t="s">
        <v>641</v>
      </c>
      <c r="P166" s="10">
        <v>120</v>
      </c>
      <c r="Q166" s="214">
        <f>'Приложение 9'!Q401</f>
        <v>868.4</v>
      </c>
      <c r="R166" s="214">
        <v>869.3</v>
      </c>
      <c r="S166" s="214">
        <v>869.3</v>
      </c>
    </row>
    <row r="167" spans="1:19" ht="27.75" customHeight="1">
      <c r="A167" s="99"/>
      <c r="B167" s="98"/>
      <c r="C167" s="103"/>
      <c r="D167" s="101"/>
      <c r="E167" s="113"/>
      <c r="F167" s="113"/>
      <c r="G167" s="89"/>
      <c r="H167" s="5" t="s">
        <v>712</v>
      </c>
      <c r="I167" s="6">
        <v>660</v>
      </c>
      <c r="J167" s="7">
        <v>1</v>
      </c>
      <c r="K167" s="7">
        <v>13</v>
      </c>
      <c r="L167" s="16">
        <v>91</v>
      </c>
      <c r="M167" s="96" t="s">
        <v>556</v>
      </c>
      <c r="N167" s="96" t="s">
        <v>576</v>
      </c>
      <c r="O167" s="96" t="s">
        <v>641</v>
      </c>
      <c r="P167" s="6">
        <v>240</v>
      </c>
      <c r="Q167" s="214">
        <f>'Приложение 9'!Q402+'Приложение 9'!Q61</f>
        <v>685.4000000000002</v>
      </c>
      <c r="R167" s="214">
        <f>182+2512.2</f>
        <v>2694.2</v>
      </c>
      <c r="S167" s="214">
        <f>182+1845</f>
        <v>2027</v>
      </c>
    </row>
    <row r="168" spans="1:19" ht="20.25" customHeight="1">
      <c r="A168" s="110"/>
      <c r="B168" s="112"/>
      <c r="C168" s="106"/>
      <c r="D168" s="109"/>
      <c r="E168" s="104"/>
      <c r="F168" s="104"/>
      <c r="G168" s="89"/>
      <c r="H168" s="11" t="s">
        <v>713</v>
      </c>
      <c r="I168" s="6">
        <v>27</v>
      </c>
      <c r="J168" s="7">
        <v>1</v>
      </c>
      <c r="K168" s="7">
        <v>13</v>
      </c>
      <c r="L168" s="95" t="s">
        <v>573</v>
      </c>
      <c r="M168" s="96" t="s">
        <v>556</v>
      </c>
      <c r="N168" s="96" t="s">
        <v>576</v>
      </c>
      <c r="O168" s="96" t="s">
        <v>641</v>
      </c>
      <c r="P168" s="6">
        <v>850</v>
      </c>
      <c r="Q168" s="216">
        <f>'Приложение 9'!Q62</f>
        <v>182.4</v>
      </c>
      <c r="R168" s="216">
        <v>82.5</v>
      </c>
      <c r="S168" s="216">
        <v>82.5</v>
      </c>
    </row>
    <row r="169" spans="1:19" ht="26.25" customHeight="1">
      <c r="A169" s="99"/>
      <c r="B169" s="98"/>
      <c r="C169" s="97"/>
      <c r="D169" s="368">
        <v>5220000</v>
      </c>
      <c r="E169" s="369"/>
      <c r="F169" s="369"/>
      <c r="G169" s="89">
        <v>622</v>
      </c>
      <c r="H169" s="11" t="s">
        <v>337</v>
      </c>
      <c r="I169" s="10">
        <v>27</v>
      </c>
      <c r="J169" s="7">
        <v>1</v>
      </c>
      <c r="K169" s="7">
        <v>13</v>
      </c>
      <c r="L169" s="95" t="s">
        <v>573</v>
      </c>
      <c r="M169" s="96" t="s">
        <v>556</v>
      </c>
      <c r="N169" s="96" t="s">
        <v>576</v>
      </c>
      <c r="O169" s="96" t="s">
        <v>338</v>
      </c>
      <c r="P169" s="10"/>
      <c r="Q169" s="214">
        <f>SUM(Q170:Q171)</f>
        <v>17117.999999999996</v>
      </c>
      <c r="R169" s="214">
        <f>SUM(R170:R171)</f>
        <v>23760</v>
      </c>
      <c r="S169" s="214">
        <f>SUM(S170:S171)</f>
        <v>23760</v>
      </c>
    </row>
    <row r="170" spans="1:19" ht="26.25" customHeight="1">
      <c r="A170" s="99"/>
      <c r="B170" s="98"/>
      <c r="C170" s="97"/>
      <c r="D170" s="101"/>
      <c r="E170" s="100"/>
      <c r="F170" s="100"/>
      <c r="G170" s="89"/>
      <c r="H170" s="11" t="s">
        <v>714</v>
      </c>
      <c r="I170" s="6">
        <v>27</v>
      </c>
      <c r="J170" s="7">
        <v>1</v>
      </c>
      <c r="K170" s="7">
        <v>13</v>
      </c>
      <c r="L170" s="95" t="s">
        <v>573</v>
      </c>
      <c r="M170" s="96" t="s">
        <v>556</v>
      </c>
      <c r="N170" s="96" t="s">
        <v>576</v>
      </c>
      <c r="O170" s="96" t="s">
        <v>338</v>
      </c>
      <c r="P170" s="10">
        <v>610</v>
      </c>
      <c r="Q170" s="214">
        <v>258.8</v>
      </c>
      <c r="R170" s="214">
        <v>260</v>
      </c>
      <c r="S170" s="214">
        <v>260</v>
      </c>
    </row>
    <row r="171" spans="1:19" ht="24.75" customHeight="1">
      <c r="A171" s="99"/>
      <c r="B171" s="98"/>
      <c r="C171" s="103"/>
      <c r="D171" s="107"/>
      <c r="E171" s="178"/>
      <c r="F171" s="178"/>
      <c r="G171" s="89"/>
      <c r="H171" s="11" t="s">
        <v>749</v>
      </c>
      <c r="I171" s="10">
        <v>27</v>
      </c>
      <c r="J171" s="7">
        <v>1</v>
      </c>
      <c r="K171" s="7">
        <v>13</v>
      </c>
      <c r="L171" s="95" t="s">
        <v>573</v>
      </c>
      <c r="M171" s="96" t="s">
        <v>556</v>
      </c>
      <c r="N171" s="96" t="s">
        <v>576</v>
      </c>
      <c r="O171" s="96" t="s">
        <v>338</v>
      </c>
      <c r="P171" s="10">
        <v>620</v>
      </c>
      <c r="Q171" s="214">
        <f>SUM('Приложение 9'!Q65)</f>
        <v>16859.199999999997</v>
      </c>
      <c r="R171" s="214">
        <v>23500</v>
      </c>
      <c r="S171" s="214">
        <v>23500</v>
      </c>
    </row>
    <row r="172" spans="1:19" ht="24.75" customHeight="1">
      <c r="A172" s="110"/>
      <c r="B172" s="111"/>
      <c r="C172" s="106"/>
      <c r="D172" s="107"/>
      <c r="E172" s="104"/>
      <c r="F172" s="104"/>
      <c r="G172" s="89"/>
      <c r="H172" s="11" t="str">
        <f>'Приложение 9'!H66</f>
        <v>Расходы на содержание и организацию деятельности аварийно-спасательной службы</v>
      </c>
      <c r="I172" s="10">
        <f>'Приложение 9'!I66</f>
        <v>27</v>
      </c>
      <c r="J172" s="7">
        <f>'Приложение 9'!J66</f>
        <v>1</v>
      </c>
      <c r="K172" s="7">
        <f>'Приложение 9'!K66</f>
        <v>13</v>
      </c>
      <c r="L172" s="95" t="str">
        <f>'Приложение 9'!L66</f>
        <v>91</v>
      </c>
      <c r="M172" s="96" t="str">
        <f>'Приложение 9'!M66</f>
        <v>0</v>
      </c>
      <c r="N172" s="96" t="str">
        <f>'Приложение 9'!N66</f>
        <v>00</v>
      </c>
      <c r="O172" s="96" t="str">
        <f>'Приложение 9'!O66</f>
        <v>20030</v>
      </c>
      <c r="P172" s="10" t="s">
        <v>614</v>
      </c>
      <c r="Q172" s="214">
        <f>Q173</f>
        <v>163.7</v>
      </c>
      <c r="R172" s="216"/>
      <c r="S172" s="216"/>
    </row>
    <row r="173" spans="1:19" ht="24.75" customHeight="1">
      <c r="A173" s="110"/>
      <c r="B173" s="111"/>
      <c r="C173" s="106"/>
      <c r="D173" s="107"/>
      <c r="E173" s="104"/>
      <c r="F173" s="104"/>
      <c r="G173" s="89"/>
      <c r="H173" s="11" t="str">
        <f>'Приложение 9'!H67</f>
        <v>Иные закупки товаров, работ и услуг для обеспечения государственных (муниципальных) нужд</v>
      </c>
      <c r="I173" s="10">
        <f>'Приложение 9'!I67</f>
        <v>27</v>
      </c>
      <c r="J173" s="7">
        <f>'Приложение 9'!J67</f>
        <v>1</v>
      </c>
      <c r="K173" s="7">
        <f>'Приложение 9'!K67</f>
        <v>13</v>
      </c>
      <c r="L173" s="95" t="str">
        <f>'Приложение 9'!L67</f>
        <v>91</v>
      </c>
      <c r="M173" s="96" t="str">
        <f>'Приложение 9'!M67</f>
        <v>0</v>
      </c>
      <c r="N173" s="96" t="str">
        <f>'Приложение 9'!N67</f>
        <v>00</v>
      </c>
      <c r="O173" s="96" t="str">
        <f>'Приложение 9'!O67</f>
        <v>20030</v>
      </c>
      <c r="P173" s="10">
        <f>'Приложение 9'!P67</f>
        <v>240</v>
      </c>
      <c r="Q173" s="214">
        <f>'Приложение 9'!Q67</f>
        <v>163.7</v>
      </c>
      <c r="R173" s="216"/>
      <c r="S173" s="216"/>
    </row>
    <row r="174" spans="1:19" ht="51.75" customHeight="1" hidden="1">
      <c r="A174" s="110"/>
      <c r="B174" s="111"/>
      <c r="C174" s="106"/>
      <c r="D174" s="107"/>
      <c r="E174" s="104"/>
      <c r="F174" s="104"/>
      <c r="G174" s="89"/>
      <c r="H174" s="11" t="str">
        <f>'Приложение 9'!H403</f>
        <v>Иные межбюджетные трансферты на поощрение за содействие достижению значений (уровней) показателей для оценки эффективности деятельности высших должностных лиц субъектов РФ и деятельности органов исполнительной власти субъектов РФ</v>
      </c>
      <c r="I174" s="10">
        <f>'Приложение 9'!I403</f>
        <v>660</v>
      </c>
      <c r="J174" s="7">
        <f>'Приложение 9'!J403</f>
        <v>1</v>
      </c>
      <c r="K174" s="7">
        <f>'Приложение 9'!K403</f>
        <v>13</v>
      </c>
      <c r="L174" s="95">
        <f>'Приложение 9'!L403</f>
        <v>91</v>
      </c>
      <c r="M174" s="96" t="str">
        <f>'Приложение 9'!M403</f>
        <v>0</v>
      </c>
      <c r="N174" s="96" t="str">
        <f>'Приложение 9'!N403</f>
        <v>00</v>
      </c>
      <c r="O174" s="96" t="str">
        <f>'Приложение 9'!O403</f>
        <v>5549F</v>
      </c>
      <c r="P174" s="10" t="s">
        <v>614</v>
      </c>
      <c r="Q174" s="214">
        <f>Q175</f>
        <v>0</v>
      </c>
      <c r="R174" s="216"/>
      <c r="S174" s="216"/>
    </row>
    <row r="175" spans="1:19" ht="24.75" customHeight="1" hidden="1">
      <c r="A175" s="110"/>
      <c r="B175" s="111"/>
      <c r="C175" s="106"/>
      <c r="D175" s="107"/>
      <c r="E175" s="104"/>
      <c r="F175" s="104"/>
      <c r="G175" s="89"/>
      <c r="H175" s="11" t="str">
        <f>'Приложение 9'!H404</f>
        <v>Расходы на выплаты персоналу государственных (муниципальных) органов</v>
      </c>
      <c r="I175" s="10">
        <f>'Приложение 9'!I404</f>
        <v>660</v>
      </c>
      <c r="J175" s="7">
        <f>'Приложение 9'!J404</f>
        <v>1</v>
      </c>
      <c r="K175" s="7">
        <f>'Приложение 9'!K404</f>
        <v>13</v>
      </c>
      <c r="L175" s="95">
        <f>'Приложение 9'!L404</f>
        <v>91</v>
      </c>
      <c r="M175" s="96" t="str">
        <f>'Приложение 9'!M404</f>
        <v>0</v>
      </c>
      <c r="N175" s="96" t="str">
        <f>'Приложение 9'!N404</f>
        <v>00</v>
      </c>
      <c r="O175" s="96" t="str">
        <f>'Приложение 9'!O404</f>
        <v>5549F</v>
      </c>
      <c r="P175" s="10">
        <f>'Приложение 9'!P404</f>
        <v>120</v>
      </c>
      <c r="Q175" s="214">
        <f>'Приложение 9'!Q404</f>
        <v>0</v>
      </c>
      <c r="R175" s="216"/>
      <c r="S175" s="216"/>
    </row>
    <row r="176" spans="1:19" ht="31.5" customHeight="1">
      <c r="A176" s="110"/>
      <c r="B176" s="111"/>
      <c r="C176" s="106"/>
      <c r="D176" s="107"/>
      <c r="E176" s="104"/>
      <c r="F176" s="104"/>
      <c r="G176" s="89"/>
      <c r="H176" s="11" t="str">
        <f>'Приложение 9'!H68</f>
        <v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v>
      </c>
      <c r="I176" s="10">
        <f>'Приложение 9'!I68</f>
        <v>27</v>
      </c>
      <c r="J176" s="7">
        <f>'Приложение 9'!J68</f>
        <v>1</v>
      </c>
      <c r="K176" s="7">
        <f>'Приложение 9'!K68</f>
        <v>13</v>
      </c>
      <c r="L176" s="95" t="str">
        <f>'Приложение 9'!L68</f>
        <v>91</v>
      </c>
      <c r="M176" s="96" t="str">
        <f>'Приложение 9'!M68</f>
        <v>0</v>
      </c>
      <c r="N176" s="96" t="str">
        <f>'Приложение 9'!N68</f>
        <v>00</v>
      </c>
      <c r="O176" s="96" t="str">
        <f>'Приложение 9'!O68</f>
        <v>70030</v>
      </c>
      <c r="P176" s="10" t="s">
        <v>614</v>
      </c>
      <c r="Q176" s="214">
        <f>Q177+Q178</f>
        <v>9393.7</v>
      </c>
      <c r="R176" s="216"/>
      <c r="S176" s="216"/>
    </row>
    <row r="177" spans="1:19" ht="31.5" customHeight="1">
      <c r="A177" s="110"/>
      <c r="B177" s="111"/>
      <c r="C177" s="106"/>
      <c r="D177" s="107"/>
      <c r="E177" s="104"/>
      <c r="F177" s="104"/>
      <c r="G177" s="89"/>
      <c r="H177" s="34" t="s">
        <v>526</v>
      </c>
      <c r="I177" s="10"/>
      <c r="J177" s="7">
        <f>'Приложение 9'!J69</f>
        <v>1</v>
      </c>
      <c r="K177" s="7">
        <f>'Приложение 9'!K69</f>
        <v>13</v>
      </c>
      <c r="L177" s="95" t="str">
        <f>'Приложение 9'!L69</f>
        <v>91</v>
      </c>
      <c r="M177" s="96" t="str">
        <f>'Приложение 9'!M69</f>
        <v>0</v>
      </c>
      <c r="N177" s="96" t="str">
        <f>'Приложение 9'!N69</f>
        <v>00</v>
      </c>
      <c r="O177" s="96" t="str">
        <f>'Приложение 9'!O69</f>
        <v>70030</v>
      </c>
      <c r="P177" s="10">
        <v>120</v>
      </c>
      <c r="Q177" s="214">
        <f>'Приложение 9'!Q406</f>
        <v>165</v>
      </c>
      <c r="R177" s="216"/>
      <c r="S177" s="216"/>
    </row>
    <row r="178" spans="1:19" ht="24.75" customHeight="1">
      <c r="A178" s="110"/>
      <c r="B178" s="111"/>
      <c r="C178" s="106"/>
      <c r="D178" s="107"/>
      <c r="E178" s="104"/>
      <c r="F178" s="104"/>
      <c r="G178" s="89"/>
      <c r="H178" s="11" t="str">
        <f>'Приложение 9'!H69</f>
        <v>Субсидии автономным учреждениям</v>
      </c>
      <c r="I178" s="10">
        <f>'Приложение 9'!I69</f>
        <v>27</v>
      </c>
      <c r="J178" s="7">
        <f>'Приложение 9'!J69</f>
        <v>1</v>
      </c>
      <c r="K178" s="7">
        <f>'Приложение 9'!K69</f>
        <v>13</v>
      </c>
      <c r="L178" s="95" t="str">
        <f>'Приложение 9'!L69</f>
        <v>91</v>
      </c>
      <c r="M178" s="96" t="str">
        <f>'Приложение 9'!M69</f>
        <v>0</v>
      </c>
      <c r="N178" s="96" t="str">
        <f>'Приложение 9'!N69</f>
        <v>00</v>
      </c>
      <c r="O178" s="96" t="str">
        <f>'Приложение 9'!O69</f>
        <v>70030</v>
      </c>
      <c r="P178" s="10">
        <f>'Приложение 9'!P69</f>
        <v>620</v>
      </c>
      <c r="Q178" s="214">
        <f>'Приложение 9'!Q69</f>
        <v>9228.7</v>
      </c>
      <c r="R178" s="216"/>
      <c r="S178" s="216"/>
    </row>
    <row r="179" spans="1:19" ht="48" customHeight="1">
      <c r="A179" s="110"/>
      <c r="B179" s="112"/>
      <c r="C179" s="106"/>
      <c r="D179" s="109"/>
      <c r="E179" s="104"/>
      <c r="F179" s="104"/>
      <c r="G179" s="89"/>
      <c r="H179" s="34" t="s">
        <v>653</v>
      </c>
      <c r="I179" s="10">
        <v>27</v>
      </c>
      <c r="J179" s="7">
        <v>1</v>
      </c>
      <c r="K179" s="7">
        <v>13</v>
      </c>
      <c r="L179" s="95" t="s">
        <v>573</v>
      </c>
      <c r="M179" s="96" t="s">
        <v>556</v>
      </c>
      <c r="N179" s="96" t="s">
        <v>576</v>
      </c>
      <c r="O179" s="96" t="s">
        <v>648</v>
      </c>
      <c r="P179" s="6"/>
      <c r="Q179" s="216">
        <f>Q180+Q181</f>
        <v>430.79999999999995</v>
      </c>
      <c r="R179" s="216">
        <f>SUM(R180:R180)</f>
        <v>240.4</v>
      </c>
      <c r="S179" s="216">
        <f>SUM(S180:S180)</f>
        <v>241.3</v>
      </c>
    </row>
    <row r="180" spans="1:19" ht="30" customHeight="1">
      <c r="A180" s="110"/>
      <c r="B180" s="112"/>
      <c r="C180" s="106"/>
      <c r="D180" s="109"/>
      <c r="E180" s="104"/>
      <c r="F180" s="104"/>
      <c r="G180" s="89"/>
      <c r="H180" s="34" t="s">
        <v>526</v>
      </c>
      <c r="I180" s="10">
        <v>27</v>
      </c>
      <c r="J180" s="7">
        <v>1</v>
      </c>
      <c r="K180" s="7">
        <v>13</v>
      </c>
      <c r="L180" s="95" t="s">
        <v>573</v>
      </c>
      <c r="M180" s="96" t="s">
        <v>556</v>
      </c>
      <c r="N180" s="96" t="s">
        <v>576</v>
      </c>
      <c r="O180" s="96" t="s">
        <v>648</v>
      </c>
      <c r="P180" s="10">
        <v>120</v>
      </c>
      <c r="Q180" s="214">
        <f>'Приложение 9'!Q71</f>
        <v>268.9</v>
      </c>
      <c r="R180" s="214">
        <v>240.4</v>
      </c>
      <c r="S180" s="214">
        <v>241.3</v>
      </c>
    </row>
    <row r="181" spans="1:19" ht="30" customHeight="1">
      <c r="A181" s="110"/>
      <c r="B181" s="112"/>
      <c r="C181" s="106"/>
      <c r="D181" s="109"/>
      <c r="E181" s="104"/>
      <c r="F181" s="104"/>
      <c r="G181" s="89"/>
      <c r="H181" s="34" t="str">
        <f>'Приложение 9'!H72</f>
        <v>Иные закупки товаров, работ и услуг для обеспечения государственных (муниципальных) нужд</v>
      </c>
      <c r="I181" s="10">
        <f>'Приложение 9'!I72</f>
        <v>27</v>
      </c>
      <c r="J181" s="7">
        <f>'Приложение 9'!J72</f>
        <v>1</v>
      </c>
      <c r="K181" s="7">
        <f>'Приложение 9'!K72</f>
        <v>13</v>
      </c>
      <c r="L181" s="95" t="str">
        <f>'Приложение 9'!L72</f>
        <v>91</v>
      </c>
      <c r="M181" s="96" t="str">
        <f>'Приложение 9'!M72</f>
        <v>0</v>
      </c>
      <c r="N181" s="96" t="str">
        <f>'Приложение 9'!N72</f>
        <v>00</v>
      </c>
      <c r="O181" s="96" t="str">
        <f>'Приложение 9'!O72</f>
        <v>72190</v>
      </c>
      <c r="P181" s="10">
        <f>'Приложение 9'!P72</f>
        <v>240</v>
      </c>
      <c r="Q181" s="214">
        <f>'Приложение 9'!Q72</f>
        <v>161.9</v>
      </c>
      <c r="R181" s="216"/>
      <c r="S181" s="216"/>
    </row>
    <row r="182" spans="1:19" ht="67.5" customHeight="1">
      <c r="A182" s="110"/>
      <c r="B182" s="112"/>
      <c r="C182" s="106"/>
      <c r="D182" s="109"/>
      <c r="E182" s="104"/>
      <c r="F182" s="104"/>
      <c r="G182" s="89"/>
      <c r="H182" s="11" t="s">
        <v>339</v>
      </c>
      <c r="I182" s="10">
        <v>27</v>
      </c>
      <c r="J182" s="7">
        <v>1</v>
      </c>
      <c r="K182" s="7">
        <v>13</v>
      </c>
      <c r="L182" s="95" t="s">
        <v>573</v>
      </c>
      <c r="M182" s="96" t="s">
        <v>556</v>
      </c>
      <c r="N182" s="96" t="s">
        <v>576</v>
      </c>
      <c r="O182" s="96" t="s">
        <v>642</v>
      </c>
      <c r="P182" s="6"/>
      <c r="Q182" s="216">
        <f>Q183</f>
        <v>4542.5</v>
      </c>
      <c r="R182" s="216">
        <f>R183</f>
        <v>3437.1</v>
      </c>
      <c r="S182" s="216">
        <f>S183</f>
        <v>3437.1</v>
      </c>
    </row>
    <row r="183" spans="1:19" ht="27" customHeight="1">
      <c r="A183" s="99"/>
      <c r="B183" s="98"/>
      <c r="C183" s="103"/>
      <c r="D183" s="101"/>
      <c r="E183" s="113"/>
      <c r="F183" s="113"/>
      <c r="G183" s="105">
        <v>120</v>
      </c>
      <c r="H183" s="11" t="s">
        <v>714</v>
      </c>
      <c r="I183" s="10">
        <v>27</v>
      </c>
      <c r="J183" s="7">
        <v>1</v>
      </c>
      <c r="K183" s="7">
        <v>13</v>
      </c>
      <c r="L183" s="95" t="s">
        <v>573</v>
      </c>
      <c r="M183" s="96" t="s">
        <v>556</v>
      </c>
      <c r="N183" s="96" t="s">
        <v>576</v>
      </c>
      <c r="O183" s="96" t="s">
        <v>642</v>
      </c>
      <c r="P183" s="6">
        <v>610</v>
      </c>
      <c r="Q183" s="216">
        <f>'Приложение 9'!Q74</f>
        <v>4542.5</v>
      </c>
      <c r="R183" s="216">
        <v>3437.1</v>
      </c>
      <c r="S183" s="216">
        <v>3437.1</v>
      </c>
    </row>
    <row r="184" spans="1:19" ht="21" customHeight="1">
      <c r="A184" s="97"/>
      <c r="B184" s="98"/>
      <c r="C184" s="106"/>
      <c r="D184" s="111"/>
      <c r="E184" s="114"/>
      <c r="F184" s="114"/>
      <c r="G184" s="89"/>
      <c r="H184" s="3" t="s">
        <v>807</v>
      </c>
      <c r="I184" s="10">
        <v>27</v>
      </c>
      <c r="J184" s="7">
        <v>1</v>
      </c>
      <c r="K184" s="7">
        <v>13</v>
      </c>
      <c r="L184" s="95" t="s">
        <v>573</v>
      </c>
      <c r="M184" s="96" t="s">
        <v>556</v>
      </c>
      <c r="N184" s="96" t="s">
        <v>576</v>
      </c>
      <c r="O184" s="96" t="s">
        <v>806</v>
      </c>
      <c r="P184" s="10"/>
      <c r="Q184" s="214">
        <f>SUM(Q185:Q186)</f>
        <v>882.9000000000001</v>
      </c>
      <c r="R184" s="214">
        <f>SUM(R185:R186)</f>
        <v>784.4000000000001</v>
      </c>
      <c r="S184" s="214">
        <f>SUM(S185:S186)</f>
        <v>784.4000000000001</v>
      </c>
    </row>
    <row r="185" spans="1:19" ht="26.25" customHeight="1">
      <c r="A185" s="97"/>
      <c r="B185" s="98"/>
      <c r="C185" s="106"/>
      <c r="D185" s="111"/>
      <c r="E185" s="114"/>
      <c r="F185" s="114"/>
      <c r="G185" s="89"/>
      <c r="H185" s="34" t="s">
        <v>526</v>
      </c>
      <c r="I185" s="10">
        <v>27</v>
      </c>
      <c r="J185" s="7">
        <v>1</v>
      </c>
      <c r="K185" s="7">
        <v>13</v>
      </c>
      <c r="L185" s="95" t="s">
        <v>573</v>
      </c>
      <c r="M185" s="96" t="s">
        <v>556</v>
      </c>
      <c r="N185" s="96" t="s">
        <v>576</v>
      </c>
      <c r="O185" s="96" t="s">
        <v>806</v>
      </c>
      <c r="P185" s="10">
        <v>120</v>
      </c>
      <c r="Q185" s="214">
        <f>'Приложение 9'!Q76</f>
        <v>479.1</v>
      </c>
      <c r="R185" s="215">
        <v>479.1</v>
      </c>
      <c r="S185" s="215">
        <v>479.1</v>
      </c>
    </row>
    <row r="186" spans="1:19" ht="30" customHeight="1">
      <c r="A186" s="97"/>
      <c r="B186" s="98"/>
      <c r="C186" s="106"/>
      <c r="D186" s="111"/>
      <c r="E186" s="114"/>
      <c r="F186" s="114"/>
      <c r="G186" s="89"/>
      <c r="H186" s="5" t="s">
        <v>712</v>
      </c>
      <c r="I186" s="10">
        <v>27</v>
      </c>
      <c r="J186" s="7">
        <v>1</v>
      </c>
      <c r="K186" s="7">
        <v>13</v>
      </c>
      <c r="L186" s="95" t="s">
        <v>573</v>
      </c>
      <c r="M186" s="96" t="s">
        <v>556</v>
      </c>
      <c r="N186" s="96" t="s">
        <v>576</v>
      </c>
      <c r="O186" s="96" t="s">
        <v>806</v>
      </c>
      <c r="P186" s="10">
        <v>240</v>
      </c>
      <c r="Q186" s="214">
        <f>'Приложение 9'!Q77</f>
        <v>403.8</v>
      </c>
      <c r="R186" s="215">
        <v>305.3</v>
      </c>
      <c r="S186" s="215">
        <v>305.3</v>
      </c>
    </row>
    <row r="187" spans="1:19" ht="36.75" customHeight="1">
      <c r="A187" s="99"/>
      <c r="B187" s="98"/>
      <c r="C187" s="103"/>
      <c r="D187" s="107"/>
      <c r="E187" s="104"/>
      <c r="F187" s="104"/>
      <c r="G187" s="105"/>
      <c r="H187" s="11" t="s">
        <v>238</v>
      </c>
      <c r="I187" s="10">
        <v>660</v>
      </c>
      <c r="J187" s="7">
        <v>1</v>
      </c>
      <c r="K187" s="7">
        <v>13</v>
      </c>
      <c r="L187" s="16">
        <v>91</v>
      </c>
      <c r="M187" s="96" t="s">
        <v>556</v>
      </c>
      <c r="N187" s="96" t="s">
        <v>576</v>
      </c>
      <c r="O187" s="96" t="s">
        <v>237</v>
      </c>
      <c r="P187" s="6"/>
      <c r="Q187" s="216">
        <f>SUM(Q188:Q189)</f>
        <v>324.79999999999995</v>
      </c>
      <c r="R187" s="216"/>
      <c r="S187" s="216"/>
    </row>
    <row r="188" spans="1:19" ht="30.75" customHeight="1">
      <c r="A188" s="99"/>
      <c r="B188" s="98"/>
      <c r="C188" s="103"/>
      <c r="D188" s="107"/>
      <c r="E188" s="104"/>
      <c r="F188" s="104"/>
      <c r="G188" s="105"/>
      <c r="H188" s="11" t="s">
        <v>526</v>
      </c>
      <c r="I188" s="10">
        <v>660</v>
      </c>
      <c r="J188" s="7">
        <v>1</v>
      </c>
      <c r="K188" s="7">
        <v>13</v>
      </c>
      <c r="L188" s="16">
        <v>91</v>
      </c>
      <c r="M188" s="96" t="s">
        <v>556</v>
      </c>
      <c r="N188" s="96" t="s">
        <v>576</v>
      </c>
      <c r="O188" s="96" t="s">
        <v>237</v>
      </c>
      <c r="P188" s="6">
        <v>120</v>
      </c>
      <c r="Q188" s="216">
        <v>323.9</v>
      </c>
      <c r="R188" s="216"/>
      <c r="S188" s="216"/>
    </row>
    <row r="189" spans="1:19" ht="24.75" customHeight="1">
      <c r="A189" s="99"/>
      <c r="B189" s="98"/>
      <c r="C189" s="103"/>
      <c r="D189" s="107"/>
      <c r="E189" s="104"/>
      <c r="F189" s="104"/>
      <c r="G189" s="105"/>
      <c r="H189" s="11" t="s">
        <v>712</v>
      </c>
      <c r="I189" s="10">
        <v>660</v>
      </c>
      <c r="J189" s="7">
        <v>1</v>
      </c>
      <c r="K189" s="7">
        <v>13</v>
      </c>
      <c r="L189" s="16">
        <v>91</v>
      </c>
      <c r="M189" s="96" t="s">
        <v>556</v>
      </c>
      <c r="N189" s="96" t="s">
        <v>576</v>
      </c>
      <c r="O189" s="96" t="s">
        <v>237</v>
      </c>
      <c r="P189" s="6">
        <v>240</v>
      </c>
      <c r="Q189" s="214">
        <f>'Приложение 9'!Q409</f>
        <v>0.9</v>
      </c>
      <c r="R189" s="214"/>
      <c r="S189" s="214"/>
    </row>
    <row r="190" spans="1:19" ht="38.25" customHeight="1">
      <c r="A190" s="97"/>
      <c r="B190" s="98"/>
      <c r="C190" s="106"/>
      <c r="D190" s="111"/>
      <c r="E190" s="114"/>
      <c r="F190" s="114"/>
      <c r="G190" s="89"/>
      <c r="H190" s="3" t="s">
        <v>519</v>
      </c>
      <c r="I190" s="10">
        <v>27</v>
      </c>
      <c r="J190" s="7">
        <v>1</v>
      </c>
      <c r="K190" s="7">
        <v>13</v>
      </c>
      <c r="L190" s="95" t="s">
        <v>573</v>
      </c>
      <c r="M190" s="96" t="s">
        <v>556</v>
      </c>
      <c r="N190" s="96" t="s">
        <v>576</v>
      </c>
      <c r="O190" s="96" t="s">
        <v>520</v>
      </c>
      <c r="P190" s="10" t="s">
        <v>614</v>
      </c>
      <c r="Q190" s="214">
        <f>Q191</f>
        <v>2.200000000000001</v>
      </c>
      <c r="R190" s="214"/>
      <c r="S190" s="214"/>
    </row>
    <row r="191" spans="1:19" ht="28.5" customHeight="1">
      <c r="A191" s="97"/>
      <c r="B191" s="98"/>
      <c r="C191" s="106"/>
      <c r="D191" s="111"/>
      <c r="E191" s="114"/>
      <c r="F191" s="114"/>
      <c r="G191" s="89"/>
      <c r="H191" s="3" t="s">
        <v>712</v>
      </c>
      <c r="I191" s="10">
        <v>27</v>
      </c>
      <c r="J191" s="7">
        <v>1</v>
      </c>
      <c r="K191" s="7">
        <v>13</v>
      </c>
      <c r="L191" s="95" t="s">
        <v>573</v>
      </c>
      <c r="M191" s="96" t="s">
        <v>556</v>
      </c>
      <c r="N191" s="96" t="s">
        <v>576</v>
      </c>
      <c r="O191" s="96" t="s">
        <v>520</v>
      </c>
      <c r="P191" s="10">
        <v>240</v>
      </c>
      <c r="Q191" s="214">
        <f>'Приложение 9'!Q79</f>
        <v>2.200000000000001</v>
      </c>
      <c r="R191" s="214"/>
      <c r="S191" s="214"/>
    </row>
    <row r="192" spans="1:19" ht="42.75" customHeight="1">
      <c r="A192" s="97"/>
      <c r="B192" s="98"/>
      <c r="C192" s="114"/>
      <c r="D192" s="111"/>
      <c r="E192" s="114"/>
      <c r="F192" s="114"/>
      <c r="G192" s="89"/>
      <c r="H192" s="320" t="s">
        <v>76</v>
      </c>
      <c r="I192" s="10"/>
      <c r="J192" s="7">
        <v>1</v>
      </c>
      <c r="K192" s="7">
        <v>13</v>
      </c>
      <c r="L192" s="95" t="s">
        <v>573</v>
      </c>
      <c r="M192" s="96" t="s">
        <v>556</v>
      </c>
      <c r="N192" s="96" t="s">
        <v>576</v>
      </c>
      <c r="O192" s="96" t="s">
        <v>78</v>
      </c>
      <c r="P192" s="10"/>
      <c r="Q192" s="214">
        <f>Q193</f>
        <v>111.3</v>
      </c>
      <c r="R192" s="214"/>
      <c r="S192" s="214"/>
    </row>
    <row r="193" spans="1:19" ht="28.5" customHeight="1">
      <c r="A193" s="97"/>
      <c r="B193" s="98"/>
      <c r="C193" s="114"/>
      <c r="D193" s="111"/>
      <c r="E193" s="114"/>
      <c r="F193" s="114"/>
      <c r="G193" s="89"/>
      <c r="H193" s="11" t="s">
        <v>640</v>
      </c>
      <c r="I193" s="10"/>
      <c r="J193" s="7">
        <v>1</v>
      </c>
      <c r="K193" s="7">
        <v>13</v>
      </c>
      <c r="L193" s="95" t="s">
        <v>573</v>
      </c>
      <c r="M193" s="96" t="s">
        <v>556</v>
      </c>
      <c r="N193" s="96" t="s">
        <v>576</v>
      </c>
      <c r="O193" s="96" t="s">
        <v>78</v>
      </c>
      <c r="P193" s="10">
        <v>240</v>
      </c>
      <c r="Q193" s="214">
        <f>'Приложение 9'!Q83</f>
        <v>111.3</v>
      </c>
      <c r="R193" s="214"/>
      <c r="S193" s="214"/>
    </row>
    <row r="194" spans="1:19" s="179" customFormat="1" ht="27" customHeight="1">
      <c r="A194" s="135"/>
      <c r="B194" s="135"/>
      <c r="C194" s="135"/>
      <c r="D194" s="135"/>
      <c r="E194" s="135"/>
      <c r="F194" s="135"/>
      <c r="G194" s="136"/>
      <c r="H194" s="137" t="s">
        <v>548</v>
      </c>
      <c r="I194" s="138">
        <v>27</v>
      </c>
      <c r="J194" s="148">
        <v>3</v>
      </c>
      <c r="K194" s="148" t="s">
        <v>614</v>
      </c>
      <c r="L194" s="140"/>
      <c r="M194" s="141"/>
      <c r="N194" s="141"/>
      <c r="O194" s="141"/>
      <c r="P194" s="146"/>
      <c r="Q194" s="217">
        <f>Q195+Q202</f>
        <v>2213.7999999999997</v>
      </c>
      <c r="R194" s="217" t="e">
        <f>R195+R202</f>
        <v>#REF!</v>
      </c>
      <c r="S194" s="217" t="e">
        <f>S195+S202</f>
        <v>#REF!</v>
      </c>
    </row>
    <row r="195" spans="1:19" s="179" customFormat="1" ht="33" customHeight="1">
      <c r="A195" s="135"/>
      <c r="B195" s="135"/>
      <c r="C195" s="135"/>
      <c r="D195" s="135"/>
      <c r="E195" s="135"/>
      <c r="F195" s="135"/>
      <c r="G195" s="136"/>
      <c r="H195" s="137" t="s">
        <v>550</v>
      </c>
      <c r="I195" s="138">
        <v>27</v>
      </c>
      <c r="J195" s="148">
        <v>3</v>
      </c>
      <c r="K195" s="148">
        <v>9</v>
      </c>
      <c r="L195" s="140" t="s">
        <v>527</v>
      </c>
      <c r="M195" s="141" t="s">
        <v>527</v>
      </c>
      <c r="N195" s="141"/>
      <c r="O195" s="141" t="s">
        <v>527</v>
      </c>
      <c r="P195" s="146" t="s">
        <v>527</v>
      </c>
      <c r="Q195" s="217">
        <f aca="true" t="shared" si="8" ref="Q195:S196">Q196</f>
        <v>2062.7999999999997</v>
      </c>
      <c r="R195" s="217">
        <f t="shared" si="8"/>
        <v>1756</v>
      </c>
      <c r="S195" s="217">
        <f t="shared" si="8"/>
        <v>1756</v>
      </c>
    </row>
    <row r="196" spans="1:19" s="179" customFormat="1" ht="33" customHeight="1">
      <c r="A196" s="135"/>
      <c r="B196" s="135"/>
      <c r="C196" s="135"/>
      <c r="D196" s="135"/>
      <c r="E196" s="135"/>
      <c r="F196" s="135"/>
      <c r="G196" s="136"/>
      <c r="H196" s="11" t="s">
        <v>292</v>
      </c>
      <c r="I196" s="10">
        <v>27</v>
      </c>
      <c r="J196" s="7">
        <v>3</v>
      </c>
      <c r="K196" s="7">
        <v>9</v>
      </c>
      <c r="L196" s="95" t="s">
        <v>573</v>
      </c>
      <c r="M196" s="96" t="s">
        <v>556</v>
      </c>
      <c r="N196" s="96" t="s">
        <v>576</v>
      </c>
      <c r="O196" s="96" t="s">
        <v>613</v>
      </c>
      <c r="P196" s="146"/>
      <c r="Q196" s="217">
        <f>Q197+Q200</f>
        <v>2062.7999999999997</v>
      </c>
      <c r="R196" s="217">
        <f t="shared" si="8"/>
        <v>1756</v>
      </c>
      <c r="S196" s="217">
        <f t="shared" si="8"/>
        <v>1756</v>
      </c>
    </row>
    <row r="197" spans="1:19" ht="26.25" customHeight="1">
      <c r="A197" s="88"/>
      <c r="B197" s="88"/>
      <c r="C197" s="88"/>
      <c r="D197" s="88"/>
      <c r="E197" s="88"/>
      <c r="F197" s="88"/>
      <c r="G197" s="89"/>
      <c r="H197" s="11" t="s">
        <v>337</v>
      </c>
      <c r="I197" s="10">
        <v>27</v>
      </c>
      <c r="J197" s="7">
        <v>3</v>
      </c>
      <c r="K197" s="7">
        <v>9</v>
      </c>
      <c r="L197" s="95" t="s">
        <v>573</v>
      </c>
      <c r="M197" s="96" t="s">
        <v>556</v>
      </c>
      <c r="N197" s="96" t="s">
        <v>576</v>
      </c>
      <c r="O197" s="96" t="s">
        <v>338</v>
      </c>
      <c r="P197" s="6" t="s">
        <v>527</v>
      </c>
      <c r="Q197" s="216">
        <f>SUM(Q198:Q199)</f>
        <v>1725.8999999999999</v>
      </c>
      <c r="R197" s="216">
        <f>SUM(R198:R199)</f>
        <v>1756</v>
      </c>
      <c r="S197" s="216">
        <f>SUM(S198:S199)</f>
        <v>1756</v>
      </c>
    </row>
    <row r="198" spans="1:19" ht="26.25" customHeight="1">
      <c r="A198" s="88"/>
      <c r="B198" s="88"/>
      <c r="C198" s="88"/>
      <c r="D198" s="88"/>
      <c r="E198" s="88"/>
      <c r="F198" s="88"/>
      <c r="G198" s="89"/>
      <c r="H198" s="11" t="s">
        <v>715</v>
      </c>
      <c r="I198" s="6">
        <v>27</v>
      </c>
      <c r="J198" s="7">
        <v>3</v>
      </c>
      <c r="K198" s="7">
        <v>9</v>
      </c>
      <c r="L198" s="95" t="s">
        <v>573</v>
      </c>
      <c r="M198" s="96" t="s">
        <v>556</v>
      </c>
      <c r="N198" s="96" t="s">
        <v>576</v>
      </c>
      <c r="O198" s="96" t="s">
        <v>338</v>
      </c>
      <c r="P198" s="6">
        <v>110</v>
      </c>
      <c r="Q198" s="216">
        <f>'Приложение 9'!Q88</f>
        <v>1689.6</v>
      </c>
      <c r="R198" s="216">
        <v>1690.1</v>
      </c>
      <c r="S198" s="216">
        <v>1690.1</v>
      </c>
    </row>
    <row r="199" spans="1:19" ht="23.25" customHeight="1">
      <c r="A199" s="88"/>
      <c r="B199" s="88"/>
      <c r="C199" s="88"/>
      <c r="D199" s="88"/>
      <c r="E199" s="88"/>
      <c r="F199" s="88"/>
      <c r="G199" s="89"/>
      <c r="H199" s="5" t="s">
        <v>712</v>
      </c>
      <c r="I199" s="8">
        <v>27</v>
      </c>
      <c r="J199" s="7">
        <v>3</v>
      </c>
      <c r="K199" s="7">
        <v>9</v>
      </c>
      <c r="L199" s="95" t="s">
        <v>573</v>
      </c>
      <c r="M199" s="96" t="s">
        <v>556</v>
      </c>
      <c r="N199" s="96" t="s">
        <v>576</v>
      </c>
      <c r="O199" s="96" t="s">
        <v>338</v>
      </c>
      <c r="P199" s="6">
        <v>240</v>
      </c>
      <c r="Q199" s="214">
        <f>'Приложение 9'!Q89</f>
        <v>36.3</v>
      </c>
      <c r="R199" s="214">
        <v>65.9</v>
      </c>
      <c r="S199" s="214">
        <v>65.9</v>
      </c>
    </row>
    <row r="200" spans="1:19" ht="23.25" customHeight="1">
      <c r="A200" s="88"/>
      <c r="B200" s="88"/>
      <c r="C200" s="88"/>
      <c r="D200" s="88"/>
      <c r="E200" s="88"/>
      <c r="F200" s="88"/>
      <c r="G200" s="89"/>
      <c r="H200" s="11" t="str">
        <f>'Приложение 9'!H90</f>
        <v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v>
      </c>
      <c r="I200" s="13">
        <f>'Приложение 9'!I90</f>
        <v>27</v>
      </c>
      <c r="J200" s="7">
        <f>'Приложение 9'!J90</f>
        <v>3</v>
      </c>
      <c r="K200" s="7">
        <f>'Приложение 9'!K90</f>
        <v>9</v>
      </c>
      <c r="L200" s="95" t="str">
        <f>'Приложение 9'!L90</f>
        <v>91</v>
      </c>
      <c r="M200" s="96" t="str">
        <f>'Приложение 9'!M90</f>
        <v>0</v>
      </c>
      <c r="N200" s="96" t="str">
        <f>'Приложение 9'!N90</f>
        <v>00</v>
      </c>
      <c r="O200" s="96" t="str">
        <f>'Приложение 9'!O90</f>
        <v>70030</v>
      </c>
      <c r="P200" s="6" t="s">
        <v>614</v>
      </c>
      <c r="Q200" s="216">
        <f>Q201</f>
        <v>336.9</v>
      </c>
      <c r="R200" s="216"/>
      <c r="S200" s="216"/>
    </row>
    <row r="201" spans="1:19" ht="23.25" customHeight="1">
      <c r="A201" s="88"/>
      <c r="B201" s="88"/>
      <c r="C201" s="88"/>
      <c r="D201" s="88"/>
      <c r="E201" s="88"/>
      <c r="F201" s="88"/>
      <c r="G201" s="89"/>
      <c r="H201" s="11" t="str">
        <f>'Приложение 9'!H91</f>
        <v>Расходы на выплаты персоналу казенных учреждений</v>
      </c>
      <c r="I201" s="13">
        <f>'Приложение 9'!I91</f>
        <v>27</v>
      </c>
      <c r="J201" s="7">
        <f>'Приложение 9'!J91</f>
        <v>3</v>
      </c>
      <c r="K201" s="7">
        <f>'Приложение 9'!K91</f>
        <v>9</v>
      </c>
      <c r="L201" s="95" t="str">
        <f>'Приложение 9'!L91</f>
        <v>91</v>
      </c>
      <c r="M201" s="96" t="str">
        <f>'Приложение 9'!M91</f>
        <v>0</v>
      </c>
      <c r="N201" s="96" t="str">
        <f>'Приложение 9'!N91</f>
        <v>00</v>
      </c>
      <c r="O201" s="96" t="str">
        <f>'Приложение 9'!O91</f>
        <v>70030</v>
      </c>
      <c r="P201" s="6">
        <f>'Приложение 9'!P91</f>
        <v>110</v>
      </c>
      <c r="Q201" s="216">
        <f>'Приложение 9'!Q91</f>
        <v>336.9</v>
      </c>
      <c r="R201" s="216"/>
      <c r="S201" s="216"/>
    </row>
    <row r="202" spans="1:19" s="179" customFormat="1" ht="25.5" customHeight="1">
      <c r="A202" s="135"/>
      <c r="B202" s="135"/>
      <c r="C202" s="135"/>
      <c r="D202" s="135"/>
      <c r="E202" s="135"/>
      <c r="F202" s="135"/>
      <c r="G202" s="136"/>
      <c r="H202" s="137" t="s">
        <v>549</v>
      </c>
      <c r="I202" s="138">
        <v>27</v>
      </c>
      <c r="J202" s="148">
        <v>3</v>
      </c>
      <c r="K202" s="148">
        <v>14</v>
      </c>
      <c r="L202" s="140"/>
      <c r="M202" s="141"/>
      <c r="N202" s="141"/>
      <c r="O202" s="141"/>
      <c r="P202" s="146"/>
      <c r="Q202" s="217">
        <f>Q203</f>
        <v>151</v>
      </c>
      <c r="R202" s="217" t="e">
        <f>R203+#REF!</f>
        <v>#REF!</v>
      </c>
      <c r="S202" s="217" t="e">
        <f>S203+#REF!</f>
        <v>#REF!</v>
      </c>
    </row>
    <row r="203" spans="1:19" ht="38.25" customHeight="1">
      <c r="A203" s="88"/>
      <c r="B203" s="88"/>
      <c r="C203" s="88"/>
      <c r="D203" s="88"/>
      <c r="E203" s="88"/>
      <c r="F203" s="88"/>
      <c r="G203" s="89"/>
      <c r="H203" s="11" t="s">
        <v>245</v>
      </c>
      <c r="I203" s="10">
        <v>27</v>
      </c>
      <c r="J203" s="7">
        <v>3</v>
      </c>
      <c r="K203" s="7">
        <v>14</v>
      </c>
      <c r="L203" s="95" t="s">
        <v>590</v>
      </c>
      <c r="M203" s="96" t="s">
        <v>556</v>
      </c>
      <c r="N203" s="96" t="s">
        <v>576</v>
      </c>
      <c r="O203" s="96" t="s">
        <v>613</v>
      </c>
      <c r="P203" s="6"/>
      <c r="Q203" s="216">
        <f>Q204</f>
        <v>151</v>
      </c>
      <c r="R203" s="216">
        <f>R211</f>
        <v>0</v>
      </c>
      <c r="S203" s="216">
        <f>S211</f>
        <v>0</v>
      </c>
    </row>
    <row r="204" spans="1:19" ht="22.5" customHeight="1">
      <c r="A204" s="88"/>
      <c r="B204" s="88"/>
      <c r="C204" s="88"/>
      <c r="D204" s="88"/>
      <c r="E204" s="88"/>
      <c r="F204" s="88"/>
      <c r="G204" s="89"/>
      <c r="H204" s="11" t="str">
        <f>'Приложение 9'!H94</f>
        <v>Подпрограмма «Профилактика преступлений и иных правонарушений»</v>
      </c>
      <c r="I204" s="10">
        <f>'Приложение 9'!I94</f>
        <v>27</v>
      </c>
      <c r="J204" s="7">
        <f>'Приложение 9'!J94</f>
        <v>3</v>
      </c>
      <c r="K204" s="7">
        <f>'Приложение 9'!K94</f>
        <v>14</v>
      </c>
      <c r="L204" s="95" t="str">
        <f>'Приложение 9'!L94</f>
        <v>13</v>
      </c>
      <c r="M204" s="96" t="str">
        <f>'Приложение 9'!M94</f>
        <v>2</v>
      </c>
      <c r="N204" s="96" t="str">
        <f>'Приложение 9'!N94</f>
        <v>00</v>
      </c>
      <c r="O204" s="96" t="str">
        <f>'Приложение 9'!O94</f>
        <v>00000</v>
      </c>
      <c r="P204" s="6" t="s">
        <v>614</v>
      </c>
      <c r="Q204" s="216">
        <f>Q205+Q209+Q212</f>
        <v>151</v>
      </c>
      <c r="R204" s="216"/>
      <c r="S204" s="216"/>
    </row>
    <row r="205" spans="1:19" ht="22.5" customHeight="1">
      <c r="A205" s="88"/>
      <c r="B205" s="88"/>
      <c r="C205" s="88"/>
      <c r="D205" s="88"/>
      <c r="E205" s="88"/>
      <c r="F205" s="88"/>
      <c r="G205" s="89"/>
      <c r="H205" s="11" t="str">
        <f>'Приложение 9'!H95</f>
        <v>Основное мероприятие "Предупреждение экстремизма и терроризма"</v>
      </c>
      <c r="I205" s="10">
        <f>'Приложение 9'!I95</f>
        <v>27</v>
      </c>
      <c r="J205" s="7">
        <f>'Приложение 9'!J95</f>
        <v>3</v>
      </c>
      <c r="K205" s="7">
        <f>'Приложение 9'!K95</f>
        <v>14</v>
      </c>
      <c r="L205" s="95" t="str">
        <f>'Приложение 9'!L95</f>
        <v>13</v>
      </c>
      <c r="M205" s="96" t="str">
        <f>'Приложение 9'!M95</f>
        <v>2</v>
      </c>
      <c r="N205" s="96" t="str">
        <f>'Приложение 9'!N95</f>
        <v>03</v>
      </c>
      <c r="O205" s="96" t="str">
        <f>'Приложение 9'!O95</f>
        <v>00000</v>
      </c>
      <c r="P205" s="6" t="s">
        <v>614</v>
      </c>
      <c r="Q205" s="216">
        <f>'Приложение 9'!Q95</f>
        <v>5</v>
      </c>
      <c r="R205" s="216"/>
      <c r="S205" s="216"/>
    </row>
    <row r="206" spans="1:19" ht="22.5" customHeight="1">
      <c r="A206" s="88"/>
      <c r="B206" s="88"/>
      <c r="C206" s="88"/>
      <c r="D206" s="88"/>
      <c r="E206" s="88"/>
      <c r="F206" s="88"/>
      <c r="G206" s="89"/>
      <c r="H206" s="11" t="str">
        <f>'Приложение 9'!H96</f>
        <v>Реализация мероприятий, направленных на предупреждение экстремизма и терроризма</v>
      </c>
      <c r="I206" s="10">
        <f>'Приложение 9'!I96</f>
        <v>27</v>
      </c>
      <c r="J206" s="7">
        <f>'Приложение 9'!J96</f>
        <v>3</v>
      </c>
      <c r="K206" s="7">
        <f>'Приложение 9'!K96</f>
        <v>14</v>
      </c>
      <c r="L206" s="95" t="str">
        <f>'Приложение 9'!L96</f>
        <v>13</v>
      </c>
      <c r="M206" s="96" t="str">
        <f>'Приложение 9'!M96</f>
        <v>2</v>
      </c>
      <c r="N206" s="96" t="str">
        <f>'Приложение 9'!N96</f>
        <v>03</v>
      </c>
      <c r="O206" s="96" t="str">
        <f>'Приложение 9'!O96</f>
        <v>23060</v>
      </c>
      <c r="P206" s="6" t="s">
        <v>614</v>
      </c>
      <c r="Q206" s="216">
        <f>Q207+Q208</f>
        <v>5</v>
      </c>
      <c r="R206" s="216"/>
      <c r="S206" s="216"/>
    </row>
    <row r="207" spans="1:19" ht="28.5" customHeight="1" hidden="1">
      <c r="A207" s="88"/>
      <c r="B207" s="88"/>
      <c r="C207" s="88"/>
      <c r="D207" s="88"/>
      <c r="E207" s="88"/>
      <c r="F207" s="88"/>
      <c r="G207" s="89"/>
      <c r="H207" s="11" t="str">
        <f>'Приложение 9'!H97</f>
        <v>Иные закупки товаров, работ и услуг для обеспечения государственных (муниципальных) нужд</v>
      </c>
      <c r="I207" s="10">
        <f>'Приложение 9'!I97</f>
        <v>27</v>
      </c>
      <c r="J207" s="7">
        <f>'Приложение 9'!J97</f>
        <v>3</v>
      </c>
      <c r="K207" s="7">
        <f>'Приложение 9'!K97</f>
        <v>14</v>
      </c>
      <c r="L207" s="95" t="str">
        <f>'Приложение 9'!L97</f>
        <v>13</v>
      </c>
      <c r="M207" s="96" t="str">
        <f>'Приложение 9'!M97</f>
        <v>2</v>
      </c>
      <c r="N207" s="96" t="str">
        <f>'Приложение 9'!N97</f>
        <v>03</v>
      </c>
      <c r="O207" s="96" t="str">
        <f>'Приложение 9'!O97</f>
        <v>23060</v>
      </c>
      <c r="P207" s="6">
        <f>'Приложение 9'!P97</f>
        <v>240</v>
      </c>
      <c r="Q207" s="216">
        <f>'Приложение 9'!Q97</f>
        <v>0</v>
      </c>
      <c r="R207" s="216"/>
      <c r="S207" s="216"/>
    </row>
    <row r="208" spans="1:19" ht="28.5" customHeight="1">
      <c r="A208" s="88"/>
      <c r="B208" s="88"/>
      <c r="C208" s="88"/>
      <c r="D208" s="88"/>
      <c r="E208" s="88"/>
      <c r="F208" s="88"/>
      <c r="G208" s="89"/>
      <c r="H208" s="11" t="str">
        <f>'Приложение 9'!H98</f>
        <v>Иные выплаты населению</v>
      </c>
      <c r="I208" s="10">
        <f>'Приложение 9'!I98</f>
        <v>27</v>
      </c>
      <c r="J208" s="7">
        <f>'Приложение 9'!J98</f>
        <v>3</v>
      </c>
      <c r="K208" s="7">
        <f>'Приложение 9'!K98</f>
        <v>14</v>
      </c>
      <c r="L208" s="95" t="str">
        <f>'Приложение 9'!L98</f>
        <v>13</v>
      </c>
      <c r="M208" s="96" t="str">
        <f>'Приложение 9'!M98</f>
        <v>2</v>
      </c>
      <c r="N208" s="96" t="str">
        <f>'Приложение 9'!N98</f>
        <v>03</v>
      </c>
      <c r="O208" s="96" t="str">
        <f>'Приложение 9'!O98</f>
        <v>23060</v>
      </c>
      <c r="P208" s="6">
        <f>'Приложение 9'!P98</f>
        <v>360</v>
      </c>
      <c r="Q208" s="216">
        <f>'Приложение 9'!Q98</f>
        <v>5</v>
      </c>
      <c r="R208" s="216"/>
      <c r="S208" s="216"/>
    </row>
    <row r="209" spans="1:19" ht="28.5" customHeight="1">
      <c r="A209" s="88"/>
      <c r="B209" s="88"/>
      <c r="C209" s="88"/>
      <c r="D209" s="88"/>
      <c r="E209" s="88"/>
      <c r="F209" s="88"/>
      <c r="G209" s="89"/>
      <c r="H209" s="11" t="str">
        <f>'Приложение 9'!H99</f>
        <v>Основное мероприятие «Внедрение и (или) эксплуатация аппаратно-программного комплекса "Безопасный город" для обеспечения общественного  порядка, предупреждения терроризма и экстремизма, борьбы с преступностью»</v>
      </c>
      <c r="I209" s="10">
        <f>'Приложение 9'!I99</f>
        <v>27</v>
      </c>
      <c r="J209" s="7">
        <f>'Приложение 9'!J99</f>
        <v>3</v>
      </c>
      <c r="K209" s="7">
        <f>'Приложение 9'!K99</f>
        <v>14</v>
      </c>
      <c r="L209" s="95" t="str">
        <f>'Приложение 9'!L99</f>
        <v>13</v>
      </c>
      <c r="M209" s="96" t="str">
        <f>'Приложение 9'!M99</f>
        <v>2</v>
      </c>
      <c r="N209" s="96" t="str">
        <f>'Приложение 9'!N99</f>
        <v>04</v>
      </c>
      <c r="O209" s="96" t="str">
        <f>'Приложение 9'!O99</f>
        <v>00000</v>
      </c>
      <c r="P209" s="6" t="s">
        <v>614</v>
      </c>
      <c r="Q209" s="216">
        <f>Q210</f>
        <v>136</v>
      </c>
      <c r="R209" s="216"/>
      <c r="S209" s="216"/>
    </row>
    <row r="210" spans="1:19" ht="28.5" customHeight="1">
      <c r="A210" s="88"/>
      <c r="B210" s="88"/>
      <c r="C210" s="88"/>
      <c r="D210" s="88"/>
      <c r="E210" s="88"/>
      <c r="F210" s="88"/>
      <c r="G210" s="89"/>
      <c r="H210" s="11" t="str">
        <f>'Приложение 9'!H100</f>
        <v>Внедрение и (или) эксплуатация аппаратно-программного комплекса "Безопасный город"</v>
      </c>
      <c r="I210" s="10">
        <f>'Приложение 9'!I100</f>
        <v>27</v>
      </c>
      <c r="J210" s="7">
        <f>'Приложение 9'!J100</f>
        <v>3</v>
      </c>
      <c r="K210" s="7">
        <f>'Приложение 9'!K100</f>
        <v>14</v>
      </c>
      <c r="L210" s="95">
        <f>'Приложение 9'!L100</f>
        <v>13</v>
      </c>
      <c r="M210" s="96" t="str">
        <f>'Приложение 9'!M100</f>
        <v>2</v>
      </c>
      <c r="N210" s="96" t="str">
        <f>'Приложение 9'!N100</f>
        <v>04</v>
      </c>
      <c r="O210" s="96" t="str">
        <f>'Приложение 9'!O100</f>
        <v>S1060</v>
      </c>
      <c r="P210" s="6" t="s">
        <v>614</v>
      </c>
      <c r="Q210" s="216">
        <f>Q211</f>
        <v>136</v>
      </c>
      <c r="R210" s="216"/>
      <c r="S210" s="216"/>
    </row>
    <row r="211" spans="1:19" ht="22.5" customHeight="1">
      <c r="A211" s="88"/>
      <c r="B211" s="88"/>
      <c r="C211" s="88"/>
      <c r="D211" s="88"/>
      <c r="E211" s="88"/>
      <c r="F211" s="88"/>
      <c r="G211" s="89"/>
      <c r="H211" s="11" t="str">
        <f>'Приложение 9'!H101</f>
        <v>Иные закупки товаров, работ и услуг для обеспечения государственных (муниципальных) нужд</v>
      </c>
      <c r="I211" s="10">
        <f>'Приложение 9'!I101</f>
        <v>27</v>
      </c>
      <c r="J211" s="7">
        <f>'Приложение 9'!J101</f>
        <v>3</v>
      </c>
      <c r="K211" s="7">
        <f>'Приложение 9'!K101</f>
        <v>14</v>
      </c>
      <c r="L211" s="95">
        <f>'Приложение 9'!L101</f>
        <v>13</v>
      </c>
      <c r="M211" s="96" t="str">
        <f>'Приложение 9'!M101</f>
        <v>2</v>
      </c>
      <c r="N211" s="96" t="str">
        <f>'Приложение 9'!N101</f>
        <v>04</v>
      </c>
      <c r="O211" s="96" t="str">
        <f>'Приложение 9'!O101</f>
        <v>S1060</v>
      </c>
      <c r="P211" s="6">
        <f>'Приложение 9'!P101</f>
        <v>240</v>
      </c>
      <c r="Q211" s="216">
        <f>'Приложение 9'!Q101</f>
        <v>136</v>
      </c>
      <c r="R211" s="216">
        <f aca="true" t="shared" si="9" ref="R211:S213">R212</f>
        <v>0</v>
      </c>
      <c r="S211" s="216">
        <f t="shared" si="9"/>
        <v>0</v>
      </c>
    </row>
    <row r="212" spans="1:19" ht="24" customHeight="1">
      <c r="A212" s="88"/>
      <c r="B212" s="88"/>
      <c r="C212" s="88"/>
      <c r="D212" s="88"/>
      <c r="E212" s="88"/>
      <c r="F212" s="88"/>
      <c r="G212" s="89"/>
      <c r="H212" s="11" t="str">
        <f>'Приложение 9'!H102</f>
        <v>Основное мероприятие "Правовое информирование граждан"</v>
      </c>
      <c r="I212" s="10">
        <f>'Приложение 9'!I102</f>
        <v>27</v>
      </c>
      <c r="J212" s="7">
        <f>'Приложение 9'!J102</f>
        <v>3</v>
      </c>
      <c r="K212" s="7">
        <f>'Приложение 9'!K102</f>
        <v>14</v>
      </c>
      <c r="L212" s="95">
        <f>'Приложение 9'!L102</f>
        <v>13</v>
      </c>
      <c r="M212" s="96" t="str">
        <f>'Приложение 9'!M102</f>
        <v>2</v>
      </c>
      <c r="N212" s="96" t="str">
        <f>'Приложение 9'!N102</f>
        <v>07</v>
      </c>
      <c r="O212" s="96" t="str">
        <f>'Приложение 9'!O102</f>
        <v>00000</v>
      </c>
      <c r="P212" s="6" t="s">
        <v>614</v>
      </c>
      <c r="Q212" s="216">
        <f>Q213</f>
        <v>10</v>
      </c>
      <c r="R212" s="216">
        <f t="shared" si="9"/>
        <v>0</v>
      </c>
      <c r="S212" s="216">
        <f t="shared" si="9"/>
        <v>0</v>
      </c>
    </row>
    <row r="213" spans="1:19" ht="22.5" customHeight="1">
      <c r="A213" s="88"/>
      <c r="B213" s="88"/>
      <c r="C213" s="88"/>
      <c r="D213" s="88"/>
      <c r="E213" s="88"/>
      <c r="F213" s="88"/>
      <c r="G213" s="89"/>
      <c r="H213" s="34" t="str">
        <f>'Приложение 9'!H103</f>
        <v>Мероприятия, направленные на правовое информирование граждан</v>
      </c>
      <c r="I213" s="10">
        <f>'Приложение 9'!I103</f>
        <v>27</v>
      </c>
      <c r="J213" s="7">
        <f>'Приложение 9'!J103</f>
        <v>3</v>
      </c>
      <c r="K213" s="7">
        <f>'Приложение 9'!K103</f>
        <v>14</v>
      </c>
      <c r="L213" s="16">
        <f>'Приложение 9'!L103</f>
        <v>13</v>
      </c>
      <c r="M213" s="96" t="str">
        <f>'Приложение 9'!M103</f>
        <v>2</v>
      </c>
      <c r="N213" s="96" t="str">
        <f>'Приложение 9'!N103</f>
        <v>07</v>
      </c>
      <c r="O213" s="96" t="str">
        <f>'Приложение 9'!O103</f>
        <v>20450</v>
      </c>
      <c r="P213" s="6" t="s">
        <v>614</v>
      </c>
      <c r="Q213" s="216">
        <f>Q214</f>
        <v>10</v>
      </c>
      <c r="R213" s="216">
        <f t="shared" si="9"/>
        <v>0</v>
      </c>
      <c r="S213" s="216">
        <f t="shared" si="9"/>
        <v>0</v>
      </c>
    </row>
    <row r="214" spans="1:19" ht="22.5" customHeight="1">
      <c r="A214" s="88"/>
      <c r="B214" s="88"/>
      <c r="C214" s="88"/>
      <c r="D214" s="88"/>
      <c r="E214" s="88"/>
      <c r="F214" s="88"/>
      <c r="G214" s="89"/>
      <c r="H214" s="34" t="str">
        <f>'Приложение 9'!H104</f>
        <v>Иные закупки товаров, работ и услуг для обеспечения государственных (муниципальных) нужд</v>
      </c>
      <c r="I214" s="6">
        <f>'Приложение 9'!I104</f>
        <v>27</v>
      </c>
      <c r="J214" s="7">
        <f>'Приложение 9'!J104</f>
        <v>3</v>
      </c>
      <c r="K214" s="7">
        <f>'Приложение 9'!K104</f>
        <v>14</v>
      </c>
      <c r="L214" s="16">
        <f>'Приложение 9'!L104</f>
        <v>13</v>
      </c>
      <c r="M214" s="96" t="str">
        <f>'Приложение 9'!M104</f>
        <v>2</v>
      </c>
      <c r="N214" s="96" t="str">
        <f>'Приложение 9'!N104</f>
        <v>07</v>
      </c>
      <c r="O214" s="96" t="str">
        <f>'Приложение 9'!O104</f>
        <v>20450</v>
      </c>
      <c r="P214" s="6">
        <f>'Приложение 9'!P104</f>
        <v>240</v>
      </c>
      <c r="Q214" s="216">
        <f>'Приложение 9'!Q104</f>
        <v>10</v>
      </c>
      <c r="R214" s="216"/>
      <c r="S214" s="216"/>
    </row>
    <row r="215" spans="1:19" s="179" customFormat="1" ht="23.25" customHeight="1">
      <c r="A215" s="135"/>
      <c r="B215" s="135"/>
      <c r="C215" s="135"/>
      <c r="D215" s="135"/>
      <c r="E215" s="135"/>
      <c r="F215" s="135"/>
      <c r="G215" s="136"/>
      <c r="H215" s="137" t="s">
        <v>540</v>
      </c>
      <c r="I215" s="146">
        <v>27</v>
      </c>
      <c r="J215" s="148">
        <v>4</v>
      </c>
      <c r="K215" s="148"/>
      <c r="L215" s="140"/>
      <c r="M215" s="141"/>
      <c r="N215" s="141"/>
      <c r="O215" s="141"/>
      <c r="P215" s="146"/>
      <c r="Q215" s="217">
        <f>Q216+Q222+Q263</f>
        <v>71738.3</v>
      </c>
      <c r="R215" s="217" t="e">
        <f>R216+R222+R263</f>
        <v>#REF!</v>
      </c>
      <c r="S215" s="217" t="e">
        <f>S216+S222+S263</f>
        <v>#REF!</v>
      </c>
    </row>
    <row r="216" spans="1:19" s="179" customFormat="1" ht="26.25" customHeight="1">
      <c r="A216" s="142"/>
      <c r="B216" s="143"/>
      <c r="C216" s="153"/>
      <c r="D216" s="235"/>
      <c r="E216" s="166"/>
      <c r="F216" s="166"/>
      <c r="G216" s="136"/>
      <c r="H216" s="311" t="s">
        <v>345</v>
      </c>
      <c r="I216" s="152">
        <v>27</v>
      </c>
      <c r="J216" s="148">
        <v>4</v>
      </c>
      <c r="K216" s="148">
        <v>8</v>
      </c>
      <c r="L216" s="140"/>
      <c r="M216" s="141"/>
      <c r="N216" s="141"/>
      <c r="O216" s="141"/>
      <c r="P216" s="138"/>
      <c r="Q216" s="213">
        <f aca="true" t="shared" si="10" ref="Q216:S218">Q217</f>
        <v>1751</v>
      </c>
      <c r="R216" s="213">
        <f t="shared" si="10"/>
        <v>600</v>
      </c>
      <c r="S216" s="213">
        <f t="shared" si="10"/>
        <v>600</v>
      </c>
    </row>
    <row r="217" spans="1:19" s="179" customFormat="1" ht="26.25" customHeight="1">
      <c r="A217" s="142"/>
      <c r="B217" s="143"/>
      <c r="C217" s="153"/>
      <c r="D217" s="235"/>
      <c r="E217" s="166"/>
      <c r="F217" s="166"/>
      <c r="G217" s="136"/>
      <c r="H217" s="11" t="s">
        <v>292</v>
      </c>
      <c r="I217" s="6">
        <v>27</v>
      </c>
      <c r="J217" s="7">
        <v>4</v>
      </c>
      <c r="K217" s="7">
        <v>8</v>
      </c>
      <c r="L217" s="95" t="s">
        <v>573</v>
      </c>
      <c r="M217" s="96" t="s">
        <v>556</v>
      </c>
      <c r="N217" s="96" t="s">
        <v>576</v>
      </c>
      <c r="O217" s="96" t="s">
        <v>613</v>
      </c>
      <c r="P217" s="138"/>
      <c r="Q217" s="213">
        <f>Q218+Q220</f>
        <v>1751</v>
      </c>
      <c r="R217" s="213">
        <f t="shared" si="10"/>
        <v>600</v>
      </c>
      <c r="S217" s="213">
        <f t="shared" si="10"/>
        <v>600</v>
      </c>
    </row>
    <row r="218" spans="1:19" ht="26.25" customHeight="1">
      <c r="A218" s="99"/>
      <c r="B218" s="98"/>
      <c r="C218" s="103"/>
      <c r="D218" s="111"/>
      <c r="E218" s="114"/>
      <c r="F218" s="114"/>
      <c r="G218" s="89"/>
      <c r="H218" s="30" t="s">
        <v>738</v>
      </c>
      <c r="I218" s="8">
        <v>27</v>
      </c>
      <c r="J218" s="7">
        <v>4</v>
      </c>
      <c r="K218" s="7">
        <v>8</v>
      </c>
      <c r="L218" s="95" t="s">
        <v>573</v>
      </c>
      <c r="M218" s="96" t="s">
        <v>556</v>
      </c>
      <c r="N218" s="96" t="s">
        <v>576</v>
      </c>
      <c r="O218" s="96" t="s">
        <v>719</v>
      </c>
      <c r="P218" s="10"/>
      <c r="Q218" s="214">
        <f t="shared" si="10"/>
        <v>216.5</v>
      </c>
      <c r="R218" s="214">
        <f t="shared" si="10"/>
        <v>600</v>
      </c>
      <c r="S218" s="214">
        <f t="shared" si="10"/>
        <v>600</v>
      </c>
    </row>
    <row r="219" spans="1:19" ht="28.5" customHeight="1">
      <c r="A219" s="99"/>
      <c r="B219" s="98"/>
      <c r="C219" s="103"/>
      <c r="D219" s="111"/>
      <c r="E219" s="114"/>
      <c r="F219" s="114"/>
      <c r="G219" s="89"/>
      <c r="H219" s="30" t="s">
        <v>712</v>
      </c>
      <c r="I219" s="8">
        <v>27</v>
      </c>
      <c r="J219" s="7">
        <v>4</v>
      </c>
      <c r="K219" s="7">
        <v>8</v>
      </c>
      <c r="L219" s="95" t="s">
        <v>573</v>
      </c>
      <c r="M219" s="96" t="s">
        <v>556</v>
      </c>
      <c r="N219" s="96" t="s">
        <v>576</v>
      </c>
      <c r="O219" s="96" t="s">
        <v>719</v>
      </c>
      <c r="P219" s="10">
        <v>240</v>
      </c>
      <c r="Q219" s="214">
        <f>'Приложение 9'!Q109</f>
        <v>216.5</v>
      </c>
      <c r="R219" s="216">
        <v>600</v>
      </c>
      <c r="S219" s="216">
        <v>600</v>
      </c>
    </row>
    <row r="220" spans="1:19" ht="28.5" customHeight="1">
      <c r="A220" s="99"/>
      <c r="B220" s="98"/>
      <c r="C220" s="103"/>
      <c r="D220" s="111"/>
      <c r="E220" s="114"/>
      <c r="F220" s="114"/>
      <c r="G220" s="89"/>
      <c r="H220" s="30" t="str">
        <f>'Приложение 9'!H110</f>
        <v>Организация транспортного обслуживания населения на муниципальных маршрутах регулярных перевозок по регулируемым тарифам</v>
      </c>
      <c r="I220" s="8">
        <f>'Приложение 9'!I110</f>
        <v>27</v>
      </c>
      <c r="J220" s="7">
        <f>'Приложение 9'!J110</f>
        <v>4</v>
      </c>
      <c r="K220" s="7">
        <f>'Приложение 9'!K110</f>
        <v>8</v>
      </c>
      <c r="L220" s="95" t="str">
        <f>'Приложение 9'!L110</f>
        <v>91</v>
      </c>
      <c r="M220" s="96" t="str">
        <f>'Приложение 9'!M110</f>
        <v>0</v>
      </c>
      <c r="N220" s="96" t="str">
        <f>'Приложение 9'!N110</f>
        <v>00</v>
      </c>
      <c r="O220" s="96" t="str">
        <f>'Приложение 9'!O110</f>
        <v>S1370</v>
      </c>
      <c r="P220" s="6" t="s">
        <v>614</v>
      </c>
      <c r="Q220" s="216">
        <f>Q221</f>
        <v>1534.5</v>
      </c>
      <c r="R220" s="216"/>
      <c r="S220" s="216"/>
    </row>
    <row r="221" spans="1:19" ht="28.5" customHeight="1">
      <c r="A221" s="99"/>
      <c r="B221" s="98"/>
      <c r="C221" s="103"/>
      <c r="D221" s="111"/>
      <c r="E221" s="114"/>
      <c r="F221" s="114"/>
      <c r="G221" s="89"/>
      <c r="H221" s="30" t="str">
        <f>'Приложение 9'!H111</f>
        <v>Иные закупки товаров, работ и услуг для обеспечения государственных (муниципальных) нужд</v>
      </c>
      <c r="I221" s="8">
        <f>'Приложение 9'!I111</f>
        <v>27</v>
      </c>
      <c r="J221" s="7">
        <f>'Приложение 9'!J111</f>
        <v>4</v>
      </c>
      <c r="K221" s="7">
        <f>'Приложение 9'!K111</f>
        <v>8</v>
      </c>
      <c r="L221" s="95" t="str">
        <f>'Приложение 9'!L111</f>
        <v>91</v>
      </c>
      <c r="M221" s="96" t="str">
        <f>'Приложение 9'!M111</f>
        <v>0</v>
      </c>
      <c r="N221" s="96" t="str">
        <f>'Приложение 9'!N111</f>
        <v>00</v>
      </c>
      <c r="O221" s="96" t="str">
        <f>'Приложение 9'!O111</f>
        <v>S1370</v>
      </c>
      <c r="P221" s="6">
        <f>'Приложение 9'!P111</f>
        <v>240</v>
      </c>
      <c r="Q221" s="216">
        <f>'Приложение 9'!Q111</f>
        <v>1534.5</v>
      </c>
      <c r="R221" s="216"/>
      <c r="S221" s="216"/>
    </row>
    <row r="222" spans="1:19" s="179" customFormat="1" ht="24.75" customHeight="1">
      <c r="A222" s="142"/>
      <c r="B222" s="143"/>
      <c r="C222" s="153"/>
      <c r="D222" s="150"/>
      <c r="E222" s="154"/>
      <c r="F222" s="154"/>
      <c r="G222" s="155">
        <v>321</v>
      </c>
      <c r="H222" s="149" t="s">
        <v>330</v>
      </c>
      <c r="I222" s="152">
        <v>27</v>
      </c>
      <c r="J222" s="148">
        <v>4</v>
      </c>
      <c r="K222" s="148">
        <v>9</v>
      </c>
      <c r="L222" s="140"/>
      <c r="M222" s="141"/>
      <c r="N222" s="141"/>
      <c r="O222" s="141"/>
      <c r="P222" s="146"/>
      <c r="Q222" s="217">
        <f>Q223</f>
        <v>63050.5</v>
      </c>
      <c r="R222" s="217" t="e">
        <f>R223</f>
        <v>#REF!</v>
      </c>
      <c r="S222" s="217" t="e">
        <f>S223</f>
        <v>#REF!</v>
      </c>
    </row>
    <row r="223" spans="1:19" ht="35.25" customHeight="1">
      <c r="A223" s="99"/>
      <c r="B223" s="98"/>
      <c r="C223" s="103"/>
      <c r="D223" s="101"/>
      <c r="E223" s="113"/>
      <c r="F223" s="113"/>
      <c r="G223" s="105">
        <v>530</v>
      </c>
      <c r="H223" s="5" t="s">
        <v>766</v>
      </c>
      <c r="I223" s="10">
        <v>27</v>
      </c>
      <c r="J223" s="7">
        <v>4</v>
      </c>
      <c r="K223" s="7">
        <v>9</v>
      </c>
      <c r="L223" s="95" t="s">
        <v>581</v>
      </c>
      <c r="M223" s="96" t="s">
        <v>556</v>
      </c>
      <c r="N223" s="96" t="s">
        <v>576</v>
      </c>
      <c r="O223" s="96" t="s">
        <v>613</v>
      </c>
      <c r="P223" s="6"/>
      <c r="Q223" s="216">
        <f>Q224+Q228+Q231+Q241+Q245+Q238+Q248+Q251+Q254+Q257+Q260</f>
        <v>63050.5</v>
      </c>
      <c r="R223" s="216" t="e">
        <f>R224+R228+R231+R241+R245+R238</f>
        <v>#REF!</v>
      </c>
      <c r="S223" s="216" t="e">
        <f>S224+S228+S231+S241+S245+S238</f>
        <v>#REF!</v>
      </c>
    </row>
    <row r="224" spans="1:19" ht="29.25" customHeight="1">
      <c r="A224" s="99"/>
      <c r="B224" s="98"/>
      <c r="C224" s="103"/>
      <c r="D224" s="101"/>
      <c r="E224" s="113"/>
      <c r="F224" s="113"/>
      <c r="G224" s="105"/>
      <c r="H224" s="11" t="s">
        <v>654</v>
      </c>
      <c r="I224" s="10">
        <v>27</v>
      </c>
      <c r="J224" s="7">
        <v>4</v>
      </c>
      <c r="K224" s="7">
        <v>9</v>
      </c>
      <c r="L224" s="95" t="s">
        <v>581</v>
      </c>
      <c r="M224" s="96" t="s">
        <v>556</v>
      </c>
      <c r="N224" s="96" t="s">
        <v>557</v>
      </c>
      <c r="O224" s="96" t="s">
        <v>613</v>
      </c>
      <c r="P224" s="6"/>
      <c r="Q224" s="216">
        <f>Q225</f>
        <v>44526.2</v>
      </c>
      <c r="R224" s="216">
        <f>R225</f>
        <v>1428</v>
      </c>
      <c r="S224" s="216">
        <f>S225</f>
        <v>1428</v>
      </c>
    </row>
    <row r="225" spans="1:19" ht="35.25" customHeight="1">
      <c r="A225" s="99"/>
      <c r="B225" s="98"/>
      <c r="C225" s="103"/>
      <c r="D225" s="101"/>
      <c r="E225" s="113"/>
      <c r="F225" s="113"/>
      <c r="G225" s="105"/>
      <c r="H225" s="11" t="s">
        <v>732</v>
      </c>
      <c r="I225" s="10">
        <v>27</v>
      </c>
      <c r="J225" s="7">
        <v>4</v>
      </c>
      <c r="K225" s="7">
        <v>9</v>
      </c>
      <c r="L225" s="95" t="s">
        <v>581</v>
      </c>
      <c r="M225" s="96" t="s">
        <v>556</v>
      </c>
      <c r="N225" s="96" t="s">
        <v>557</v>
      </c>
      <c r="O225" s="96" t="s">
        <v>342</v>
      </c>
      <c r="P225" s="6"/>
      <c r="Q225" s="216">
        <f>Q226+Q227</f>
        <v>44526.2</v>
      </c>
      <c r="R225" s="216">
        <f>R226+R227</f>
        <v>1428</v>
      </c>
      <c r="S225" s="216">
        <f>S226+S227</f>
        <v>1428</v>
      </c>
    </row>
    <row r="226" spans="1:19" ht="26.25" customHeight="1" hidden="1">
      <c r="A226" s="99"/>
      <c r="B226" s="98"/>
      <c r="C226" s="103"/>
      <c r="D226" s="101"/>
      <c r="E226" s="113"/>
      <c r="F226" s="113"/>
      <c r="G226" s="105"/>
      <c r="H226" s="30" t="s">
        <v>712</v>
      </c>
      <c r="I226" s="10">
        <v>27</v>
      </c>
      <c r="J226" s="7">
        <v>4</v>
      </c>
      <c r="K226" s="7">
        <v>9</v>
      </c>
      <c r="L226" s="95" t="s">
        <v>581</v>
      </c>
      <c r="M226" s="96" t="s">
        <v>556</v>
      </c>
      <c r="N226" s="96" t="s">
        <v>557</v>
      </c>
      <c r="O226" s="96" t="s">
        <v>342</v>
      </c>
      <c r="P226" s="6">
        <v>240</v>
      </c>
      <c r="Q226" s="216">
        <v>0</v>
      </c>
      <c r="R226" s="216">
        <v>1428</v>
      </c>
      <c r="S226" s="216">
        <v>1428</v>
      </c>
    </row>
    <row r="227" spans="1:19" ht="26.25" customHeight="1">
      <c r="A227" s="99"/>
      <c r="B227" s="98"/>
      <c r="C227" s="103"/>
      <c r="D227" s="101"/>
      <c r="E227" s="113"/>
      <c r="F227" s="113"/>
      <c r="G227" s="105"/>
      <c r="H227" s="11" t="s">
        <v>640</v>
      </c>
      <c r="I227" s="10">
        <v>27</v>
      </c>
      <c r="J227" s="7">
        <v>4</v>
      </c>
      <c r="K227" s="7">
        <v>9</v>
      </c>
      <c r="L227" s="95" t="s">
        <v>581</v>
      </c>
      <c r="M227" s="96" t="s">
        <v>556</v>
      </c>
      <c r="N227" s="96" t="s">
        <v>557</v>
      </c>
      <c r="O227" s="96" t="s">
        <v>342</v>
      </c>
      <c r="P227" s="6">
        <v>540</v>
      </c>
      <c r="Q227" s="216">
        <f>'Приложение 9'!Q117</f>
        <v>44526.2</v>
      </c>
      <c r="R227" s="216"/>
      <c r="S227" s="216"/>
    </row>
    <row r="228" spans="1:19" ht="25.5" customHeight="1">
      <c r="A228" s="99"/>
      <c r="B228" s="98"/>
      <c r="C228" s="103"/>
      <c r="D228" s="101"/>
      <c r="E228" s="113"/>
      <c r="F228" s="113"/>
      <c r="G228" s="105"/>
      <c r="H228" s="11" t="s">
        <v>815</v>
      </c>
      <c r="I228" s="10">
        <v>27</v>
      </c>
      <c r="J228" s="7">
        <v>4</v>
      </c>
      <c r="K228" s="7">
        <v>9</v>
      </c>
      <c r="L228" s="95" t="s">
        <v>581</v>
      </c>
      <c r="M228" s="96" t="s">
        <v>556</v>
      </c>
      <c r="N228" s="96" t="s">
        <v>585</v>
      </c>
      <c r="O228" s="96" t="s">
        <v>613</v>
      </c>
      <c r="P228" s="6"/>
      <c r="Q228" s="216">
        <f aca="true" t="shared" si="11" ref="Q228:S229">Q229</f>
        <v>443.9</v>
      </c>
      <c r="R228" s="216">
        <f t="shared" si="11"/>
        <v>0</v>
      </c>
      <c r="S228" s="216">
        <f t="shared" si="11"/>
        <v>0</v>
      </c>
    </row>
    <row r="229" spans="1:19" ht="24.75" customHeight="1">
      <c r="A229" s="99"/>
      <c r="B229" s="98"/>
      <c r="C229" s="103"/>
      <c r="D229" s="101"/>
      <c r="E229" s="113"/>
      <c r="F229" s="113"/>
      <c r="G229" s="105">
        <v>611</v>
      </c>
      <c r="H229" s="11" t="s">
        <v>754</v>
      </c>
      <c r="I229" s="10">
        <v>27</v>
      </c>
      <c r="J229" s="7">
        <v>4</v>
      </c>
      <c r="K229" s="7">
        <v>9</v>
      </c>
      <c r="L229" s="95" t="s">
        <v>581</v>
      </c>
      <c r="M229" s="96" t="s">
        <v>556</v>
      </c>
      <c r="N229" s="96" t="s">
        <v>585</v>
      </c>
      <c r="O229" s="96" t="s">
        <v>753</v>
      </c>
      <c r="P229" s="6"/>
      <c r="Q229" s="216">
        <f t="shared" si="11"/>
        <v>443.9</v>
      </c>
      <c r="R229" s="216">
        <f t="shared" si="11"/>
        <v>0</v>
      </c>
      <c r="S229" s="216">
        <f t="shared" si="11"/>
        <v>0</v>
      </c>
    </row>
    <row r="230" spans="1:19" ht="27.75" customHeight="1">
      <c r="A230" s="99"/>
      <c r="B230" s="98"/>
      <c r="C230" s="103"/>
      <c r="D230" s="101"/>
      <c r="E230" s="104"/>
      <c r="F230" s="104"/>
      <c r="G230" s="105"/>
      <c r="H230" s="11" t="s">
        <v>640</v>
      </c>
      <c r="I230" s="13">
        <v>27</v>
      </c>
      <c r="J230" s="7">
        <v>4</v>
      </c>
      <c r="K230" s="7">
        <v>9</v>
      </c>
      <c r="L230" s="95" t="s">
        <v>581</v>
      </c>
      <c r="M230" s="96" t="s">
        <v>556</v>
      </c>
      <c r="N230" s="96" t="s">
        <v>585</v>
      </c>
      <c r="O230" s="96" t="s">
        <v>753</v>
      </c>
      <c r="P230" s="6">
        <v>540</v>
      </c>
      <c r="Q230" s="214">
        <v>443.9</v>
      </c>
      <c r="R230" s="214"/>
      <c r="S230" s="214"/>
    </row>
    <row r="231" spans="1:19" ht="24.75" customHeight="1">
      <c r="A231" s="99"/>
      <c r="B231" s="98"/>
      <c r="C231" s="103"/>
      <c r="D231" s="101"/>
      <c r="E231" s="104"/>
      <c r="F231" s="104"/>
      <c r="G231" s="105"/>
      <c r="H231" s="5" t="s">
        <v>855</v>
      </c>
      <c r="I231" s="13">
        <v>27</v>
      </c>
      <c r="J231" s="7">
        <v>4</v>
      </c>
      <c r="K231" s="7">
        <v>9</v>
      </c>
      <c r="L231" s="95" t="s">
        <v>581</v>
      </c>
      <c r="M231" s="96" t="s">
        <v>556</v>
      </c>
      <c r="N231" s="96" t="s">
        <v>586</v>
      </c>
      <c r="O231" s="96" t="s">
        <v>613</v>
      </c>
      <c r="P231" s="6"/>
      <c r="Q231" s="216">
        <f>Q232+Q235</f>
        <v>7882.200000000001</v>
      </c>
      <c r="R231" s="216">
        <f>R232</f>
        <v>10491</v>
      </c>
      <c r="S231" s="216">
        <f>S232</f>
        <v>10916</v>
      </c>
    </row>
    <row r="232" spans="1:19" ht="24.75" customHeight="1">
      <c r="A232" s="99"/>
      <c r="B232" s="98"/>
      <c r="C232" s="103"/>
      <c r="D232" s="101"/>
      <c r="E232" s="104"/>
      <c r="F232" s="104"/>
      <c r="G232" s="105"/>
      <c r="H232" s="5" t="s">
        <v>754</v>
      </c>
      <c r="I232" s="13">
        <v>27</v>
      </c>
      <c r="J232" s="7">
        <v>4</v>
      </c>
      <c r="K232" s="7">
        <v>9</v>
      </c>
      <c r="L232" s="95" t="s">
        <v>581</v>
      </c>
      <c r="M232" s="96" t="s">
        <v>556</v>
      </c>
      <c r="N232" s="96" t="s">
        <v>586</v>
      </c>
      <c r="O232" s="96" t="s">
        <v>753</v>
      </c>
      <c r="P232" s="6"/>
      <c r="Q232" s="216">
        <f>Q233+Q234</f>
        <v>5988.500000000001</v>
      </c>
      <c r="R232" s="216">
        <f>R233</f>
        <v>10491</v>
      </c>
      <c r="S232" s="216">
        <f>S233</f>
        <v>10916</v>
      </c>
    </row>
    <row r="233" spans="1:19" ht="24.75" customHeight="1">
      <c r="A233" s="99"/>
      <c r="B233" s="98"/>
      <c r="C233" s="103"/>
      <c r="D233" s="101"/>
      <c r="E233" s="104"/>
      <c r="F233" s="104"/>
      <c r="G233" s="105"/>
      <c r="H233" s="5" t="s">
        <v>712</v>
      </c>
      <c r="I233" s="13">
        <v>27</v>
      </c>
      <c r="J233" s="7">
        <v>4</v>
      </c>
      <c r="K233" s="7">
        <v>9</v>
      </c>
      <c r="L233" s="95" t="s">
        <v>581</v>
      </c>
      <c r="M233" s="96" t="s">
        <v>556</v>
      </c>
      <c r="N233" s="96" t="s">
        <v>586</v>
      </c>
      <c r="O233" s="96" t="s">
        <v>753</v>
      </c>
      <c r="P233" s="6">
        <v>240</v>
      </c>
      <c r="Q233" s="216">
        <f>'Приложение 9'!Q123</f>
        <v>5524.100000000001</v>
      </c>
      <c r="R233" s="216">
        <v>10491</v>
      </c>
      <c r="S233" s="216">
        <v>10916</v>
      </c>
    </row>
    <row r="234" spans="1:19" ht="24.75" customHeight="1">
      <c r="A234" s="99"/>
      <c r="B234" s="98"/>
      <c r="C234" s="97"/>
      <c r="D234" s="107"/>
      <c r="E234" s="104"/>
      <c r="F234" s="104"/>
      <c r="G234" s="89"/>
      <c r="H234" s="5" t="str">
        <f>'Приложение 9'!H124</f>
        <v>Иные межбюджетные трансферты</v>
      </c>
      <c r="I234" s="13">
        <f>'Приложение 9'!I124</f>
        <v>27</v>
      </c>
      <c r="J234" s="7">
        <f>'Приложение 9'!J124</f>
        <v>4</v>
      </c>
      <c r="K234" s="7">
        <f>'Приложение 9'!K124</f>
        <v>9</v>
      </c>
      <c r="L234" s="95" t="str">
        <f>'Приложение 9'!L124</f>
        <v>04</v>
      </c>
      <c r="M234" s="96" t="str">
        <f>'Приложение 9'!M124</f>
        <v>0</v>
      </c>
      <c r="N234" s="96" t="str">
        <f>'Приложение 9'!N124</f>
        <v>03</v>
      </c>
      <c r="O234" s="96" t="str">
        <f>'Приложение 9'!O124</f>
        <v>20300</v>
      </c>
      <c r="P234" s="23">
        <f>'Приложение 9'!P124</f>
        <v>540</v>
      </c>
      <c r="Q234" s="214">
        <f>'Приложение 9'!Q124</f>
        <v>464.4</v>
      </c>
      <c r="R234" s="322"/>
      <c r="S234" s="322"/>
    </row>
    <row r="235" spans="1:19" ht="24.75" customHeight="1">
      <c r="A235" s="99"/>
      <c r="B235" s="98"/>
      <c r="C235" s="97"/>
      <c r="D235" s="107"/>
      <c r="E235" s="104"/>
      <c r="F235" s="104"/>
      <c r="G235" s="89"/>
      <c r="H235" s="5" t="str">
        <f>'Приложение 9'!H125</f>
        <v>Осуществление дорожной деятельности в отношении автомобильных дорог общего пользования местного значения</v>
      </c>
      <c r="I235" s="13">
        <f>'Приложение 9'!I125</f>
        <v>27</v>
      </c>
      <c r="J235" s="7">
        <f>'Приложение 9'!J125</f>
        <v>4</v>
      </c>
      <c r="K235" s="7">
        <f>'Приложение 9'!K125</f>
        <v>9</v>
      </c>
      <c r="L235" s="95" t="str">
        <f>'Приложение 9'!L125</f>
        <v>04</v>
      </c>
      <c r="M235" s="96" t="str">
        <f>'Приложение 9'!M125</f>
        <v>0</v>
      </c>
      <c r="N235" s="96" t="str">
        <f>'Приложение 9'!N125</f>
        <v>03</v>
      </c>
      <c r="O235" s="96" t="str">
        <f>'Приложение 9'!O125</f>
        <v>S1350</v>
      </c>
      <c r="P235" s="23" t="s">
        <v>614</v>
      </c>
      <c r="Q235" s="214">
        <f>Q236+Q237</f>
        <v>1893.6999999999998</v>
      </c>
      <c r="R235" s="322"/>
      <c r="S235" s="322"/>
    </row>
    <row r="236" spans="1:19" ht="24.75" customHeight="1">
      <c r="A236" s="99"/>
      <c r="B236" s="98"/>
      <c r="C236" s="97"/>
      <c r="D236" s="107"/>
      <c r="E236" s="104"/>
      <c r="F236" s="104"/>
      <c r="G236" s="89"/>
      <c r="H236" s="5" t="str">
        <f>'Приложение 9'!H126</f>
        <v>Иные закупки товаров, работ и услуг для обеспечения государственных (муниципальных) нужд</v>
      </c>
      <c r="I236" s="13">
        <f>'Приложение 9'!I126</f>
        <v>27</v>
      </c>
      <c r="J236" s="7">
        <f>'Приложение 9'!J126</f>
        <v>4</v>
      </c>
      <c r="K236" s="7">
        <f>'Приложение 9'!K126</f>
        <v>9</v>
      </c>
      <c r="L236" s="95" t="str">
        <f>'Приложение 9'!L126</f>
        <v>04</v>
      </c>
      <c r="M236" s="96" t="str">
        <f>'Приложение 9'!M126</f>
        <v>0</v>
      </c>
      <c r="N236" s="96" t="str">
        <f>'Приложение 9'!N126</f>
        <v>03</v>
      </c>
      <c r="O236" s="96" t="str">
        <f>'Приложение 9'!O126</f>
        <v>S1350</v>
      </c>
      <c r="P236" s="23">
        <f>'Приложение 9'!P126</f>
        <v>240</v>
      </c>
      <c r="Q236" s="214">
        <f>'Приложение 9'!Q126</f>
        <v>1428.1</v>
      </c>
      <c r="R236" s="322"/>
      <c r="S236" s="322"/>
    </row>
    <row r="237" spans="1:19" ht="24.75" customHeight="1">
      <c r="A237" s="99"/>
      <c r="B237" s="98"/>
      <c r="C237" s="97"/>
      <c r="D237" s="107"/>
      <c r="E237" s="104"/>
      <c r="F237" s="104"/>
      <c r="G237" s="89"/>
      <c r="H237" s="5" t="str">
        <f>'Приложение 9'!H127</f>
        <v>Иные межбюджетные трансферты</v>
      </c>
      <c r="I237" s="13">
        <f>'Приложение 9'!I127</f>
        <v>27</v>
      </c>
      <c r="J237" s="7">
        <f>'Приложение 9'!J127</f>
        <v>4</v>
      </c>
      <c r="K237" s="7">
        <f>'Приложение 9'!K127</f>
        <v>9</v>
      </c>
      <c r="L237" s="95" t="str">
        <f>'Приложение 9'!L127</f>
        <v>04</v>
      </c>
      <c r="M237" s="96" t="str">
        <f>'Приложение 9'!M127</f>
        <v>0</v>
      </c>
      <c r="N237" s="96" t="str">
        <f>'Приложение 9'!N127</f>
        <v>03</v>
      </c>
      <c r="O237" s="96" t="str">
        <f>'Приложение 9'!O127</f>
        <v>S1350</v>
      </c>
      <c r="P237" s="23">
        <f>'Приложение 9'!P127</f>
        <v>540</v>
      </c>
      <c r="Q237" s="219">
        <f>'Приложение 9'!Q127</f>
        <v>465.6</v>
      </c>
      <c r="R237" s="322"/>
      <c r="S237" s="322"/>
    </row>
    <row r="238" spans="1:19" ht="35.25" customHeight="1">
      <c r="A238" s="99"/>
      <c r="B238" s="98"/>
      <c r="C238" s="97"/>
      <c r="D238" s="94"/>
      <c r="E238" s="94"/>
      <c r="F238" s="94"/>
      <c r="G238" s="89"/>
      <c r="H238" s="5" t="s">
        <v>776</v>
      </c>
      <c r="I238" s="10">
        <v>664</v>
      </c>
      <c r="J238" s="7">
        <v>4</v>
      </c>
      <c r="K238" s="7">
        <v>9</v>
      </c>
      <c r="L238" s="95" t="s">
        <v>581</v>
      </c>
      <c r="M238" s="96" t="s">
        <v>556</v>
      </c>
      <c r="N238" s="96" t="s">
        <v>581</v>
      </c>
      <c r="O238" s="96" t="s">
        <v>613</v>
      </c>
      <c r="P238" s="23"/>
      <c r="Q238" s="219">
        <f aca="true" t="shared" si="12" ref="Q238:S239">Q239</f>
        <v>200</v>
      </c>
      <c r="R238" s="219">
        <f t="shared" si="12"/>
        <v>200</v>
      </c>
      <c r="S238" s="219">
        <f t="shared" si="12"/>
        <v>200</v>
      </c>
    </row>
    <row r="239" spans="1:19" ht="23.25" customHeight="1">
      <c r="A239" s="99"/>
      <c r="B239" s="98"/>
      <c r="C239" s="97"/>
      <c r="D239" s="94"/>
      <c r="E239" s="94"/>
      <c r="F239" s="94"/>
      <c r="G239" s="89"/>
      <c r="H239" s="5" t="s">
        <v>777</v>
      </c>
      <c r="I239" s="10">
        <v>664</v>
      </c>
      <c r="J239" s="7">
        <v>4</v>
      </c>
      <c r="K239" s="7">
        <v>9</v>
      </c>
      <c r="L239" s="95" t="s">
        <v>581</v>
      </c>
      <c r="M239" s="96" t="s">
        <v>556</v>
      </c>
      <c r="N239" s="96" t="s">
        <v>581</v>
      </c>
      <c r="O239" s="96" t="s">
        <v>753</v>
      </c>
      <c r="P239" s="23"/>
      <c r="Q239" s="219">
        <f t="shared" si="12"/>
        <v>200</v>
      </c>
      <c r="R239" s="219">
        <f t="shared" si="12"/>
        <v>200</v>
      </c>
      <c r="S239" s="219">
        <f t="shared" si="12"/>
        <v>200</v>
      </c>
    </row>
    <row r="240" spans="1:19" ht="20.25" customHeight="1">
      <c r="A240" s="99"/>
      <c r="B240" s="98"/>
      <c r="C240" s="97"/>
      <c r="D240" s="94"/>
      <c r="E240" s="94"/>
      <c r="F240" s="94"/>
      <c r="G240" s="89"/>
      <c r="H240" s="5" t="s">
        <v>765</v>
      </c>
      <c r="I240" s="10">
        <v>664</v>
      </c>
      <c r="J240" s="7">
        <v>4</v>
      </c>
      <c r="K240" s="7">
        <v>9</v>
      </c>
      <c r="L240" s="95" t="s">
        <v>581</v>
      </c>
      <c r="M240" s="96" t="s">
        <v>556</v>
      </c>
      <c r="N240" s="96" t="s">
        <v>581</v>
      </c>
      <c r="O240" s="96" t="s">
        <v>753</v>
      </c>
      <c r="P240" s="23">
        <v>240</v>
      </c>
      <c r="Q240" s="219">
        <v>200</v>
      </c>
      <c r="R240" s="219">
        <v>200</v>
      </c>
      <c r="S240" s="219">
        <v>200</v>
      </c>
    </row>
    <row r="241" spans="1:19" ht="38.25" customHeight="1">
      <c r="A241" s="99"/>
      <c r="B241" s="98"/>
      <c r="C241" s="103"/>
      <c r="D241" s="101"/>
      <c r="E241" s="104"/>
      <c r="F241" s="104"/>
      <c r="G241" s="105"/>
      <c r="H241" s="5" t="s">
        <v>161</v>
      </c>
      <c r="I241" s="13">
        <v>27</v>
      </c>
      <c r="J241" s="7">
        <v>4</v>
      </c>
      <c r="K241" s="7">
        <v>9</v>
      </c>
      <c r="L241" s="95" t="s">
        <v>581</v>
      </c>
      <c r="M241" s="96" t="s">
        <v>556</v>
      </c>
      <c r="N241" s="96" t="s">
        <v>559</v>
      </c>
      <c r="O241" s="96" t="s">
        <v>613</v>
      </c>
      <c r="P241" s="6"/>
      <c r="Q241" s="216">
        <f>Q242</f>
        <v>934.7</v>
      </c>
      <c r="R241" s="216" t="e">
        <f>R242</f>
        <v>#REF!</v>
      </c>
      <c r="S241" s="216" t="e">
        <f>S242</f>
        <v>#REF!</v>
      </c>
    </row>
    <row r="242" spans="1:19" ht="31.5" customHeight="1">
      <c r="A242" s="99"/>
      <c r="B242" s="98"/>
      <c r="C242" s="103"/>
      <c r="D242" s="101"/>
      <c r="E242" s="104"/>
      <c r="F242" s="104"/>
      <c r="G242" s="105"/>
      <c r="H242" s="5" t="s">
        <v>267</v>
      </c>
      <c r="I242" s="13">
        <v>27</v>
      </c>
      <c r="J242" s="7">
        <v>4</v>
      </c>
      <c r="K242" s="7">
        <v>9</v>
      </c>
      <c r="L242" s="95" t="s">
        <v>581</v>
      </c>
      <c r="M242" s="96" t="s">
        <v>556</v>
      </c>
      <c r="N242" s="96" t="s">
        <v>559</v>
      </c>
      <c r="O242" s="96" t="s">
        <v>266</v>
      </c>
      <c r="P242" s="6"/>
      <c r="Q242" s="216">
        <f>Q244+Q243</f>
        <v>934.7</v>
      </c>
      <c r="R242" s="216" t="e">
        <f>#REF!</f>
        <v>#REF!</v>
      </c>
      <c r="S242" s="216" t="e">
        <f>#REF!</f>
        <v>#REF!</v>
      </c>
    </row>
    <row r="243" spans="1:19" ht="31.5" customHeight="1" hidden="1">
      <c r="A243" s="99"/>
      <c r="B243" s="98"/>
      <c r="C243" s="103"/>
      <c r="D243" s="101"/>
      <c r="E243" s="104"/>
      <c r="F243" s="104"/>
      <c r="G243" s="105"/>
      <c r="H243" s="5" t="s">
        <v>765</v>
      </c>
      <c r="I243" s="13"/>
      <c r="J243" s="7">
        <v>4</v>
      </c>
      <c r="K243" s="7">
        <v>9</v>
      </c>
      <c r="L243" s="95" t="s">
        <v>581</v>
      </c>
      <c r="M243" s="96" t="s">
        <v>556</v>
      </c>
      <c r="N243" s="96" t="s">
        <v>559</v>
      </c>
      <c r="O243" s="96" t="s">
        <v>266</v>
      </c>
      <c r="P243" s="6">
        <v>240</v>
      </c>
      <c r="Q243" s="216">
        <f>'Приложение 9'!Q130</f>
        <v>0</v>
      </c>
      <c r="R243" s="216"/>
      <c r="S243" s="216"/>
    </row>
    <row r="244" spans="1:19" ht="22.5" customHeight="1">
      <c r="A244" s="99"/>
      <c r="B244" s="98"/>
      <c r="C244" s="103"/>
      <c r="D244" s="101"/>
      <c r="E244" s="104"/>
      <c r="F244" s="104"/>
      <c r="G244" s="105"/>
      <c r="H244" s="5" t="s">
        <v>640</v>
      </c>
      <c r="I244" s="13">
        <v>27</v>
      </c>
      <c r="J244" s="7">
        <v>4</v>
      </c>
      <c r="K244" s="7">
        <v>9</v>
      </c>
      <c r="L244" s="95" t="s">
        <v>581</v>
      </c>
      <c r="M244" s="96" t="s">
        <v>556</v>
      </c>
      <c r="N244" s="96" t="s">
        <v>559</v>
      </c>
      <c r="O244" s="96" t="s">
        <v>266</v>
      </c>
      <c r="P244" s="6">
        <v>540</v>
      </c>
      <c r="Q244" s="216">
        <f>'Приложение 9'!Q131</f>
        <v>934.7</v>
      </c>
      <c r="R244" s="216"/>
      <c r="S244" s="216"/>
    </row>
    <row r="245" spans="1:19" ht="33.75" customHeight="1">
      <c r="A245" s="99"/>
      <c r="B245" s="98"/>
      <c r="C245" s="103"/>
      <c r="D245" s="101"/>
      <c r="E245" s="104"/>
      <c r="F245" s="104"/>
      <c r="G245" s="105"/>
      <c r="H245" s="5" t="s">
        <v>775</v>
      </c>
      <c r="I245" s="13">
        <v>27</v>
      </c>
      <c r="J245" s="7">
        <v>4</v>
      </c>
      <c r="K245" s="7">
        <v>9</v>
      </c>
      <c r="L245" s="95" t="s">
        <v>581</v>
      </c>
      <c r="M245" s="96" t="s">
        <v>556</v>
      </c>
      <c r="N245" s="96" t="s">
        <v>588</v>
      </c>
      <c r="O245" s="96" t="s">
        <v>613</v>
      </c>
      <c r="P245" s="6"/>
      <c r="Q245" s="216">
        <f aca="true" t="shared" si="13" ref="Q245:S246">Q246</f>
        <v>2800</v>
      </c>
      <c r="R245" s="216">
        <f t="shared" si="13"/>
        <v>0</v>
      </c>
      <c r="S245" s="216">
        <f t="shared" si="13"/>
        <v>0</v>
      </c>
    </row>
    <row r="246" spans="1:19" ht="32.25" customHeight="1">
      <c r="A246" s="99"/>
      <c r="B246" s="98"/>
      <c r="C246" s="103"/>
      <c r="D246" s="101"/>
      <c r="E246" s="104"/>
      <c r="F246" s="104"/>
      <c r="G246" s="105"/>
      <c r="H246" s="5" t="s">
        <v>774</v>
      </c>
      <c r="I246" s="13">
        <v>27</v>
      </c>
      <c r="J246" s="7">
        <v>4</v>
      </c>
      <c r="K246" s="7">
        <v>9</v>
      </c>
      <c r="L246" s="95" t="s">
        <v>581</v>
      </c>
      <c r="M246" s="96" t="s">
        <v>556</v>
      </c>
      <c r="N246" s="96" t="s">
        <v>588</v>
      </c>
      <c r="O246" s="96" t="s">
        <v>248</v>
      </c>
      <c r="P246" s="6"/>
      <c r="Q246" s="216">
        <f t="shared" si="13"/>
        <v>2800</v>
      </c>
      <c r="R246" s="216">
        <f t="shared" si="13"/>
        <v>0</v>
      </c>
      <c r="S246" s="216">
        <f t="shared" si="13"/>
        <v>0</v>
      </c>
    </row>
    <row r="247" spans="1:19" ht="24.75" customHeight="1">
      <c r="A247" s="99"/>
      <c r="B247" s="98"/>
      <c r="C247" s="103"/>
      <c r="D247" s="101"/>
      <c r="E247" s="104"/>
      <c r="F247" s="104"/>
      <c r="G247" s="105"/>
      <c r="H247" s="5" t="s">
        <v>773</v>
      </c>
      <c r="I247" s="13">
        <v>27</v>
      </c>
      <c r="J247" s="7">
        <v>4</v>
      </c>
      <c r="K247" s="7">
        <v>9</v>
      </c>
      <c r="L247" s="95" t="s">
        <v>581</v>
      </c>
      <c r="M247" s="96" t="s">
        <v>556</v>
      </c>
      <c r="N247" s="96" t="s">
        <v>588</v>
      </c>
      <c r="O247" s="96" t="s">
        <v>248</v>
      </c>
      <c r="P247" s="6">
        <v>540</v>
      </c>
      <c r="Q247" s="216">
        <f>'Приложение 9'!Q134</f>
        <v>2800</v>
      </c>
      <c r="R247" s="216"/>
      <c r="S247" s="216"/>
    </row>
    <row r="248" spans="1:19" ht="24.75" customHeight="1">
      <c r="A248" s="99"/>
      <c r="B248" s="98"/>
      <c r="C248" s="103"/>
      <c r="D248" s="101"/>
      <c r="E248" s="104"/>
      <c r="F248" s="104"/>
      <c r="G248" s="105"/>
      <c r="H248" s="5" t="str">
        <f>'Приложение 9'!H135</f>
        <v>Основное мероприятие "Разработка комплексной схемы организации дорожного движения"</v>
      </c>
      <c r="I248" s="13">
        <f>'Приложение 9'!I135</f>
        <v>27</v>
      </c>
      <c r="J248" s="7">
        <f>'Приложение 9'!J135</f>
        <v>4</v>
      </c>
      <c r="K248" s="7">
        <f>'Приложение 9'!K135</f>
        <v>9</v>
      </c>
      <c r="L248" s="95" t="str">
        <f>'Приложение 9'!L135</f>
        <v>04</v>
      </c>
      <c r="M248" s="96" t="str">
        <f>'Приложение 9'!M135</f>
        <v>0</v>
      </c>
      <c r="N248" s="96" t="str">
        <f>'Приложение 9'!N135</f>
        <v>07</v>
      </c>
      <c r="O248" s="96" t="str">
        <f>'Приложение 9'!O135</f>
        <v>00000</v>
      </c>
      <c r="P248" s="6" t="s">
        <v>614</v>
      </c>
      <c r="Q248" s="216">
        <f>Q249</f>
        <v>210</v>
      </c>
      <c r="R248" s="216"/>
      <c r="S248" s="216"/>
    </row>
    <row r="249" spans="1:19" ht="24.75" customHeight="1">
      <c r="A249" s="99"/>
      <c r="B249" s="98"/>
      <c r="C249" s="103"/>
      <c r="D249" s="101"/>
      <c r="E249" s="104"/>
      <c r="F249" s="104"/>
      <c r="G249" s="105"/>
      <c r="H249" s="5" t="str">
        <f>'Приложение 9'!H136</f>
        <v>Мероприятия в сфере дорожного хозяйства</v>
      </c>
      <c r="I249" s="13">
        <f>'Приложение 9'!I136</f>
        <v>27</v>
      </c>
      <c r="J249" s="7">
        <f>'Приложение 9'!J136</f>
        <v>4</v>
      </c>
      <c r="K249" s="7">
        <f>'Приложение 9'!K136</f>
        <v>9</v>
      </c>
      <c r="L249" s="95" t="str">
        <f>'Приложение 9'!L136</f>
        <v>04</v>
      </c>
      <c r="M249" s="96" t="str">
        <f>'Приложение 9'!M136</f>
        <v>0</v>
      </c>
      <c r="N249" s="96" t="str">
        <f>'Приложение 9'!N136</f>
        <v>07</v>
      </c>
      <c r="O249" s="96" t="str">
        <f>'Приложение 9'!O136</f>
        <v>20300</v>
      </c>
      <c r="P249" s="6" t="s">
        <v>614</v>
      </c>
      <c r="Q249" s="216">
        <f>Q250</f>
        <v>210</v>
      </c>
      <c r="R249" s="216"/>
      <c r="S249" s="216"/>
    </row>
    <row r="250" spans="1:19" ht="24.75" customHeight="1">
      <c r="A250" s="99"/>
      <c r="B250" s="98"/>
      <c r="C250" s="103"/>
      <c r="D250" s="101"/>
      <c r="E250" s="104"/>
      <c r="F250" s="104"/>
      <c r="G250" s="105"/>
      <c r="H250" s="5" t="str">
        <f>'Приложение 9'!H137</f>
        <v>Иные закупки товаров, работ и услуг для обеспечения государственных (муниципальных) нужд</v>
      </c>
      <c r="I250" s="13">
        <f>'Приложение 9'!I137</f>
        <v>27</v>
      </c>
      <c r="J250" s="7">
        <f>'Приложение 9'!J137</f>
        <v>4</v>
      </c>
      <c r="K250" s="7">
        <f>'Приложение 9'!K137</f>
        <v>9</v>
      </c>
      <c r="L250" s="95" t="str">
        <f>'Приложение 9'!L137</f>
        <v>04</v>
      </c>
      <c r="M250" s="96" t="str">
        <f>'Приложение 9'!M137</f>
        <v>0</v>
      </c>
      <c r="N250" s="96" t="str">
        <f>'Приложение 9'!N137</f>
        <v>07</v>
      </c>
      <c r="O250" s="96" t="str">
        <f>'Приложение 9'!O137</f>
        <v>20300</v>
      </c>
      <c r="P250" s="6">
        <f>'Приложение 9'!P137</f>
        <v>240</v>
      </c>
      <c r="Q250" s="216">
        <f>'Приложение 9'!Q137</f>
        <v>210</v>
      </c>
      <c r="R250" s="216"/>
      <c r="S250" s="216"/>
    </row>
    <row r="251" spans="1:19" ht="24.75" customHeight="1">
      <c r="A251" s="99"/>
      <c r="B251" s="98"/>
      <c r="C251" s="103"/>
      <c r="D251" s="101"/>
      <c r="E251" s="104"/>
      <c r="F251" s="104"/>
      <c r="G251" s="105"/>
      <c r="H251" s="5" t="str">
        <f>'Приложение 9'!H138</f>
        <v>Основное мероприятие «Разработка ПКРТИ»</v>
      </c>
      <c r="I251" s="13">
        <f>'Приложение 9'!I138</f>
        <v>27</v>
      </c>
      <c r="J251" s="7">
        <f>'Приложение 9'!J138</f>
        <v>4</v>
      </c>
      <c r="K251" s="7">
        <f>'Приложение 9'!K138</f>
        <v>9</v>
      </c>
      <c r="L251" s="95" t="str">
        <f>'Приложение 9'!L138</f>
        <v>04</v>
      </c>
      <c r="M251" s="96" t="str">
        <f>'Приложение 9'!M138</f>
        <v>0</v>
      </c>
      <c r="N251" s="96" t="str">
        <f>'Приложение 9'!N138</f>
        <v>08</v>
      </c>
      <c r="O251" s="96" t="str">
        <f>'Приложение 9'!O138</f>
        <v>00000</v>
      </c>
      <c r="P251" s="6" t="s">
        <v>614</v>
      </c>
      <c r="Q251" s="216">
        <f>Q252</f>
        <v>50</v>
      </c>
      <c r="R251" s="216"/>
      <c r="S251" s="216"/>
    </row>
    <row r="252" spans="1:19" ht="24.75" customHeight="1">
      <c r="A252" s="99"/>
      <c r="B252" s="98"/>
      <c r="C252" s="103"/>
      <c r="D252" s="101"/>
      <c r="E252" s="104"/>
      <c r="F252" s="104"/>
      <c r="G252" s="105"/>
      <c r="H252" s="5" t="str">
        <f>'Приложение 9'!H139</f>
        <v>Мероприятия в сфере дорожного хозяйства</v>
      </c>
      <c r="I252" s="13">
        <f>'Приложение 9'!I139</f>
        <v>27</v>
      </c>
      <c r="J252" s="7">
        <f>'Приложение 9'!J139</f>
        <v>4</v>
      </c>
      <c r="K252" s="7">
        <f>'Приложение 9'!K139</f>
        <v>9</v>
      </c>
      <c r="L252" s="95" t="str">
        <f>'Приложение 9'!L139</f>
        <v>04</v>
      </c>
      <c r="M252" s="96" t="str">
        <f>'Приложение 9'!M139</f>
        <v>0</v>
      </c>
      <c r="N252" s="96" t="str">
        <f>'Приложение 9'!N139</f>
        <v>08</v>
      </c>
      <c r="O252" s="96" t="str">
        <f>'Приложение 9'!O139</f>
        <v>20300</v>
      </c>
      <c r="P252" s="6" t="s">
        <v>614</v>
      </c>
      <c r="Q252" s="216">
        <f>Q253</f>
        <v>50</v>
      </c>
      <c r="R252" s="216"/>
      <c r="S252" s="216"/>
    </row>
    <row r="253" spans="1:19" ht="24.75" customHeight="1">
      <c r="A253" s="99"/>
      <c r="B253" s="98"/>
      <c r="C253" s="103"/>
      <c r="D253" s="101"/>
      <c r="E253" s="104"/>
      <c r="F253" s="104"/>
      <c r="G253" s="105"/>
      <c r="H253" s="5" t="str">
        <f>'Приложение 9'!H140</f>
        <v> Иные межбюджетные трансферты</v>
      </c>
      <c r="I253" s="13">
        <f>'Приложение 9'!I140</f>
        <v>27</v>
      </c>
      <c r="J253" s="7">
        <f>'Приложение 9'!J140</f>
        <v>4</v>
      </c>
      <c r="K253" s="7">
        <f>'Приложение 9'!K140</f>
        <v>9</v>
      </c>
      <c r="L253" s="95" t="str">
        <f>'Приложение 9'!L140</f>
        <v>04</v>
      </c>
      <c r="M253" s="96" t="str">
        <f>'Приложение 9'!M140</f>
        <v>0</v>
      </c>
      <c r="N253" s="96" t="str">
        <f>'Приложение 9'!N140</f>
        <v>08</v>
      </c>
      <c r="O253" s="96" t="str">
        <f>'Приложение 9'!O140</f>
        <v>20300</v>
      </c>
      <c r="P253" s="6">
        <f>'Приложение 9'!P140</f>
        <v>540</v>
      </c>
      <c r="Q253" s="216">
        <f>'Приложение 9'!Q140</f>
        <v>50</v>
      </c>
      <c r="R253" s="216"/>
      <c r="S253" s="216"/>
    </row>
    <row r="254" spans="1:19" ht="24.75" customHeight="1">
      <c r="A254" s="99"/>
      <c r="B254" s="98"/>
      <c r="C254" s="103"/>
      <c r="D254" s="101"/>
      <c r="E254" s="104"/>
      <c r="F254" s="104"/>
      <c r="G254" s="105"/>
      <c r="H254" s="5" t="str">
        <f>'Приложение 9'!H141</f>
        <v>Основное мероприятие "Ремонт улицы Галаничева г.Белозерска"</v>
      </c>
      <c r="I254" s="13">
        <f>'Приложение 9'!I141</f>
        <v>27</v>
      </c>
      <c r="J254" s="7">
        <f>'Приложение 9'!J141</f>
        <v>4</v>
      </c>
      <c r="K254" s="7">
        <f>'Приложение 9'!K141</f>
        <v>9</v>
      </c>
      <c r="L254" s="95" t="str">
        <f>'Приложение 9'!L141</f>
        <v>04</v>
      </c>
      <c r="M254" s="96" t="str">
        <f>'Приложение 9'!M141</f>
        <v>0</v>
      </c>
      <c r="N254" s="96" t="str">
        <f>'Приложение 9'!N141</f>
        <v>09</v>
      </c>
      <c r="O254" s="96" t="str">
        <f>'Приложение 9'!O141</f>
        <v>00000</v>
      </c>
      <c r="P254" s="6" t="s">
        <v>614</v>
      </c>
      <c r="Q254" s="216">
        <f>Q255</f>
        <v>4749.3</v>
      </c>
      <c r="R254" s="216"/>
      <c r="S254" s="216"/>
    </row>
    <row r="255" spans="1:19" ht="24.75" customHeight="1">
      <c r="A255" s="99"/>
      <c r="B255" s="98"/>
      <c r="C255" s="103"/>
      <c r="D255" s="101"/>
      <c r="E255" s="104"/>
      <c r="F255" s="104"/>
      <c r="G255" s="105"/>
      <c r="H255" s="5" t="str">
        <f>'Приложение 9'!H142</f>
        <v>Осуществление дорожной деятельности в отношении автомобильных дорог общего пользования местного значения</v>
      </c>
      <c r="I255" s="13">
        <f>'Приложение 9'!I142</f>
        <v>27</v>
      </c>
      <c r="J255" s="7">
        <f>'Приложение 9'!J142</f>
        <v>4</v>
      </c>
      <c r="K255" s="7">
        <f>'Приложение 9'!K142</f>
        <v>9</v>
      </c>
      <c r="L255" s="95" t="str">
        <f>'Приложение 9'!L142</f>
        <v>04</v>
      </c>
      <c r="M255" s="96" t="str">
        <f>'Приложение 9'!M142</f>
        <v>0</v>
      </c>
      <c r="N255" s="96" t="str">
        <f>'Приложение 9'!N142</f>
        <v>09</v>
      </c>
      <c r="O255" s="96" t="str">
        <f>'Приложение 9'!O142</f>
        <v>S1350</v>
      </c>
      <c r="P255" s="6" t="s">
        <v>614</v>
      </c>
      <c r="Q255" s="216">
        <f>Q256</f>
        <v>4749.3</v>
      </c>
      <c r="R255" s="216"/>
      <c r="S255" s="216"/>
    </row>
    <row r="256" spans="1:19" ht="24.75" customHeight="1">
      <c r="A256" s="99"/>
      <c r="B256" s="98"/>
      <c r="C256" s="103"/>
      <c r="D256" s="101"/>
      <c r="E256" s="104"/>
      <c r="F256" s="104"/>
      <c r="G256" s="105"/>
      <c r="H256" s="5" t="str">
        <f>'Приложение 9'!H143</f>
        <v> Иные межбюджетные трансферты</v>
      </c>
      <c r="I256" s="13">
        <f>'Приложение 9'!I143</f>
        <v>27</v>
      </c>
      <c r="J256" s="7">
        <f>'Приложение 9'!J143</f>
        <v>4</v>
      </c>
      <c r="K256" s="7">
        <f>'Приложение 9'!K143</f>
        <v>9</v>
      </c>
      <c r="L256" s="95" t="str">
        <f>'Приложение 9'!L143</f>
        <v>04</v>
      </c>
      <c r="M256" s="96" t="str">
        <f>'Приложение 9'!M143</f>
        <v>0</v>
      </c>
      <c r="N256" s="96" t="str">
        <f>'Приложение 9'!N143</f>
        <v>09</v>
      </c>
      <c r="O256" s="96" t="str">
        <f>'Приложение 9'!O143</f>
        <v>S1350</v>
      </c>
      <c r="P256" s="6">
        <f>'Приложение 9'!P143</f>
        <v>540</v>
      </c>
      <c r="Q256" s="216">
        <f>'Приложение 9'!Q143</f>
        <v>4749.3</v>
      </c>
      <c r="R256" s="216"/>
      <c r="S256" s="216"/>
    </row>
    <row r="257" spans="1:19" ht="24.75" customHeight="1">
      <c r="A257" s="99"/>
      <c r="B257" s="98"/>
      <c r="C257" s="103"/>
      <c r="D257" s="101"/>
      <c r="E257" s="104"/>
      <c r="F257" s="104"/>
      <c r="G257" s="105"/>
      <c r="H257" s="5" t="str">
        <f>'Приложение 9'!H144</f>
        <v>Основное мероприятие "Ямочный ремонт асфальтового покрытия улиц г.Белозерска"</v>
      </c>
      <c r="I257" s="13">
        <f>'Приложение 9'!I144</f>
        <v>27</v>
      </c>
      <c r="J257" s="7">
        <f>'Приложение 9'!J144</f>
        <v>4</v>
      </c>
      <c r="K257" s="7">
        <f>'Приложение 9'!K144</f>
        <v>9</v>
      </c>
      <c r="L257" s="95" t="str">
        <f>'Приложение 9'!L144</f>
        <v>04</v>
      </c>
      <c r="M257" s="96" t="str">
        <f>'Приложение 9'!M144</f>
        <v>0</v>
      </c>
      <c r="N257" s="96" t="str">
        <f>'Приложение 9'!N144</f>
        <v>10</v>
      </c>
      <c r="O257" s="96" t="str">
        <f>'Приложение 9'!O144</f>
        <v>00000</v>
      </c>
      <c r="P257" s="6" t="s">
        <v>614</v>
      </c>
      <c r="Q257" s="216">
        <f>Q258</f>
        <v>100</v>
      </c>
      <c r="R257" s="216"/>
      <c r="S257" s="216"/>
    </row>
    <row r="258" spans="1:19" ht="24.75" customHeight="1">
      <c r="A258" s="99"/>
      <c r="B258" s="98"/>
      <c r="C258" s="103"/>
      <c r="D258" s="101"/>
      <c r="E258" s="104"/>
      <c r="F258" s="104"/>
      <c r="G258" s="105"/>
      <c r="H258" s="5" t="str">
        <f>'Приложение 9'!H145</f>
        <v>Мероприятия в сфере дорожного хозяйства</v>
      </c>
      <c r="I258" s="13">
        <f>'Приложение 9'!I145</f>
        <v>27</v>
      </c>
      <c r="J258" s="7">
        <f>'Приложение 9'!J145</f>
        <v>4</v>
      </c>
      <c r="K258" s="7">
        <f>'Приложение 9'!K145</f>
        <v>9</v>
      </c>
      <c r="L258" s="95" t="str">
        <f>'Приложение 9'!L145</f>
        <v>04</v>
      </c>
      <c r="M258" s="96" t="str">
        <f>'Приложение 9'!M145</f>
        <v>0</v>
      </c>
      <c r="N258" s="96" t="str">
        <f>'Приложение 9'!N145</f>
        <v>10</v>
      </c>
      <c r="O258" s="96" t="str">
        <f>'Приложение 9'!O145</f>
        <v>20300</v>
      </c>
      <c r="P258" s="6" t="s">
        <v>614</v>
      </c>
      <c r="Q258" s="216">
        <f>Q259</f>
        <v>100</v>
      </c>
      <c r="R258" s="216"/>
      <c r="S258" s="216"/>
    </row>
    <row r="259" spans="1:19" ht="24.75" customHeight="1">
      <c r="A259" s="99"/>
      <c r="B259" s="98"/>
      <c r="C259" s="103"/>
      <c r="D259" s="101"/>
      <c r="E259" s="104"/>
      <c r="F259" s="104"/>
      <c r="G259" s="105"/>
      <c r="H259" s="5" t="str">
        <f>'Приложение 9'!H146</f>
        <v> Иные межбюджетные трансферты</v>
      </c>
      <c r="I259" s="13">
        <f>'Приложение 9'!I146</f>
        <v>27</v>
      </c>
      <c r="J259" s="7">
        <f>'Приложение 9'!J146</f>
        <v>4</v>
      </c>
      <c r="K259" s="7">
        <f>'Приложение 9'!K146</f>
        <v>9</v>
      </c>
      <c r="L259" s="95" t="str">
        <f>'Приложение 9'!L146</f>
        <v>04</v>
      </c>
      <c r="M259" s="96" t="str">
        <f>'Приложение 9'!M146</f>
        <v>0</v>
      </c>
      <c r="N259" s="96" t="str">
        <f>'Приложение 9'!N146</f>
        <v>10</v>
      </c>
      <c r="O259" s="96" t="str">
        <f>'Приложение 9'!O146</f>
        <v>20300</v>
      </c>
      <c r="P259" s="6">
        <f>'Приложение 9'!P146</f>
        <v>540</v>
      </c>
      <c r="Q259" s="216">
        <f>'Приложение 9'!Q146</f>
        <v>100</v>
      </c>
      <c r="R259" s="216"/>
      <c r="S259" s="216"/>
    </row>
    <row r="260" spans="1:19" ht="24.75" customHeight="1">
      <c r="A260" s="99"/>
      <c r="B260" s="98"/>
      <c r="C260" s="103"/>
      <c r="D260" s="101"/>
      <c r="E260" s="104"/>
      <c r="F260" s="104"/>
      <c r="G260" s="105"/>
      <c r="H260" s="5" t="str">
        <f>'Приложение 9'!H147</f>
        <v>Основное мероприятие "Разработка ПСД"</v>
      </c>
      <c r="I260" s="13">
        <f>'Приложение 9'!I147</f>
        <v>27</v>
      </c>
      <c r="J260" s="7">
        <f>'Приложение 9'!J147</f>
        <v>4</v>
      </c>
      <c r="K260" s="7">
        <f>'Приложение 9'!K147</f>
        <v>9</v>
      </c>
      <c r="L260" s="95" t="str">
        <f>'Приложение 9'!L147</f>
        <v>04</v>
      </c>
      <c r="M260" s="96" t="str">
        <f>'Приложение 9'!M147</f>
        <v>0</v>
      </c>
      <c r="N260" s="96" t="str">
        <f>'Приложение 9'!N147</f>
        <v>11</v>
      </c>
      <c r="O260" s="96" t="str">
        <f>'Приложение 9'!O147</f>
        <v>00000</v>
      </c>
      <c r="P260" s="6" t="s">
        <v>614</v>
      </c>
      <c r="Q260" s="216">
        <f>Q261</f>
        <v>1154.2</v>
      </c>
      <c r="R260" s="216"/>
      <c r="S260" s="216"/>
    </row>
    <row r="261" spans="1:19" ht="24.75" customHeight="1">
      <c r="A261" s="99"/>
      <c r="B261" s="98"/>
      <c r="C261" s="103"/>
      <c r="D261" s="101"/>
      <c r="E261" s="104"/>
      <c r="F261" s="104"/>
      <c r="G261" s="105"/>
      <c r="H261" s="5" t="str">
        <f>'Приложение 9'!H148</f>
        <v>Мероприятия в сфере дорожного хозяйства</v>
      </c>
      <c r="I261" s="13">
        <f>'Приложение 9'!I148</f>
        <v>27</v>
      </c>
      <c r="J261" s="7">
        <f>'Приложение 9'!J148</f>
        <v>4</v>
      </c>
      <c r="K261" s="7">
        <f>'Приложение 9'!K148</f>
        <v>9</v>
      </c>
      <c r="L261" s="95" t="str">
        <f>'Приложение 9'!L148</f>
        <v>04</v>
      </c>
      <c r="M261" s="96" t="str">
        <f>'Приложение 9'!M148</f>
        <v>0</v>
      </c>
      <c r="N261" s="96" t="str">
        <f>'Приложение 9'!N148</f>
        <v>11</v>
      </c>
      <c r="O261" s="96" t="str">
        <f>'Приложение 9'!O148</f>
        <v>20300</v>
      </c>
      <c r="P261" s="6" t="s">
        <v>614</v>
      </c>
      <c r="Q261" s="216">
        <f>Q262</f>
        <v>1154.2</v>
      </c>
      <c r="R261" s="216"/>
      <c r="S261" s="216"/>
    </row>
    <row r="262" spans="1:19" ht="24.75" customHeight="1">
      <c r="A262" s="99"/>
      <c r="B262" s="98"/>
      <c r="C262" s="103"/>
      <c r="D262" s="101"/>
      <c r="E262" s="104"/>
      <c r="F262" s="104"/>
      <c r="G262" s="105"/>
      <c r="H262" s="5" t="str">
        <f>'Приложение 9'!H149</f>
        <v>Иные закупки товаров, работ и услуг для обеспечения государственных (муниципальных) нужд</v>
      </c>
      <c r="I262" s="13">
        <f>'Приложение 9'!I149</f>
        <v>27</v>
      </c>
      <c r="J262" s="7">
        <f>'Приложение 9'!J149</f>
        <v>4</v>
      </c>
      <c r="K262" s="7">
        <f>'Приложение 9'!K149</f>
        <v>9</v>
      </c>
      <c r="L262" s="95" t="str">
        <f>'Приложение 9'!L149</f>
        <v>04</v>
      </c>
      <c r="M262" s="96" t="str">
        <f>'Приложение 9'!M149</f>
        <v>0</v>
      </c>
      <c r="N262" s="96" t="str">
        <f>'Приложение 9'!N149</f>
        <v>11</v>
      </c>
      <c r="O262" s="96" t="str">
        <f>'Приложение 9'!O149</f>
        <v>20300</v>
      </c>
      <c r="P262" s="6">
        <f>'Приложение 9'!P149</f>
        <v>240</v>
      </c>
      <c r="Q262" s="216">
        <f>'Приложение 9'!Q149</f>
        <v>1154.2</v>
      </c>
      <c r="R262" s="216"/>
      <c r="S262" s="216"/>
    </row>
    <row r="263" spans="1:19" s="179" customFormat="1" ht="24.75" customHeight="1">
      <c r="A263" s="142"/>
      <c r="B263" s="143"/>
      <c r="C263" s="153"/>
      <c r="D263" s="150"/>
      <c r="E263" s="145"/>
      <c r="F263" s="145"/>
      <c r="G263" s="155">
        <v>850</v>
      </c>
      <c r="H263" s="149" t="s">
        <v>539</v>
      </c>
      <c r="I263" s="152">
        <v>27</v>
      </c>
      <c r="J263" s="148">
        <v>4</v>
      </c>
      <c r="K263" s="148">
        <v>12</v>
      </c>
      <c r="L263" s="140"/>
      <c r="M263" s="141"/>
      <c r="N263" s="141"/>
      <c r="O263" s="141"/>
      <c r="P263" s="146"/>
      <c r="Q263" s="217">
        <f>Q264+Q284+Q288+Q300</f>
        <v>6936.8</v>
      </c>
      <c r="R263" s="217" t="e">
        <f>R264+R284+R288+#REF!</f>
        <v>#REF!</v>
      </c>
      <c r="S263" s="217" t="e">
        <f>S264+S284+S288+#REF!</f>
        <v>#REF!</v>
      </c>
    </row>
    <row r="264" spans="1:19" ht="40.5" customHeight="1">
      <c r="A264" s="99"/>
      <c r="B264" s="98"/>
      <c r="C264" s="97"/>
      <c r="D264" s="101"/>
      <c r="E264" s="115"/>
      <c r="F264" s="115"/>
      <c r="G264" s="89"/>
      <c r="H264" s="200" t="s">
        <v>21</v>
      </c>
      <c r="I264" s="6">
        <v>27</v>
      </c>
      <c r="J264" s="7">
        <v>4</v>
      </c>
      <c r="K264" s="7">
        <v>12</v>
      </c>
      <c r="L264" s="95" t="s">
        <v>561</v>
      </c>
      <c r="M264" s="96" t="s">
        <v>556</v>
      </c>
      <c r="N264" s="96" t="s">
        <v>576</v>
      </c>
      <c r="O264" s="96" t="s">
        <v>613</v>
      </c>
      <c r="P264" s="6"/>
      <c r="Q264" s="216">
        <f>Q265+Q274+Q279+Q268+Q271</f>
        <v>6489.6</v>
      </c>
      <c r="R264" s="216">
        <f>R265+R274+R279</f>
        <v>7300</v>
      </c>
      <c r="S264" s="216">
        <f>S265+S274+S279</f>
        <v>7250</v>
      </c>
    </row>
    <row r="265" spans="1:19" ht="36" customHeight="1">
      <c r="A265" s="99"/>
      <c r="B265" s="98"/>
      <c r="C265" s="97"/>
      <c r="D265" s="101"/>
      <c r="E265" s="115"/>
      <c r="F265" s="115"/>
      <c r="G265" s="89"/>
      <c r="H265" s="108" t="s">
        <v>341</v>
      </c>
      <c r="I265" s="6">
        <v>27</v>
      </c>
      <c r="J265" s="7">
        <v>4</v>
      </c>
      <c r="K265" s="7">
        <v>12</v>
      </c>
      <c r="L265" s="95" t="s">
        <v>561</v>
      </c>
      <c r="M265" s="96" t="s">
        <v>556</v>
      </c>
      <c r="N265" s="96" t="s">
        <v>557</v>
      </c>
      <c r="O265" s="96" t="s">
        <v>613</v>
      </c>
      <c r="P265" s="6"/>
      <c r="Q265" s="216">
        <f aca="true" t="shared" si="14" ref="Q265:S266">Q266</f>
        <v>65</v>
      </c>
      <c r="R265" s="216">
        <f t="shared" si="14"/>
        <v>200</v>
      </c>
      <c r="S265" s="216">
        <f t="shared" si="14"/>
        <v>150</v>
      </c>
    </row>
    <row r="266" spans="1:19" ht="21.75" customHeight="1">
      <c r="A266" s="99"/>
      <c r="B266" s="98"/>
      <c r="C266" s="97"/>
      <c r="D266" s="101"/>
      <c r="E266" s="115"/>
      <c r="F266" s="115"/>
      <c r="G266" s="89"/>
      <c r="H266" s="108" t="s">
        <v>255</v>
      </c>
      <c r="I266" s="6">
        <v>27</v>
      </c>
      <c r="J266" s="7">
        <v>4</v>
      </c>
      <c r="K266" s="7">
        <v>12</v>
      </c>
      <c r="L266" s="95" t="s">
        <v>561</v>
      </c>
      <c r="M266" s="96" t="s">
        <v>556</v>
      </c>
      <c r="N266" s="96" t="s">
        <v>557</v>
      </c>
      <c r="O266" s="96" t="s">
        <v>256</v>
      </c>
      <c r="P266" s="6"/>
      <c r="Q266" s="216">
        <f t="shared" si="14"/>
        <v>65</v>
      </c>
      <c r="R266" s="216">
        <f t="shared" si="14"/>
        <v>200</v>
      </c>
      <c r="S266" s="216">
        <f t="shared" si="14"/>
        <v>150</v>
      </c>
    </row>
    <row r="267" spans="1:19" ht="24" customHeight="1">
      <c r="A267" s="99"/>
      <c r="B267" s="98"/>
      <c r="C267" s="97"/>
      <c r="D267" s="101"/>
      <c r="E267" s="115"/>
      <c r="F267" s="115"/>
      <c r="G267" s="89"/>
      <c r="H267" s="108" t="s">
        <v>714</v>
      </c>
      <c r="I267" s="6">
        <v>27</v>
      </c>
      <c r="J267" s="7">
        <v>4</v>
      </c>
      <c r="K267" s="7">
        <v>12</v>
      </c>
      <c r="L267" s="95" t="s">
        <v>561</v>
      </c>
      <c r="M267" s="96" t="s">
        <v>556</v>
      </c>
      <c r="N267" s="96" t="s">
        <v>557</v>
      </c>
      <c r="O267" s="96" t="s">
        <v>256</v>
      </c>
      <c r="P267" s="6">
        <v>610</v>
      </c>
      <c r="Q267" s="216">
        <f>'Приложение 9'!Q154</f>
        <v>65</v>
      </c>
      <c r="R267" s="216">
        <v>200</v>
      </c>
      <c r="S267" s="216">
        <v>150</v>
      </c>
    </row>
    <row r="268" spans="1:19" ht="24" customHeight="1">
      <c r="A268" s="99"/>
      <c r="B268" s="98"/>
      <c r="C268" s="97"/>
      <c r="D268" s="101"/>
      <c r="E268" s="115"/>
      <c r="F268" s="115"/>
      <c r="G268" s="89"/>
      <c r="H268" s="108" t="str">
        <f>'Приложение 9'!H155</f>
        <v>Основное мероприятие "Расширение внешних связей"</v>
      </c>
      <c r="I268" s="8">
        <f>'Приложение 9'!I155</f>
        <v>27</v>
      </c>
      <c r="J268" s="7">
        <f>'Приложение 9'!J155</f>
        <v>4</v>
      </c>
      <c r="K268" s="7">
        <f>'Приложение 9'!K155</f>
        <v>12</v>
      </c>
      <c r="L268" s="95" t="str">
        <f>'Приложение 9'!L155</f>
        <v>07</v>
      </c>
      <c r="M268" s="96" t="str">
        <f>'Приложение 9'!M155</f>
        <v>0</v>
      </c>
      <c r="N268" s="96" t="str">
        <f>'Приложение 9'!N155</f>
        <v>02</v>
      </c>
      <c r="O268" s="96" t="str">
        <f>'Приложение 9'!O155</f>
        <v>00000</v>
      </c>
      <c r="P268" s="6" t="s">
        <v>614</v>
      </c>
      <c r="Q268" s="216">
        <f>Q269</f>
        <v>20</v>
      </c>
      <c r="R268" s="216"/>
      <c r="S268" s="216"/>
    </row>
    <row r="269" spans="1:19" ht="24" customHeight="1">
      <c r="A269" s="99"/>
      <c r="B269" s="98"/>
      <c r="C269" s="97"/>
      <c r="D269" s="101"/>
      <c r="E269" s="115"/>
      <c r="F269" s="115"/>
      <c r="G269" s="89"/>
      <c r="H269" s="108" t="str">
        <f>'Приложение 9'!H156</f>
        <v>Учреждения культуры</v>
      </c>
      <c r="I269" s="8">
        <f>'Приложение 9'!I156</f>
        <v>27</v>
      </c>
      <c r="J269" s="7">
        <f>'Приложение 9'!J156</f>
        <v>4</v>
      </c>
      <c r="K269" s="7">
        <f>'Приложение 9'!K156</f>
        <v>12</v>
      </c>
      <c r="L269" s="95" t="str">
        <f>'Приложение 9'!L156</f>
        <v>07</v>
      </c>
      <c r="M269" s="96" t="str">
        <f>'Приложение 9'!M156</f>
        <v>0</v>
      </c>
      <c r="N269" s="96" t="str">
        <f>'Приложение 9'!N156</f>
        <v>02</v>
      </c>
      <c r="O269" s="96" t="str">
        <f>'Приложение 9'!O156</f>
        <v>01590</v>
      </c>
      <c r="P269" s="6" t="s">
        <v>614</v>
      </c>
      <c r="Q269" s="216">
        <f>Q270</f>
        <v>20</v>
      </c>
      <c r="R269" s="216"/>
      <c r="S269" s="216"/>
    </row>
    <row r="270" spans="1:19" ht="24" customHeight="1">
      <c r="A270" s="99"/>
      <c r="B270" s="98"/>
      <c r="C270" s="97"/>
      <c r="D270" s="101"/>
      <c r="E270" s="115"/>
      <c r="F270" s="115"/>
      <c r="G270" s="89"/>
      <c r="H270" s="108" t="str">
        <f>'Приложение 9'!H157</f>
        <v>Субсидии бюджетным учреждениям</v>
      </c>
      <c r="I270" s="8">
        <f>'Приложение 9'!I157</f>
        <v>27</v>
      </c>
      <c r="J270" s="7">
        <f>'Приложение 9'!J157</f>
        <v>4</v>
      </c>
      <c r="K270" s="7">
        <f>'Приложение 9'!K157</f>
        <v>12</v>
      </c>
      <c r="L270" s="95" t="str">
        <f>'Приложение 9'!L157</f>
        <v>07</v>
      </c>
      <c r="M270" s="96" t="str">
        <f>'Приложение 9'!M157</f>
        <v>0</v>
      </c>
      <c r="N270" s="96" t="str">
        <f>'Приложение 9'!N157</f>
        <v>02</v>
      </c>
      <c r="O270" s="96" t="str">
        <f>'Приложение 9'!O157</f>
        <v>01590</v>
      </c>
      <c r="P270" s="6">
        <f>'Приложение 9'!P157</f>
        <v>610</v>
      </c>
      <c r="Q270" s="216">
        <f>'Приложение 9'!Q157</f>
        <v>20</v>
      </c>
      <c r="R270" s="216"/>
      <c r="S270" s="216"/>
    </row>
    <row r="271" spans="1:19" ht="24" customHeight="1">
      <c r="A271" s="99"/>
      <c r="B271" s="98"/>
      <c r="C271" s="97"/>
      <c r="D271" s="101"/>
      <c r="E271" s="115"/>
      <c r="F271" s="115"/>
      <c r="G271" s="89"/>
      <c r="H271" s="108" t="str">
        <f>'Приложение 9'!H158</f>
        <v>Основное мероприятие "Сохранение и популяризация объектов культурного наследия"</v>
      </c>
      <c r="I271" s="8">
        <f>'Приложение 9'!I158</f>
        <v>27</v>
      </c>
      <c r="J271" s="7">
        <f>'Приложение 9'!J158</f>
        <v>4</v>
      </c>
      <c r="K271" s="7">
        <f>'Приложение 9'!K158</f>
        <v>12</v>
      </c>
      <c r="L271" s="95" t="str">
        <f>'Приложение 9'!L158</f>
        <v>07</v>
      </c>
      <c r="M271" s="96" t="str">
        <f>'Приложение 9'!M158</f>
        <v>0</v>
      </c>
      <c r="N271" s="96" t="str">
        <f>'Приложение 9'!N158</f>
        <v>03</v>
      </c>
      <c r="O271" s="96" t="str">
        <f>'Приложение 9'!O158</f>
        <v>00000</v>
      </c>
      <c r="P271" s="6"/>
      <c r="Q271" s="216">
        <f>Q272</f>
        <v>210</v>
      </c>
      <c r="R271" s="216"/>
      <c r="S271" s="216"/>
    </row>
    <row r="272" spans="1:19" ht="24" customHeight="1">
      <c r="A272" s="99"/>
      <c r="B272" s="98"/>
      <c r="C272" s="97"/>
      <c r="D272" s="101"/>
      <c r="E272" s="115"/>
      <c r="F272" s="115"/>
      <c r="G272" s="89"/>
      <c r="H272" s="108" t="str">
        <f>'Приложение 9'!H159</f>
        <v> Разработка проектно-сметной документации</v>
      </c>
      <c r="I272" s="8">
        <f>'Приложение 9'!I159</f>
        <v>27</v>
      </c>
      <c r="J272" s="7">
        <f>'Приложение 9'!J159</f>
        <v>4</v>
      </c>
      <c r="K272" s="7">
        <f>'Приложение 9'!K159</f>
        <v>12</v>
      </c>
      <c r="L272" s="95" t="str">
        <f>'Приложение 9'!L159</f>
        <v>07</v>
      </c>
      <c r="M272" s="96" t="str">
        <f>'Приложение 9'!M159</f>
        <v>0</v>
      </c>
      <c r="N272" s="96" t="str">
        <f>'Приложение 9'!N159</f>
        <v>03</v>
      </c>
      <c r="O272" s="96" t="str">
        <f>'Приложение 9'!O159</f>
        <v>41010</v>
      </c>
      <c r="P272" s="6"/>
      <c r="Q272" s="216">
        <f>Q273</f>
        <v>210</v>
      </c>
      <c r="R272" s="216"/>
      <c r="S272" s="216"/>
    </row>
    <row r="273" spans="1:19" ht="24" customHeight="1">
      <c r="A273" s="99"/>
      <c r="B273" s="98"/>
      <c r="C273" s="97"/>
      <c r="D273" s="101"/>
      <c r="E273" s="115"/>
      <c r="F273" s="115"/>
      <c r="G273" s="89"/>
      <c r="H273" s="108" t="str">
        <f>'Приложение 9'!H160</f>
        <v>Иные закупки товаров, работ и услуг для обеспечения государственных (муниципальных) нужд</v>
      </c>
      <c r="I273" s="8">
        <f>'Приложение 9'!I160</f>
        <v>27</v>
      </c>
      <c r="J273" s="7">
        <f>'Приложение 9'!J160</f>
        <v>4</v>
      </c>
      <c r="K273" s="7">
        <f>'Приложение 9'!K160</f>
        <v>12</v>
      </c>
      <c r="L273" s="95" t="str">
        <f>'Приложение 9'!L160</f>
        <v>07</v>
      </c>
      <c r="M273" s="96" t="str">
        <f>'Приложение 9'!M160</f>
        <v>0</v>
      </c>
      <c r="N273" s="96" t="str">
        <f>'Приложение 9'!N160</f>
        <v>03</v>
      </c>
      <c r="O273" s="96" t="str">
        <f>'Приложение 9'!O160</f>
        <v>41010</v>
      </c>
      <c r="P273" s="6">
        <f>'Приложение 9'!P160</f>
        <v>240</v>
      </c>
      <c r="Q273" s="216">
        <f>'Приложение 9'!Q160</f>
        <v>210</v>
      </c>
      <c r="R273" s="216"/>
      <c r="S273" s="216"/>
    </row>
    <row r="274" spans="1:19" ht="27.75" customHeight="1">
      <c r="A274" s="99"/>
      <c r="B274" s="98"/>
      <c r="C274" s="97"/>
      <c r="D274" s="101"/>
      <c r="E274" s="115"/>
      <c r="F274" s="115"/>
      <c r="G274" s="89"/>
      <c r="H274" s="5" t="s">
        <v>652</v>
      </c>
      <c r="I274" s="8">
        <v>27</v>
      </c>
      <c r="J274" s="7">
        <v>4</v>
      </c>
      <c r="K274" s="7">
        <v>12</v>
      </c>
      <c r="L274" s="95" t="s">
        <v>561</v>
      </c>
      <c r="M274" s="96" t="s">
        <v>556</v>
      </c>
      <c r="N274" s="96" t="s">
        <v>559</v>
      </c>
      <c r="O274" s="96" t="s">
        <v>613</v>
      </c>
      <c r="P274" s="6"/>
      <c r="Q274" s="216">
        <f>Q275+Q277</f>
        <v>6029.6</v>
      </c>
      <c r="R274" s="216">
        <f aca="true" t="shared" si="15" ref="Q274:S275">R275</f>
        <v>6750</v>
      </c>
      <c r="S274" s="216">
        <f t="shared" si="15"/>
        <v>6800</v>
      </c>
    </row>
    <row r="275" spans="1:19" ht="27.75" customHeight="1">
      <c r="A275" s="99"/>
      <c r="B275" s="98"/>
      <c r="C275" s="97"/>
      <c r="D275" s="101"/>
      <c r="E275" s="115"/>
      <c r="F275" s="115"/>
      <c r="G275" s="89"/>
      <c r="H275" s="5" t="s">
        <v>255</v>
      </c>
      <c r="I275" s="8">
        <v>27</v>
      </c>
      <c r="J275" s="7">
        <v>4</v>
      </c>
      <c r="K275" s="7">
        <v>12</v>
      </c>
      <c r="L275" s="95" t="s">
        <v>561</v>
      </c>
      <c r="M275" s="96" t="s">
        <v>556</v>
      </c>
      <c r="N275" s="96" t="s">
        <v>559</v>
      </c>
      <c r="O275" s="96" t="s">
        <v>256</v>
      </c>
      <c r="P275" s="6"/>
      <c r="Q275" s="216">
        <f t="shared" si="15"/>
        <v>5388</v>
      </c>
      <c r="R275" s="216">
        <f t="shared" si="15"/>
        <v>6750</v>
      </c>
      <c r="S275" s="216">
        <f t="shared" si="15"/>
        <v>6800</v>
      </c>
    </row>
    <row r="276" spans="1:19" ht="27.75" customHeight="1">
      <c r="A276" s="99"/>
      <c r="B276" s="98"/>
      <c r="C276" s="97"/>
      <c r="D276" s="101"/>
      <c r="E276" s="115"/>
      <c r="F276" s="115"/>
      <c r="G276" s="89"/>
      <c r="H276" s="5" t="s">
        <v>714</v>
      </c>
      <c r="I276" s="8">
        <v>27</v>
      </c>
      <c r="J276" s="7">
        <v>4</v>
      </c>
      <c r="K276" s="7">
        <v>12</v>
      </c>
      <c r="L276" s="95" t="s">
        <v>561</v>
      </c>
      <c r="M276" s="96" t="s">
        <v>556</v>
      </c>
      <c r="N276" s="96" t="s">
        <v>559</v>
      </c>
      <c r="O276" s="96" t="s">
        <v>256</v>
      </c>
      <c r="P276" s="6">
        <v>610</v>
      </c>
      <c r="Q276" s="216">
        <f>'Приложение 9'!Q163</f>
        <v>5388</v>
      </c>
      <c r="R276" s="216">
        <v>6750</v>
      </c>
      <c r="S276" s="216">
        <v>6800</v>
      </c>
    </row>
    <row r="277" spans="1:19" ht="30.75" customHeight="1">
      <c r="A277" s="99"/>
      <c r="B277" s="98"/>
      <c r="C277" s="97"/>
      <c r="D277" s="101"/>
      <c r="E277" s="115"/>
      <c r="F277" s="115"/>
      <c r="G277" s="89"/>
      <c r="H277" s="5" t="str">
        <f>'Приложение 9'!H164</f>
        <v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v>
      </c>
      <c r="I277" s="8">
        <f>'Приложение 9'!I164</f>
        <v>27</v>
      </c>
      <c r="J277" s="7">
        <f>'Приложение 9'!J164</f>
        <v>4</v>
      </c>
      <c r="K277" s="7">
        <f>'Приложение 9'!K164</f>
        <v>12</v>
      </c>
      <c r="L277" s="95" t="str">
        <f>'Приложение 9'!L164</f>
        <v>07</v>
      </c>
      <c r="M277" s="96" t="str">
        <f>'Приложение 9'!M164</f>
        <v>0</v>
      </c>
      <c r="N277" s="96" t="str">
        <f>'Приложение 9'!N164</f>
        <v>05</v>
      </c>
      <c r="O277" s="96" t="str">
        <f>'Приложение 9'!O164</f>
        <v>70030</v>
      </c>
      <c r="P277" s="6" t="s">
        <v>614</v>
      </c>
      <c r="Q277" s="216">
        <f>'Приложение 9'!Q164</f>
        <v>641.6</v>
      </c>
      <c r="R277" s="216"/>
      <c r="S277" s="216"/>
    </row>
    <row r="278" spans="1:19" ht="27.75" customHeight="1">
      <c r="A278" s="99"/>
      <c r="B278" s="98"/>
      <c r="C278" s="97"/>
      <c r="D278" s="101"/>
      <c r="E278" s="115"/>
      <c r="F278" s="115"/>
      <c r="G278" s="89"/>
      <c r="H278" s="5" t="str">
        <f>'Приложение 9'!H165</f>
        <v>Субсидии бюджетным учреждениям</v>
      </c>
      <c r="I278" s="8">
        <f>'Приложение 9'!I165</f>
        <v>27</v>
      </c>
      <c r="J278" s="7">
        <f>'Приложение 9'!J165</f>
        <v>4</v>
      </c>
      <c r="K278" s="7">
        <f>'Приложение 9'!K165</f>
        <v>12</v>
      </c>
      <c r="L278" s="95" t="str">
        <f>'Приложение 9'!L165</f>
        <v>07</v>
      </c>
      <c r="M278" s="96" t="str">
        <f>'Приложение 9'!M165</f>
        <v>0</v>
      </c>
      <c r="N278" s="96" t="str">
        <f>'Приложение 9'!N165</f>
        <v>05</v>
      </c>
      <c r="O278" s="96" t="str">
        <f>'Приложение 9'!O165</f>
        <v>70030</v>
      </c>
      <c r="P278" s="6">
        <f>'Приложение 9'!P165</f>
        <v>610</v>
      </c>
      <c r="Q278" s="216">
        <f>'Приложение 9'!Q165</f>
        <v>641.6</v>
      </c>
      <c r="R278" s="216"/>
      <c r="S278" s="216"/>
    </row>
    <row r="279" spans="1:19" ht="39" customHeight="1">
      <c r="A279" s="99"/>
      <c r="B279" s="98"/>
      <c r="C279" s="97"/>
      <c r="D279" s="101"/>
      <c r="E279" s="115"/>
      <c r="F279" s="115"/>
      <c r="G279" s="89"/>
      <c r="H279" s="5" t="s">
        <v>279</v>
      </c>
      <c r="I279" s="8">
        <v>27</v>
      </c>
      <c r="J279" s="7">
        <v>4</v>
      </c>
      <c r="K279" s="7">
        <v>12</v>
      </c>
      <c r="L279" s="95" t="s">
        <v>561</v>
      </c>
      <c r="M279" s="96" t="s">
        <v>556</v>
      </c>
      <c r="N279" s="96" t="s">
        <v>561</v>
      </c>
      <c r="O279" s="96" t="s">
        <v>613</v>
      </c>
      <c r="P279" s="6"/>
      <c r="Q279" s="216">
        <f>Q280+Q282</f>
        <v>165</v>
      </c>
      <c r="R279" s="216">
        <f aca="true" t="shared" si="16" ref="Q279:S280">R280</f>
        <v>350</v>
      </c>
      <c r="S279" s="216">
        <f t="shared" si="16"/>
        <v>300</v>
      </c>
    </row>
    <row r="280" spans="1:19" ht="29.25" customHeight="1">
      <c r="A280" s="99"/>
      <c r="B280" s="98"/>
      <c r="C280" s="97"/>
      <c r="D280" s="101"/>
      <c r="E280" s="115"/>
      <c r="F280" s="115"/>
      <c r="G280" s="89"/>
      <c r="H280" s="5" t="s">
        <v>255</v>
      </c>
      <c r="I280" s="8">
        <v>27</v>
      </c>
      <c r="J280" s="7">
        <v>4</v>
      </c>
      <c r="K280" s="7">
        <v>12</v>
      </c>
      <c r="L280" s="95" t="s">
        <v>561</v>
      </c>
      <c r="M280" s="96" t="s">
        <v>556</v>
      </c>
      <c r="N280" s="96" t="s">
        <v>561</v>
      </c>
      <c r="O280" s="96" t="s">
        <v>256</v>
      </c>
      <c r="P280" s="6"/>
      <c r="Q280" s="216">
        <f t="shared" si="16"/>
        <v>15</v>
      </c>
      <c r="R280" s="216">
        <f t="shared" si="16"/>
        <v>350</v>
      </c>
      <c r="S280" s="216">
        <f t="shared" si="16"/>
        <v>300</v>
      </c>
    </row>
    <row r="281" spans="1:19" ht="20.25" customHeight="1">
      <c r="A281" s="99"/>
      <c r="B281" s="98"/>
      <c r="C281" s="97"/>
      <c r="D281" s="101"/>
      <c r="E281" s="115"/>
      <c r="F281" s="115"/>
      <c r="G281" s="89"/>
      <c r="H281" s="5" t="s">
        <v>714</v>
      </c>
      <c r="I281" s="8">
        <v>27</v>
      </c>
      <c r="J281" s="7">
        <v>4</v>
      </c>
      <c r="K281" s="7">
        <v>12</v>
      </c>
      <c r="L281" s="95" t="s">
        <v>561</v>
      </c>
      <c r="M281" s="96" t="s">
        <v>556</v>
      </c>
      <c r="N281" s="96" t="s">
        <v>561</v>
      </c>
      <c r="O281" s="96" t="s">
        <v>256</v>
      </c>
      <c r="P281" s="6">
        <v>610</v>
      </c>
      <c r="Q281" s="216">
        <f>'Приложение 9'!Q168</f>
        <v>15</v>
      </c>
      <c r="R281" s="216">
        <v>350</v>
      </c>
      <c r="S281" s="216">
        <v>300</v>
      </c>
    </row>
    <row r="282" spans="1:19" ht="20.25" customHeight="1">
      <c r="A282" s="99"/>
      <c r="B282" s="98"/>
      <c r="C282" s="97"/>
      <c r="D282" s="101"/>
      <c r="E282" s="115"/>
      <c r="F282" s="115"/>
      <c r="G282" s="89"/>
      <c r="H282" s="5" t="str">
        <f>'Приложение 9'!H169</f>
        <v>Гранты в сфере культуры в соответствии с законом области от 27.02.2009 года № 1968-ОЗ "О государственных грантах Вологодской области в сфере культуры"</v>
      </c>
      <c r="I282" s="8">
        <f>'Приложение 9'!I169</f>
        <v>27</v>
      </c>
      <c r="J282" s="7">
        <f>'Приложение 9'!J169</f>
        <v>4</v>
      </c>
      <c r="K282" s="7">
        <f>'Приложение 9'!K169</f>
        <v>12</v>
      </c>
      <c r="L282" s="95" t="str">
        <f>'Приложение 9'!L169</f>
        <v>07</v>
      </c>
      <c r="M282" s="96" t="str">
        <f>'Приложение 9'!M169</f>
        <v>0</v>
      </c>
      <c r="N282" s="96" t="str">
        <f>'Приложение 9'!N169</f>
        <v>07</v>
      </c>
      <c r="O282" s="96" t="str">
        <f>'Приложение 9'!O169</f>
        <v>61660</v>
      </c>
      <c r="P282" s="6" t="s">
        <v>614</v>
      </c>
      <c r="Q282" s="216">
        <f>Q283</f>
        <v>150</v>
      </c>
      <c r="R282" s="216"/>
      <c r="S282" s="216"/>
    </row>
    <row r="283" spans="1:19" ht="20.25" customHeight="1">
      <c r="A283" s="99"/>
      <c r="B283" s="98"/>
      <c r="C283" s="97"/>
      <c r="D283" s="101"/>
      <c r="E283" s="115"/>
      <c r="F283" s="115"/>
      <c r="G283" s="89"/>
      <c r="H283" s="5" t="str">
        <f>'Приложение 9'!H170</f>
        <v>Субсидии бюджетным учреждениям</v>
      </c>
      <c r="I283" s="8">
        <f>'Приложение 9'!I170</f>
        <v>27</v>
      </c>
      <c r="J283" s="7">
        <f>'Приложение 9'!J170</f>
        <v>4</v>
      </c>
      <c r="K283" s="7">
        <f>'Приложение 9'!K170</f>
        <v>12</v>
      </c>
      <c r="L283" s="95" t="str">
        <f>'Приложение 9'!L170</f>
        <v>07</v>
      </c>
      <c r="M283" s="96" t="str">
        <f>'Приложение 9'!M170</f>
        <v>0</v>
      </c>
      <c r="N283" s="96" t="str">
        <f>'Приложение 9'!N170</f>
        <v>07</v>
      </c>
      <c r="O283" s="96" t="str">
        <f>'Приложение 9'!O170</f>
        <v>61660</v>
      </c>
      <c r="P283" s="6">
        <f>'Приложение 9'!P170</f>
        <v>610</v>
      </c>
      <c r="Q283" s="216">
        <f>'Приложение 9'!Q170</f>
        <v>150</v>
      </c>
      <c r="R283" s="216"/>
      <c r="S283" s="216"/>
    </row>
    <row r="284" spans="1:19" ht="39" customHeight="1" hidden="1">
      <c r="A284" s="99"/>
      <c r="B284" s="98"/>
      <c r="C284" s="97"/>
      <c r="D284" s="101"/>
      <c r="E284" s="115"/>
      <c r="F284" s="115"/>
      <c r="G284" s="89"/>
      <c r="H284" s="340" t="s">
        <v>282</v>
      </c>
      <c r="I284" s="341">
        <v>27</v>
      </c>
      <c r="J284" s="348">
        <v>4</v>
      </c>
      <c r="K284" s="348">
        <v>12</v>
      </c>
      <c r="L284" s="344" t="s">
        <v>551</v>
      </c>
      <c r="M284" s="345" t="s">
        <v>556</v>
      </c>
      <c r="N284" s="345" t="s">
        <v>576</v>
      </c>
      <c r="O284" s="345" t="s">
        <v>613</v>
      </c>
      <c r="P284" s="341"/>
      <c r="Q284" s="346">
        <f aca="true" t="shared" si="17" ref="Q284:S286">Q285</f>
        <v>0</v>
      </c>
      <c r="R284" s="216">
        <f t="shared" si="17"/>
        <v>30</v>
      </c>
      <c r="S284" s="216">
        <f t="shared" si="17"/>
        <v>0</v>
      </c>
    </row>
    <row r="285" spans="1:19" ht="41.25" customHeight="1" hidden="1">
      <c r="A285" s="99"/>
      <c r="B285" s="98"/>
      <c r="C285" s="97"/>
      <c r="D285" s="101"/>
      <c r="E285" s="115"/>
      <c r="F285" s="115"/>
      <c r="G285" s="89"/>
      <c r="H285" s="347" t="s">
        <v>283</v>
      </c>
      <c r="I285" s="341">
        <v>27</v>
      </c>
      <c r="J285" s="348">
        <v>4</v>
      </c>
      <c r="K285" s="348">
        <v>12</v>
      </c>
      <c r="L285" s="344" t="s">
        <v>551</v>
      </c>
      <c r="M285" s="345" t="s">
        <v>556</v>
      </c>
      <c r="N285" s="345" t="s">
        <v>557</v>
      </c>
      <c r="O285" s="345" t="s">
        <v>613</v>
      </c>
      <c r="P285" s="341"/>
      <c r="Q285" s="346">
        <f t="shared" si="17"/>
        <v>0</v>
      </c>
      <c r="R285" s="216">
        <f t="shared" si="17"/>
        <v>30</v>
      </c>
      <c r="S285" s="216">
        <f t="shared" si="17"/>
        <v>0</v>
      </c>
    </row>
    <row r="286" spans="1:19" ht="30.75" customHeight="1" hidden="1">
      <c r="A286" s="99"/>
      <c r="B286" s="98"/>
      <c r="C286" s="97"/>
      <c r="D286" s="101"/>
      <c r="E286" s="115"/>
      <c r="F286" s="115"/>
      <c r="G286" s="89"/>
      <c r="H286" s="347" t="s">
        <v>285</v>
      </c>
      <c r="I286" s="341">
        <v>27</v>
      </c>
      <c r="J286" s="348">
        <v>4</v>
      </c>
      <c r="K286" s="348">
        <v>12</v>
      </c>
      <c r="L286" s="344" t="s">
        <v>551</v>
      </c>
      <c r="M286" s="345" t="s">
        <v>556</v>
      </c>
      <c r="N286" s="345" t="s">
        <v>557</v>
      </c>
      <c r="O286" s="345" t="s">
        <v>284</v>
      </c>
      <c r="P286" s="341"/>
      <c r="Q286" s="346">
        <f t="shared" si="17"/>
        <v>0</v>
      </c>
      <c r="R286" s="216">
        <f t="shared" si="17"/>
        <v>30</v>
      </c>
      <c r="S286" s="216">
        <f t="shared" si="17"/>
        <v>0</v>
      </c>
    </row>
    <row r="287" spans="1:19" ht="29.25" customHeight="1" hidden="1">
      <c r="A287" s="99"/>
      <c r="B287" s="98"/>
      <c r="C287" s="97"/>
      <c r="D287" s="101"/>
      <c r="E287" s="115"/>
      <c r="F287" s="115"/>
      <c r="G287" s="89"/>
      <c r="H287" s="347" t="s">
        <v>712</v>
      </c>
      <c r="I287" s="341">
        <v>27</v>
      </c>
      <c r="J287" s="348">
        <v>4</v>
      </c>
      <c r="K287" s="348">
        <v>12</v>
      </c>
      <c r="L287" s="344" t="s">
        <v>551</v>
      </c>
      <c r="M287" s="345" t="s">
        <v>556</v>
      </c>
      <c r="N287" s="345" t="s">
        <v>557</v>
      </c>
      <c r="O287" s="345" t="s">
        <v>284</v>
      </c>
      <c r="P287" s="341">
        <v>240</v>
      </c>
      <c r="Q287" s="346">
        <f>'Приложение 9'!Q174</f>
        <v>0</v>
      </c>
      <c r="R287" s="216">
        <v>30</v>
      </c>
      <c r="S287" s="216">
        <v>0</v>
      </c>
    </row>
    <row r="288" spans="1:19" ht="34.5" customHeight="1">
      <c r="A288" s="99"/>
      <c r="B288" s="98"/>
      <c r="C288" s="103"/>
      <c r="D288" s="101"/>
      <c r="E288" s="372">
        <v>4210200</v>
      </c>
      <c r="F288" s="372"/>
      <c r="G288" s="89">
        <v>521</v>
      </c>
      <c r="H288" s="5" t="s">
        <v>32</v>
      </c>
      <c r="I288" s="8">
        <v>27</v>
      </c>
      <c r="J288" s="7">
        <v>4</v>
      </c>
      <c r="K288" s="7">
        <v>12</v>
      </c>
      <c r="L288" s="95" t="s">
        <v>45</v>
      </c>
      <c r="M288" s="96" t="s">
        <v>556</v>
      </c>
      <c r="N288" s="96" t="s">
        <v>576</v>
      </c>
      <c r="O288" s="96" t="s">
        <v>613</v>
      </c>
      <c r="P288" s="10"/>
      <c r="Q288" s="214">
        <f>Q289+Q297</f>
        <v>434.2</v>
      </c>
      <c r="R288" s="214"/>
      <c r="S288" s="214"/>
    </row>
    <row r="289" spans="1:19" ht="34.5" customHeight="1">
      <c r="A289" s="99"/>
      <c r="B289" s="98"/>
      <c r="C289" s="103"/>
      <c r="D289" s="109"/>
      <c r="E289" s="104"/>
      <c r="F289" s="104"/>
      <c r="G289" s="105">
        <v>521</v>
      </c>
      <c r="H289" s="18" t="s">
        <v>30</v>
      </c>
      <c r="I289" s="8">
        <v>27</v>
      </c>
      <c r="J289" s="7">
        <v>4</v>
      </c>
      <c r="K289" s="7">
        <v>12</v>
      </c>
      <c r="L289" s="95" t="s">
        <v>45</v>
      </c>
      <c r="M289" s="96" t="s">
        <v>556</v>
      </c>
      <c r="N289" s="96" t="s">
        <v>557</v>
      </c>
      <c r="O289" s="96" t="s">
        <v>613</v>
      </c>
      <c r="P289" s="6"/>
      <c r="Q289" s="216">
        <f>Q290+Q293+Q295</f>
        <v>398.2</v>
      </c>
      <c r="R289" s="216"/>
      <c r="S289" s="216"/>
    </row>
    <row r="290" spans="1:19" ht="23.25" customHeight="1">
      <c r="A290" s="99"/>
      <c r="B290" s="98"/>
      <c r="C290" s="97"/>
      <c r="D290" s="109"/>
      <c r="E290" s="104"/>
      <c r="F290" s="104"/>
      <c r="G290" s="89"/>
      <c r="H290" s="18" t="s">
        <v>252</v>
      </c>
      <c r="I290" s="8">
        <v>27</v>
      </c>
      <c r="J290" s="7">
        <v>4</v>
      </c>
      <c r="K290" s="7">
        <v>12</v>
      </c>
      <c r="L290" s="95" t="s">
        <v>45</v>
      </c>
      <c r="M290" s="96" t="s">
        <v>556</v>
      </c>
      <c r="N290" s="96" t="s">
        <v>557</v>
      </c>
      <c r="O290" s="96" t="s">
        <v>251</v>
      </c>
      <c r="P290" s="6"/>
      <c r="Q290" s="216">
        <f>SUM(Q291:Q292)</f>
        <v>68.2</v>
      </c>
      <c r="R290" s="216"/>
      <c r="S290" s="216"/>
    </row>
    <row r="291" spans="1:19" ht="30" customHeight="1" hidden="1">
      <c r="A291" s="99"/>
      <c r="B291" s="98"/>
      <c r="C291" s="97"/>
      <c r="D291" s="109"/>
      <c r="E291" s="104"/>
      <c r="F291" s="104"/>
      <c r="G291" s="89"/>
      <c r="H291" s="18" t="s">
        <v>712</v>
      </c>
      <c r="I291" s="8">
        <v>27</v>
      </c>
      <c r="J291" s="7">
        <v>4</v>
      </c>
      <c r="K291" s="7">
        <v>12</v>
      </c>
      <c r="L291" s="95" t="s">
        <v>45</v>
      </c>
      <c r="M291" s="96" t="s">
        <v>556</v>
      </c>
      <c r="N291" s="96" t="s">
        <v>557</v>
      </c>
      <c r="O291" s="96" t="s">
        <v>251</v>
      </c>
      <c r="P291" s="6">
        <v>240</v>
      </c>
      <c r="Q291" s="216">
        <f>'Приложение 9'!Q178</f>
        <v>0</v>
      </c>
      <c r="R291" s="216"/>
      <c r="S291" s="216"/>
    </row>
    <row r="292" spans="1:19" ht="38.25" customHeight="1">
      <c r="A292" s="99"/>
      <c r="B292" s="98"/>
      <c r="C292" s="97"/>
      <c r="D292" s="101"/>
      <c r="E292" s="115"/>
      <c r="F292" s="115"/>
      <c r="G292" s="89"/>
      <c r="H292" s="5" t="s">
        <v>9</v>
      </c>
      <c r="I292" s="8">
        <v>27</v>
      </c>
      <c r="J292" s="7">
        <v>4</v>
      </c>
      <c r="K292" s="7">
        <v>12</v>
      </c>
      <c r="L292" s="95" t="s">
        <v>45</v>
      </c>
      <c r="M292" s="96" t="s">
        <v>556</v>
      </c>
      <c r="N292" s="96" t="s">
        <v>557</v>
      </c>
      <c r="O292" s="96" t="s">
        <v>251</v>
      </c>
      <c r="P292" s="6">
        <v>810</v>
      </c>
      <c r="Q292" s="216">
        <f>'Приложение 9'!Q179</f>
        <v>68.2</v>
      </c>
      <c r="R292" s="216"/>
      <c r="S292" s="216"/>
    </row>
    <row r="293" spans="1:19" ht="32.25" customHeight="1" hidden="1">
      <c r="A293" s="99"/>
      <c r="B293" s="98"/>
      <c r="C293" s="97"/>
      <c r="D293" s="101"/>
      <c r="E293" s="115"/>
      <c r="F293" s="115"/>
      <c r="G293" s="89"/>
      <c r="H293" s="5" t="s">
        <v>800</v>
      </c>
      <c r="I293" s="8">
        <v>27</v>
      </c>
      <c r="J293" s="7">
        <v>4</v>
      </c>
      <c r="K293" s="7">
        <v>12</v>
      </c>
      <c r="L293" s="95" t="s">
        <v>45</v>
      </c>
      <c r="M293" s="96" t="s">
        <v>556</v>
      </c>
      <c r="N293" s="96" t="s">
        <v>557</v>
      </c>
      <c r="O293" s="96" t="s">
        <v>799</v>
      </c>
      <c r="P293" s="6"/>
      <c r="Q293" s="216">
        <f>Q294</f>
        <v>0</v>
      </c>
      <c r="R293" s="216"/>
      <c r="S293" s="216"/>
    </row>
    <row r="294" spans="1:19" ht="32.25" customHeight="1" hidden="1">
      <c r="A294" s="99"/>
      <c r="B294" s="98"/>
      <c r="C294" s="97"/>
      <c r="D294" s="101"/>
      <c r="E294" s="115"/>
      <c r="F294" s="115"/>
      <c r="G294" s="89"/>
      <c r="H294" s="5" t="s">
        <v>9</v>
      </c>
      <c r="I294" s="8">
        <v>27</v>
      </c>
      <c r="J294" s="7">
        <v>4</v>
      </c>
      <c r="K294" s="7">
        <v>12</v>
      </c>
      <c r="L294" s="95" t="s">
        <v>45</v>
      </c>
      <c r="M294" s="96" t="s">
        <v>556</v>
      </c>
      <c r="N294" s="96" t="s">
        <v>557</v>
      </c>
      <c r="O294" s="96" t="s">
        <v>799</v>
      </c>
      <c r="P294" s="6">
        <v>810</v>
      </c>
      <c r="Q294" s="216">
        <f>'Приложение 9'!Q181</f>
        <v>0</v>
      </c>
      <c r="R294" s="216"/>
      <c r="S294" s="216"/>
    </row>
    <row r="295" spans="1:19" ht="32.25" customHeight="1">
      <c r="A295" s="99"/>
      <c r="B295" s="98"/>
      <c r="C295" s="97"/>
      <c r="D295" s="101"/>
      <c r="E295" s="115"/>
      <c r="F295" s="115"/>
      <c r="G295" s="89"/>
      <c r="H295" s="5" t="s">
        <v>8</v>
      </c>
      <c r="I295" s="8">
        <v>27</v>
      </c>
      <c r="J295" s="7">
        <v>4</v>
      </c>
      <c r="K295" s="7">
        <v>12</v>
      </c>
      <c r="L295" s="95" t="s">
        <v>45</v>
      </c>
      <c r="M295" s="96" t="s">
        <v>556</v>
      </c>
      <c r="N295" s="96" t="s">
        <v>557</v>
      </c>
      <c r="O295" s="96" t="s">
        <v>7</v>
      </c>
      <c r="P295" s="6"/>
      <c r="Q295" s="216">
        <f>Q296</f>
        <v>330</v>
      </c>
      <c r="R295" s="216"/>
      <c r="S295" s="216"/>
    </row>
    <row r="296" spans="1:19" ht="32.25" customHeight="1">
      <c r="A296" s="99"/>
      <c r="B296" s="98"/>
      <c r="C296" s="97"/>
      <c r="D296" s="101"/>
      <c r="E296" s="115"/>
      <c r="F296" s="115"/>
      <c r="G296" s="89"/>
      <c r="H296" s="5" t="s">
        <v>9</v>
      </c>
      <c r="I296" s="8">
        <v>27</v>
      </c>
      <c r="J296" s="7">
        <v>4</v>
      </c>
      <c r="K296" s="7">
        <v>12</v>
      </c>
      <c r="L296" s="95" t="s">
        <v>45</v>
      </c>
      <c r="M296" s="96" t="s">
        <v>556</v>
      </c>
      <c r="N296" s="96" t="s">
        <v>557</v>
      </c>
      <c r="O296" s="96" t="s">
        <v>7</v>
      </c>
      <c r="P296" s="6">
        <v>810</v>
      </c>
      <c r="Q296" s="216">
        <f>'Приложение 9'!Q183</f>
        <v>330</v>
      </c>
      <c r="R296" s="216"/>
      <c r="S296" s="216"/>
    </row>
    <row r="297" spans="1:19" ht="24.75" customHeight="1">
      <c r="A297" s="99"/>
      <c r="B297" s="98"/>
      <c r="C297" s="97"/>
      <c r="D297" s="101"/>
      <c r="E297" s="115"/>
      <c r="F297" s="115"/>
      <c r="G297" s="89"/>
      <c r="H297" s="5" t="s">
        <v>31</v>
      </c>
      <c r="I297" s="8">
        <v>27</v>
      </c>
      <c r="J297" s="7">
        <v>4</v>
      </c>
      <c r="K297" s="7">
        <v>12</v>
      </c>
      <c r="L297" s="95" t="s">
        <v>45</v>
      </c>
      <c r="M297" s="96" t="s">
        <v>556</v>
      </c>
      <c r="N297" s="96" t="s">
        <v>585</v>
      </c>
      <c r="O297" s="96" t="s">
        <v>613</v>
      </c>
      <c r="P297" s="6"/>
      <c r="Q297" s="216">
        <f>Q298</f>
        <v>36</v>
      </c>
      <c r="R297" s="216"/>
      <c r="S297" s="216"/>
    </row>
    <row r="298" spans="1:19" ht="30" customHeight="1">
      <c r="A298" s="99"/>
      <c r="B298" s="98"/>
      <c r="C298" s="97"/>
      <c r="D298" s="101"/>
      <c r="E298" s="115"/>
      <c r="F298" s="115"/>
      <c r="G298" s="89"/>
      <c r="H298" s="5" t="s">
        <v>254</v>
      </c>
      <c r="I298" s="8">
        <v>27</v>
      </c>
      <c r="J298" s="7">
        <v>4</v>
      </c>
      <c r="K298" s="7">
        <v>12</v>
      </c>
      <c r="L298" s="95" t="s">
        <v>45</v>
      </c>
      <c r="M298" s="96" t="s">
        <v>556</v>
      </c>
      <c r="N298" s="96" t="s">
        <v>585</v>
      </c>
      <c r="O298" s="96" t="s">
        <v>253</v>
      </c>
      <c r="P298" s="6"/>
      <c r="Q298" s="216">
        <f>Q299</f>
        <v>36</v>
      </c>
      <c r="R298" s="216"/>
      <c r="S298" s="216"/>
    </row>
    <row r="299" spans="1:19" ht="33" customHeight="1">
      <c r="A299" s="99"/>
      <c r="B299" s="98"/>
      <c r="C299" s="97"/>
      <c r="D299" s="101"/>
      <c r="E299" s="115"/>
      <c r="F299" s="115"/>
      <c r="G299" s="89"/>
      <c r="H299" s="5" t="s">
        <v>712</v>
      </c>
      <c r="I299" s="8">
        <v>27</v>
      </c>
      <c r="J299" s="7">
        <v>4</v>
      </c>
      <c r="K299" s="7">
        <v>12</v>
      </c>
      <c r="L299" s="95" t="s">
        <v>45</v>
      </c>
      <c r="M299" s="96" t="s">
        <v>556</v>
      </c>
      <c r="N299" s="96" t="s">
        <v>585</v>
      </c>
      <c r="O299" s="96" t="s">
        <v>253</v>
      </c>
      <c r="P299" s="6">
        <v>240</v>
      </c>
      <c r="Q299" s="216">
        <f>'Приложение 9'!Q186</f>
        <v>36</v>
      </c>
      <c r="R299" s="216"/>
      <c r="S299" s="216"/>
    </row>
    <row r="300" spans="1:19" ht="33" customHeight="1">
      <c r="A300" s="99"/>
      <c r="B300" s="98"/>
      <c r="C300" s="97"/>
      <c r="D300" s="101"/>
      <c r="E300" s="115"/>
      <c r="F300" s="115"/>
      <c r="G300" s="89"/>
      <c r="H300" s="5" t="str">
        <f>'Приложение 9'!H187</f>
        <v> Муниципальная  программа «Организация отдыха и занятости детей Белозерского муниципального района в каникулярное время на 2020-2025 годы»</v>
      </c>
      <c r="I300" s="8">
        <f>'Приложение 9'!I187</f>
        <v>27</v>
      </c>
      <c r="J300" s="7">
        <f>'Приложение 9'!J187</f>
        <v>4</v>
      </c>
      <c r="K300" s="7">
        <f>'Приложение 9'!K187</f>
        <v>12</v>
      </c>
      <c r="L300" s="95" t="str">
        <f>'Приложение 9'!L187</f>
        <v>27</v>
      </c>
      <c r="M300" s="96" t="str">
        <f>'Приложение 9'!M187</f>
        <v>0</v>
      </c>
      <c r="N300" s="96" t="str">
        <f>'Приложение 9'!N187</f>
        <v>00</v>
      </c>
      <c r="O300" s="96" t="str">
        <f>'Приложение 9'!O187</f>
        <v>00000</v>
      </c>
      <c r="P300" s="6" t="s">
        <v>614</v>
      </c>
      <c r="Q300" s="216">
        <f>'Приложение 9'!Q187</f>
        <v>13</v>
      </c>
      <c r="R300" s="216"/>
      <c r="S300" s="216"/>
    </row>
    <row r="301" spans="1:19" ht="33" customHeight="1">
      <c r="A301" s="99"/>
      <c r="B301" s="98"/>
      <c r="C301" s="97"/>
      <c r="D301" s="101"/>
      <c r="E301" s="115"/>
      <c r="F301" s="115"/>
      <c r="G301" s="89"/>
      <c r="H301" s="5" t="str">
        <f>'Приложение 9'!H188</f>
        <v> Основное мероприятие «Организация временного трудоустройства несовершеннолетних граждан в возрасте от 14 до 18 лет в свободное от учебы время»</v>
      </c>
      <c r="I301" s="8">
        <f>'Приложение 9'!I188</f>
        <v>27</v>
      </c>
      <c r="J301" s="7">
        <f>'Приложение 9'!J188</f>
        <v>4</v>
      </c>
      <c r="K301" s="7">
        <f>'Приложение 9'!K188</f>
        <v>12</v>
      </c>
      <c r="L301" s="95" t="str">
        <f>'Приложение 9'!L188</f>
        <v>27</v>
      </c>
      <c r="M301" s="96" t="str">
        <f>'Приложение 9'!M188</f>
        <v>0</v>
      </c>
      <c r="N301" s="96" t="str">
        <f>'Приложение 9'!N188</f>
        <v>05</v>
      </c>
      <c r="O301" s="96" t="str">
        <f>'Приложение 9'!O188</f>
        <v>00000</v>
      </c>
      <c r="P301" s="6" t="s">
        <v>614</v>
      </c>
      <c r="Q301" s="216">
        <f>'Приложение 9'!Q188</f>
        <v>13</v>
      </c>
      <c r="R301" s="216"/>
      <c r="S301" s="216"/>
    </row>
    <row r="302" spans="1:19" ht="33" customHeight="1">
      <c r="A302" s="99"/>
      <c r="B302" s="98"/>
      <c r="C302" s="97"/>
      <c r="D302" s="101"/>
      <c r="E302" s="115"/>
      <c r="F302" s="115"/>
      <c r="G302" s="89"/>
      <c r="H302" s="5" t="str">
        <f>'Приложение 9'!H189</f>
        <v>Учреждения культуры</v>
      </c>
      <c r="I302" s="8">
        <f>'Приложение 9'!I189</f>
        <v>27</v>
      </c>
      <c r="J302" s="7">
        <f>'Приложение 9'!J189</f>
        <v>4</v>
      </c>
      <c r="K302" s="7">
        <f>'Приложение 9'!K189</f>
        <v>12</v>
      </c>
      <c r="L302" s="95" t="str">
        <f>'Приложение 9'!L189</f>
        <v>27</v>
      </c>
      <c r="M302" s="96" t="str">
        <f>'Приложение 9'!M189</f>
        <v>0</v>
      </c>
      <c r="N302" s="96" t="str">
        <f>'Приложение 9'!N189</f>
        <v>05</v>
      </c>
      <c r="O302" s="96" t="str">
        <f>'Приложение 9'!O189</f>
        <v>01590</v>
      </c>
      <c r="P302" s="6" t="s">
        <v>844</v>
      </c>
      <c r="Q302" s="216">
        <f>'Приложение 9'!Q189</f>
        <v>13</v>
      </c>
      <c r="R302" s="216"/>
      <c r="S302" s="216"/>
    </row>
    <row r="303" spans="1:19" ht="33" customHeight="1">
      <c r="A303" s="99"/>
      <c r="B303" s="98"/>
      <c r="C303" s="97"/>
      <c r="D303" s="101"/>
      <c r="E303" s="115"/>
      <c r="F303" s="115"/>
      <c r="G303" s="89"/>
      <c r="H303" s="5" t="str">
        <f>'Приложение 9'!H190</f>
        <v> Субсидии бюджетным учреждениям</v>
      </c>
      <c r="I303" s="8">
        <f>'Приложение 9'!I190</f>
        <v>27</v>
      </c>
      <c r="J303" s="7">
        <f>'Приложение 9'!J190</f>
        <v>4</v>
      </c>
      <c r="K303" s="7">
        <f>'Приложение 9'!K190</f>
        <v>12</v>
      </c>
      <c r="L303" s="95" t="str">
        <f>'Приложение 9'!L190</f>
        <v>27</v>
      </c>
      <c r="M303" s="96" t="str">
        <f>'Приложение 9'!M190</f>
        <v>0</v>
      </c>
      <c r="N303" s="96" t="str">
        <f>'Приложение 9'!N190</f>
        <v>05</v>
      </c>
      <c r="O303" s="96" t="str">
        <f>'Приложение 9'!O190</f>
        <v>01590</v>
      </c>
      <c r="P303" s="6">
        <f>'Приложение 9'!P190</f>
        <v>610</v>
      </c>
      <c r="Q303" s="216">
        <f>'Приложение 9'!Q190</f>
        <v>13</v>
      </c>
      <c r="R303" s="216"/>
      <c r="S303" s="216"/>
    </row>
    <row r="304" spans="1:19" s="179" customFormat="1" ht="26.25" customHeight="1">
      <c r="A304" s="142"/>
      <c r="B304" s="143"/>
      <c r="C304" s="142"/>
      <c r="D304" s="150"/>
      <c r="E304" s="151"/>
      <c r="F304" s="151"/>
      <c r="G304" s="136"/>
      <c r="H304" s="312" t="s">
        <v>610</v>
      </c>
      <c r="I304" s="152">
        <v>27</v>
      </c>
      <c r="J304" s="148">
        <v>5</v>
      </c>
      <c r="K304" s="148"/>
      <c r="L304" s="140"/>
      <c r="M304" s="141"/>
      <c r="N304" s="141"/>
      <c r="O304" s="141"/>
      <c r="P304" s="146"/>
      <c r="Q304" s="217">
        <f>Q305+Q315+Q326+Q334</f>
        <v>63177</v>
      </c>
      <c r="R304" s="217">
        <f>R305+R315+R326+R334</f>
        <v>4437.200000000001</v>
      </c>
      <c r="S304" s="217">
        <f>S305+S315+S326+S334</f>
        <v>3727</v>
      </c>
    </row>
    <row r="305" spans="1:19" s="179" customFormat="1" ht="29.25" customHeight="1">
      <c r="A305" s="142"/>
      <c r="B305" s="143"/>
      <c r="C305" s="142"/>
      <c r="D305" s="150"/>
      <c r="E305" s="151"/>
      <c r="F305" s="151"/>
      <c r="G305" s="136"/>
      <c r="H305" s="312" t="s">
        <v>611</v>
      </c>
      <c r="I305" s="152">
        <v>27</v>
      </c>
      <c r="J305" s="148">
        <v>5</v>
      </c>
      <c r="K305" s="148">
        <v>1</v>
      </c>
      <c r="L305" s="140"/>
      <c r="M305" s="141"/>
      <c r="N305" s="141"/>
      <c r="O305" s="141"/>
      <c r="P305" s="146"/>
      <c r="Q305" s="217">
        <f aca="true" t="shared" si="18" ref="Q305:S306">Q306</f>
        <v>41872.2</v>
      </c>
      <c r="R305" s="217">
        <f t="shared" si="18"/>
        <v>3941.9</v>
      </c>
      <c r="S305" s="217">
        <f t="shared" si="18"/>
        <v>3299.5</v>
      </c>
    </row>
    <row r="306" spans="1:19" ht="39.75" customHeight="1">
      <c r="A306" s="97"/>
      <c r="B306" s="98"/>
      <c r="C306" s="97"/>
      <c r="D306" s="101"/>
      <c r="E306" s="115"/>
      <c r="F306" s="115"/>
      <c r="G306" s="89"/>
      <c r="H306" s="18" t="s">
        <v>808</v>
      </c>
      <c r="I306" s="8">
        <v>27</v>
      </c>
      <c r="J306" s="7">
        <v>5</v>
      </c>
      <c r="K306" s="7">
        <v>1</v>
      </c>
      <c r="L306" s="95" t="s">
        <v>275</v>
      </c>
      <c r="M306" s="96" t="s">
        <v>556</v>
      </c>
      <c r="N306" s="96" t="s">
        <v>576</v>
      </c>
      <c r="O306" s="96" t="s">
        <v>613</v>
      </c>
      <c r="P306" s="6"/>
      <c r="Q306" s="216">
        <f t="shared" si="18"/>
        <v>41872.2</v>
      </c>
      <c r="R306" s="216">
        <f t="shared" si="18"/>
        <v>3941.9</v>
      </c>
      <c r="S306" s="216">
        <f t="shared" si="18"/>
        <v>3299.5</v>
      </c>
    </row>
    <row r="307" spans="1:19" ht="33" customHeight="1">
      <c r="A307" s="97"/>
      <c r="B307" s="98"/>
      <c r="C307" s="97"/>
      <c r="D307" s="101"/>
      <c r="E307" s="115"/>
      <c r="F307" s="115"/>
      <c r="G307" s="89"/>
      <c r="H307" s="18" t="s">
        <v>117</v>
      </c>
      <c r="I307" s="8">
        <v>27</v>
      </c>
      <c r="J307" s="7">
        <v>5</v>
      </c>
      <c r="K307" s="7">
        <v>1</v>
      </c>
      <c r="L307" s="95" t="s">
        <v>275</v>
      </c>
      <c r="M307" s="96" t="s">
        <v>556</v>
      </c>
      <c r="N307" s="96" t="s">
        <v>809</v>
      </c>
      <c r="O307" s="96" t="s">
        <v>613</v>
      </c>
      <c r="P307" s="6"/>
      <c r="Q307" s="216">
        <f>Q308+Q310+Q312</f>
        <v>41872.2</v>
      </c>
      <c r="R307" s="216">
        <f>R308+R310+R312</f>
        <v>3941.9</v>
      </c>
      <c r="S307" s="216">
        <f>S308+S310+S312</f>
        <v>3299.5</v>
      </c>
    </row>
    <row r="308" spans="1:19" ht="38.25" customHeight="1">
      <c r="A308" s="99"/>
      <c r="B308" s="98"/>
      <c r="C308" s="97"/>
      <c r="D308" s="101"/>
      <c r="E308" s="115"/>
      <c r="F308" s="115"/>
      <c r="G308" s="89"/>
      <c r="H308" s="18" t="s">
        <v>802</v>
      </c>
      <c r="I308" s="8">
        <v>27</v>
      </c>
      <c r="J308" s="7">
        <v>5</v>
      </c>
      <c r="K308" s="7">
        <v>1</v>
      </c>
      <c r="L308" s="95" t="s">
        <v>275</v>
      </c>
      <c r="M308" s="96" t="s">
        <v>556</v>
      </c>
      <c r="N308" s="96" t="s">
        <v>809</v>
      </c>
      <c r="O308" s="96" t="s">
        <v>812</v>
      </c>
      <c r="P308" s="6"/>
      <c r="Q308" s="216">
        <f>Q309</f>
        <v>40173.299999999996</v>
      </c>
      <c r="R308" s="216"/>
      <c r="S308" s="216"/>
    </row>
    <row r="309" spans="1:19" ht="23.25" customHeight="1">
      <c r="A309" s="99"/>
      <c r="B309" s="98"/>
      <c r="C309" s="97"/>
      <c r="D309" s="101"/>
      <c r="E309" s="115"/>
      <c r="F309" s="115"/>
      <c r="G309" s="89"/>
      <c r="H309" s="18" t="s">
        <v>518</v>
      </c>
      <c r="I309" s="8">
        <v>27</v>
      </c>
      <c r="J309" s="7">
        <v>5</v>
      </c>
      <c r="K309" s="7">
        <v>1</v>
      </c>
      <c r="L309" s="95" t="s">
        <v>275</v>
      </c>
      <c r="M309" s="96" t="s">
        <v>556</v>
      </c>
      <c r="N309" s="96" t="s">
        <v>809</v>
      </c>
      <c r="O309" s="96" t="s">
        <v>812</v>
      </c>
      <c r="P309" s="6">
        <v>410</v>
      </c>
      <c r="Q309" s="214">
        <f>'Приложение 9'!Q196</f>
        <v>40173.299999999996</v>
      </c>
      <c r="R309" s="216"/>
      <c r="S309" s="216"/>
    </row>
    <row r="310" spans="1:19" ht="39.75" customHeight="1">
      <c r="A310" s="99"/>
      <c r="B310" s="98"/>
      <c r="C310" s="97"/>
      <c r="D310" s="101"/>
      <c r="E310" s="115"/>
      <c r="F310" s="115"/>
      <c r="G310" s="89"/>
      <c r="H310" s="18" t="s">
        <v>803</v>
      </c>
      <c r="I310" s="8">
        <v>27</v>
      </c>
      <c r="J310" s="7">
        <v>5</v>
      </c>
      <c r="K310" s="7">
        <v>1</v>
      </c>
      <c r="L310" s="95" t="s">
        <v>275</v>
      </c>
      <c r="M310" s="96" t="s">
        <v>556</v>
      </c>
      <c r="N310" s="96" t="s">
        <v>809</v>
      </c>
      <c r="O310" s="96" t="s">
        <v>813</v>
      </c>
      <c r="P310" s="6"/>
      <c r="Q310" s="216">
        <f>Q311</f>
        <v>1673.9</v>
      </c>
      <c r="R310" s="216">
        <f>R311</f>
        <v>2941.9</v>
      </c>
      <c r="S310" s="216">
        <f>S311</f>
        <v>2299.5</v>
      </c>
    </row>
    <row r="311" spans="1:19" ht="24" customHeight="1">
      <c r="A311" s="99"/>
      <c r="B311" s="98"/>
      <c r="C311" s="97"/>
      <c r="D311" s="101"/>
      <c r="E311" s="115"/>
      <c r="F311" s="115"/>
      <c r="G311" s="89"/>
      <c r="H311" s="18" t="s">
        <v>518</v>
      </c>
      <c r="I311" s="8">
        <v>27</v>
      </c>
      <c r="J311" s="7">
        <v>5</v>
      </c>
      <c r="K311" s="7">
        <v>1</v>
      </c>
      <c r="L311" s="95" t="s">
        <v>275</v>
      </c>
      <c r="M311" s="96" t="s">
        <v>556</v>
      </c>
      <c r="N311" s="96" t="s">
        <v>809</v>
      </c>
      <c r="O311" s="96" t="s">
        <v>813</v>
      </c>
      <c r="P311" s="6">
        <v>410</v>
      </c>
      <c r="Q311" s="214">
        <f>'Приложение 9'!Q198</f>
        <v>1673.9</v>
      </c>
      <c r="R311" s="216">
        <v>2941.9</v>
      </c>
      <c r="S311" s="216">
        <v>2299.5</v>
      </c>
    </row>
    <row r="312" spans="1:19" ht="42" customHeight="1">
      <c r="A312" s="99"/>
      <c r="B312" s="98"/>
      <c r="C312" s="97"/>
      <c r="D312" s="101"/>
      <c r="E312" s="115"/>
      <c r="F312" s="115"/>
      <c r="G312" s="89"/>
      <c r="H312" s="18" t="s">
        <v>817</v>
      </c>
      <c r="I312" s="8">
        <v>27</v>
      </c>
      <c r="J312" s="7">
        <v>5</v>
      </c>
      <c r="K312" s="7">
        <v>1</v>
      </c>
      <c r="L312" s="95" t="s">
        <v>275</v>
      </c>
      <c r="M312" s="96" t="s">
        <v>556</v>
      </c>
      <c r="N312" s="96" t="s">
        <v>809</v>
      </c>
      <c r="O312" s="96" t="s">
        <v>816</v>
      </c>
      <c r="P312" s="6"/>
      <c r="Q312" s="216">
        <f>Q314+Q313</f>
        <v>25</v>
      </c>
      <c r="R312" s="216">
        <f>R314</f>
        <v>1000</v>
      </c>
      <c r="S312" s="216">
        <f>S314</f>
        <v>1000</v>
      </c>
    </row>
    <row r="313" spans="1:19" ht="29.25" customHeight="1">
      <c r="A313" s="99"/>
      <c r="B313" s="98"/>
      <c r="C313" s="97"/>
      <c r="D313" s="101"/>
      <c r="E313" s="115"/>
      <c r="F313" s="115"/>
      <c r="G313" s="89"/>
      <c r="H313" s="18" t="str">
        <f>'Приложение 9'!H200</f>
        <v>Иные закупки товаров, работ и услуг для обеспечения государственных (муниципальных) нужд</v>
      </c>
      <c r="I313" s="8">
        <f>'Приложение 9'!I200</f>
        <v>27</v>
      </c>
      <c r="J313" s="7">
        <f>'Приложение 9'!J200</f>
        <v>5</v>
      </c>
      <c r="K313" s="7">
        <f>'Приложение 9'!K200</f>
        <v>1</v>
      </c>
      <c r="L313" s="95" t="str">
        <f>'Приложение 9'!L200</f>
        <v>26</v>
      </c>
      <c r="M313" s="96" t="str">
        <f>'Приложение 9'!M200</f>
        <v>0</v>
      </c>
      <c r="N313" s="96" t="str">
        <f>'Приложение 9'!N200</f>
        <v>F3</v>
      </c>
      <c r="O313" s="96" t="str">
        <f>'Приложение 9'!O200</f>
        <v>6748S</v>
      </c>
      <c r="P313" s="6">
        <f>'Приложение 9'!P200</f>
        <v>240</v>
      </c>
      <c r="Q313" s="216">
        <f>'Приложение 9'!Q200</f>
        <v>25</v>
      </c>
      <c r="R313" s="216"/>
      <c r="S313" s="216"/>
    </row>
    <row r="314" spans="1:19" ht="24" customHeight="1" hidden="1">
      <c r="A314" s="99"/>
      <c r="B314" s="98"/>
      <c r="C314" s="97"/>
      <c r="D314" s="101"/>
      <c r="E314" s="115"/>
      <c r="F314" s="115"/>
      <c r="G314" s="89"/>
      <c r="H314" s="18" t="s">
        <v>518</v>
      </c>
      <c r="I314" s="8">
        <v>27</v>
      </c>
      <c r="J314" s="7">
        <v>5</v>
      </c>
      <c r="K314" s="7">
        <v>1</v>
      </c>
      <c r="L314" s="95" t="s">
        <v>275</v>
      </c>
      <c r="M314" s="96" t="s">
        <v>556</v>
      </c>
      <c r="N314" s="96" t="s">
        <v>809</v>
      </c>
      <c r="O314" s="96" t="s">
        <v>816</v>
      </c>
      <c r="P314" s="6">
        <v>410</v>
      </c>
      <c r="Q314" s="216">
        <f>'Приложение 9'!Q201</f>
        <v>0</v>
      </c>
      <c r="R314" s="216">
        <v>1000</v>
      </c>
      <c r="S314" s="216">
        <v>1000</v>
      </c>
    </row>
    <row r="315" spans="1:19" s="179" customFormat="1" ht="21" customHeight="1">
      <c r="A315" s="142"/>
      <c r="B315" s="143"/>
      <c r="C315" s="142"/>
      <c r="D315" s="150"/>
      <c r="E315" s="151"/>
      <c r="F315" s="151"/>
      <c r="G315" s="136"/>
      <c r="H315" s="312" t="s">
        <v>731</v>
      </c>
      <c r="I315" s="146">
        <v>27</v>
      </c>
      <c r="J315" s="148">
        <v>5</v>
      </c>
      <c r="K315" s="148">
        <v>2</v>
      </c>
      <c r="L315" s="140"/>
      <c r="M315" s="141"/>
      <c r="N315" s="141"/>
      <c r="O315" s="141"/>
      <c r="P315" s="146"/>
      <c r="Q315" s="217">
        <f>Q316+Q323</f>
        <v>11450.5</v>
      </c>
      <c r="R315" s="217"/>
      <c r="S315" s="217"/>
    </row>
    <row r="316" spans="1:19" ht="39.75" customHeight="1">
      <c r="A316" s="99"/>
      <c r="B316" s="98"/>
      <c r="C316" s="97"/>
      <c r="D316" s="101"/>
      <c r="E316" s="115"/>
      <c r="F316" s="115"/>
      <c r="G316" s="89"/>
      <c r="H316" s="18" t="s">
        <v>637</v>
      </c>
      <c r="I316" s="27">
        <v>27</v>
      </c>
      <c r="J316" s="7">
        <v>5</v>
      </c>
      <c r="K316" s="7">
        <v>2</v>
      </c>
      <c r="L316" s="95" t="s">
        <v>577</v>
      </c>
      <c r="M316" s="96" t="s">
        <v>556</v>
      </c>
      <c r="N316" s="96" t="s">
        <v>576</v>
      </c>
      <c r="O316" s="96" t="s">
        <v>613</v>
      </c>
      <c r="P316" s="6"/>
      <c r="Q316" s="216">
        <f>Q317</f>
        <v>11030.5</v>
      </c>
      <c r="R316" s="216"/>
      <c r="S316" s="216"/>
    </row>
    <row r="317" spans="1:19" ht="39.75" customHeight="1">
      <c r="A317" s="99"/>
      <c r="B317" s="98"/>
      <c r="C317" s="97"/>
      <c r="D317" s="101"/>
      <c r="E317" s="115"/>
      <c r="F317" s="115"/>
      <c r="G317" s="89"/>
      <c r="H317" s="18" t="s">
        <v>301</v>
      </c>
      <c r="I317" s="27">
        <v>27</v>
      </c>
      <c r="J317" s="7">
        <v>5</v>
      </c>
      <c r="K317" s="7">
        <v>2</v>
      </c>
      <c r="L317" s="95" t="s">
        <v>577</v>
      </c>
      <c r="M317" s="96" t="s">
        <v>556</v>
      </c>
      <c r="N317" s="96" t="s">
        <v>557</v>
      </c>
      <c r="O317" s="96" t="s">
        <v>613</v>
      </c>
      <c r="P317" s="6"/>
      <c r="Q317" s="216">
        <f>Q318+Q321</f>
        <v>11030.5</v>
      </c>
      <c r="R317" s="216"/>
      <c r="S317" s="216"/>
    </row>
    <row r="318" spans="1:19" ht="27" customHeight="1">
      <c r="A318" s="99"/>
      <c r="B318" s="98"/>
      <c r="C318" s="97"/>
      <c r="D318" s="101"/>
      <c r="E318" s="115"/>
      <c r="F318" s="115"/>
      <c r="G318" s="89"/>
      <c r="H318" s="18" t="s">
        <v>862</v>
      </c>
      <c r="I318" s="27">
        <v>27</v>
      </c>
      <c r="J318" s="7">
        <v>5</v>
      </c>
      <c r="K318" s="7">
        <v>2</v>
      </c>
      <c r="L318" s="95" t="s">
        <v>577</v>
      </c>
      <c r="M318" s="96" t="s">
        <v>556</v>
      </c>
      <c r="N318" s="96" t="s">
        <v>557</v>
      </c>
      <c r="O318" s="96" t="s">
        <v>261</v>
      </c>
      <c r="P318" s="6"/>
      <c r="Q318" s="216">
        <f>Q319+Q320</f>
        <v>3430.5</v>
      </c>
      <c r="R318" s="216"/>
      <c r="S318" s="216"/>
    </row>
    <row r="319" spans="1:19" ht="22.5" customHeight="1">
      <c r="A319" s="99"/>
      <c r="B319" s="98"/>
      <c r="C319" s="97"/>
      <c r="D319" s="101"/>
      <c r="E319" s="115"/>
      <c r="F319" s="115"/>
      <c r="G319" s="89"/>
      <c r="H319" s="18" t="s">
        <v>712</v>
      </c>
      <c r="I319" s="27">
        <v>27</v>
      </c>
      <c r="J319" s="7">
        <v>5</v>
      </c>
      <c r="K319" s="7">
        <v>2</v>
      </c>
      <c r="L319" s="95" t="s">
        <v>577</v>
      </c>
      <c r="M319" s="96" t="s">
        <v>556</v>
      </c>
      <c r="N319" s="96" t="s">
        <v>557</v>
      </c>
      <c r="O319" s="96" t="s">
        <v>261</v>
      </c>
      <c r="P319" s="6">
        <v>240</v>
      </c>
      <c r="Q319" s="216">
        <f>'Приложение 9'!Q206</f>
        <v>57</v>
      </c>
      <c r="R319" s="216"/>
      <c r="S319" s="216"/>
    </row>
    <row r="320" spans="1:19" ht="22.5" customHeight="1">
      <c r="A320" s="99"/>
      <c r="B320" s="98"/>
      <c r="C320" s="97"/>
      <c r="D320" s="101"/>
      <c r="E320" s="115"/>
      <c r="F320" s="115"/>
      <c r="G320" s="89"/>
      <c r="H320" s="18" t="str">
        <f>'Приложение 9'!H207</f>
        <v>Иные межбюджетные трансферты</v>
      </c>
      <c r="I320" s="27">
        <f>'Приложение 9'!I207</f>
        <v>27</v>
      </c>
      <c r="J320" s="7">
        <f>'Приложение 9'!J207</f>
        <v>5</v>
      </c>
      <c r="K320" s="7">
        <f>'Приложение 9'!K207</f>
        <v>2</v>
      </c>
      <c r="L320" s="95" t="str">
        <f>'Приложение 9'!L207</f>
        <v>10</v>
      </c>
      <c r="M320" s="96" t="str">
        <f>'Приложение 9'!M207</f>
        <v>0</v>
      </c>
      <c r="N320" s="96" t="str">
        <f>'Приложение 9'!N207</f>
        <v>01</v>
      </c>
      <c r="O320" s="96" t="str">
        <f>'Приложение 9'!O207</f>
        <v>20110</v>
      </c>
      <c r="P320" s="6">
        <f>'Приложение 9'!P207</f>
        <v>540</v>
      </c>
      <c r="Q320" s="216">
        <f>'Приложение 9'!Q207</f>
        <v>3373.5</v>
      </c>
      <c r="R320" s="216"/>
      <c r="S320" s="216"/>
    </row>
    <row r="321" spans="1:19" ht="22.5" customHeight="1">
      <c r="A321" s="99"/>
      <c r="B321" s="98"/>
      <c r="C321" s="97"/>
      <c r="D321" s="101"/>
      <c r="E321" s="115"/>
      <c r="F321" s="115"/>
      <c r="G321" s="89"/>
      <c r="H321" s="18" t="str">
        <f>'Приложение 9'!H208</f>
        <v>Строительство, реконструкция и капитальный ремонт централизованных систем водоснабжения и водоотведения</v>
      </c>
      <c r="I321" s="27">
        <f>'Приложение 9'!I208</f>
        <v>27</v>
      </c>
      <c r="J321" s="7">
        <f>'Приложение 9'!J208</f>
        <v>5</v>
      </c>
      <c r="K321" s="7">
        <f>'Приложение 9'!K208</f>
        <v>2</v>
      </c>
      <c r="L321" s="95" t="str">
        <f>'Приложение 9'!L208</f>
        <v>10</v>
      </c>
      <c r="M321" s="96" t="str">
        <f>'Приложение 9'!M208</f>
        <v>0</v>
      </c>
      <c r="N321" s="96" t="str">
        <f>'Приложение 9'!N208</f>
        <v>01</v>
      </c>
      <c r="O321" s="96" t="str">
        <f>'Приложение 9'!O208</f>
        <v>S3040</v>
      </c>
      <c r="P321" s="6" t="s">
        <v>614</v>
      </c>
      <c r="Q321" s="216">
        <f>Q322</f>
        <v>7600</v>
      </c>
      <c r="R321" s="216"/>
      <c r="S321" s="216"/>
    </row>
    <row r="322" spans="1:19" ht="22.5" customHeight="1">
      <c r="A322" s="99"/>
      <c r="B322" s="98"/>
      <c r="C322" s="97"/>
      <c r="D322" s="101"/>
      <c r="E322" s="115"/>
      <c r="F322" s="115"/>
      <c r="G322" s="89"/>
      <c r="H322" s="18" t="str">
        <f>'Приложение 9'!H209</f>
        <v>Иные закупки товаров, работ и услуг для обеспечения государственных (муниципальных) нужд</v>
      </c>
      <c r="I322" s="27">
        <f>'Приложение 9'!I209</f>
        <v>27</v>
      </c>
      <c r="J322" s="7">
        <f>'Приложение 9'!J209</f>
        <v>5</v>
      </c>
      <c r="K322" s="7">
        <f>'Приложение 9'!K209</f>
        <v>2</v>
      </c>
      <c r="L322" s="95" t="str">
        <f>'Приложение 9'!L209</f>
        <v>10</v>
      </c>
      <c r="M322" s="96" t="str">
        <f>'Приложение 9'!M209</f>
        <v>0</v>
      </c>
      <c r="N322" s="96" t="str">
        <f>'Приложение 9'!N209</f>
        <v>01</v>
      </c>
      <c r="O322" s="96" t="str">
        <f>'Приложение 9'!O209</f>
        <v>S3040</v>
      </c>
      <c r="P322" s="6">
        <f>'Приложение 9'!P209</f>
        <v>240</v>
      </c>
      <c r="Q322" s="216">
        <f>'Приложение 9'!Q209</f>
        <v>7600</v>
      </c>
      <c r="R322" s="216"/>
      <c r="S322" s="216"/>
    </row>
    <row r="323" spans="1:19" ht="22.5" customHeight="1">
      <c r="A323" s="99"/>
      <c r="B323" s="98"/>
      <c r="C323" s="97"/>
      <c r="D323" s="101"/>
      <c r="E323" s="115"/>
      <c r="F323" s="115"/>
      <c r="G323" s="89"/>
      <c r="H323" s="11" t="s">
        <v>292</v>
      </c>
      <c r="I323" s="27">
        <v>27</v>
      </c>
      <c r="J323" s="7">
        <v>5</v>
      </c>
      <c r="K323" s="7">
        <v>2</v>
      </c>
      <c r="L323" s="95" t="s">
        <v>573</v>
      </c>
      <c r="M323" s="96" t="s">
        <v>556</v>
      </c>
      <c r="N323" s="96" t="s">
        <v>576</v>
      </c>
      <c r="O323" s="96" t="s">
        <v>613</v>
      </c>
      <c r="P323" s="6"/>
      <c r="Q323" s="216">
        <f>Q324</f>
        <v>420</v>
      </c>
      <c r="R323" s="216"/>
      <c r="S323" s="216"/>
    </row>
    <row r="324" spans="1:19" ht="21" customHeight="1">
      <c r="A324" s="99"/>
      <c r="B324" s="98"/>
      <c r="C324" s="97"/>
      <c r="D324" s="101"/>
      <c r="E324" s="115"/>
      <c r="F324" s="115"/>
      <c r="G324" s="89"/>
      <c r="H324" s="18" t="s">
        <v>740</v>
      </c>
      <c r="I324" s="27">
        <v>27</v>
      </c>
      <c r="J324" s="7">
        <v>5</v>
      </c>
      <c r="K324" s="7">
        <v>2</v>
      </c>
      <c r="L324" s="95" t="s">
        <v>573</v>
      </c>
      <c r="M324" s="96" t="s">
        <v>556</v>
      </c>
      <c r="N324" s="96" t="s">
        <v>576</v>
      </c>
      <c r="O324" s="96" t="s">
        <v>739</v>
      </c>
      <c r="P324" s="6"/>
      <c r="Q324" s="216">
        <f>Q325</f>
        <v>420</v>
      </c>
      <c r="R324" s="216"/>
      <c r="S324" s="216"/>
    </row>
    <row r="325" spans="1:19" ht="21" customHeight="1">
      <c r="A325" s="99"/>
      <c r="B325" s="98"/>
      <c r="C325" s="97"/>
      <c r="D325" s="101"/>
      <c r="E325" s="115"/>
      <c r="F325" s="115"/>
      <c r="G325" s="89"/>
      <c r="H325" s="18" t="str">
        <f>'Приложение 9'!H212</f>
        <v>Иные межбюджетные трансферты</v>
      </c>
      <c r="I325" s="27">
        <v>27</v>
      </c>
      <c r="J325" s="7">
        <v>5</v>
      </c>
      <c r="K325" s="7">
        <v>2</v>
      </c>
      <c r="L325" s="95" t="s">
        <v>573</v>
      </c>
      <c r="M325" s="96" t="s">
        <v>556</v>
      </c>
      <c r="N325" s="96" t="s">
        <v>576</v>
      </c>
      <c r="O325" s="96" t="s">
        <v>739</v>
      </c>
      <c r="P325" s="6">
        <v>540</v>
      </c>
      <c r="Q325" s="216">
        <f>SUM('Приложение 9'!Q212)</f>
        <v>420</v>
      </c>
      <c r="R325" s="216"/>
      <c r="S325" s="216"/>
    </row>
    <row r="326" spans="1:19" s="179" customFormat="1" ht="26.25" customHeight="1">
      <c r="A326" s="142"/>
      <c r="B326" s="143"/>
      <c r="C326" s="142"/>
      <c r="D326" s="150"/>
      <c r="E326" s="151"/>
      <c r="F326" s="151"/>
      <c r="G326" s="136"/>
      <c r="H326" s="236" t="s">
        <v>274</v>
      </c>
      <c r="I326" s="248">
        <v>27</v>
      </c>
      <c r="J326" s="148">
        <v>5</v>
      </c>
      <c r="K326" s="148">
        <v>3</v>
      </c>
      <c r="L326" s="140"/>
      <c r="M326" s="141"/>
      <c r="N326" s="141"/>
      <c r="O326" s="141"/>
      <c r="P326" s="146"/>
      <c r="Q326" s="217">
        <f>Q327</f>
        <v>5282.8</v>
      </c>
      <c r="R326" s="217">
        <f aca="true" t="shared" si="19" ref="R326:S329">R327</f>
        <v>95.3</v>
      </c>
      <c r="S326" s="217">
        <f t="shared" si="19"/>
        <v>27.5</v>
      </c>
    </row>
    <row r="327" spans="1:19" ht="34.5" customHeight="1">
      <c r="A327" s="97"/>
      <c r="B327" s="98"/>
      <c r="C327" s="97"/>
      <c r="D327" s="101"/>
      <c r="E327" s="115"/>
      <c r="F327" s="115"/>
      <c r="G327" s="89"/>
      <c r="H327" s="18" t="s">
        <v>792</v>
      </c>
      <c r="I327" s="6">
        <v>27</v>
      </c>
      <c r="J327" s="7">
        <v>5</v>
      </c>
      <c r="K327" s="7">
        <v>3</v>
      </c>
      <c r="L327" s="95" t="s">
        <v>790</v>
      </c>
      <c r="M327" s="96" t="s">
        <v>556</v>
      </c>
      <c r="N327" s="96" t="s">
        <v>576</v>
      </c>
      <c r="O327" s="96" t="s">
        <v>613</v>
      </c>
      <c r="P327" s="6"/>
      <c r="Q327" s="216">
        <f>Q328+Q331</f>
        <v>5282.8</v>
      </c>
      <c r="R327" s="216">
        <f t="shared" si="19"/>
        <v>95.3</v>
      </c>
      <c r="S327" s="216">
        <f t="shared" si="19"/>
        <v>27.5</v>
      </c>
    </row>
    <row r="328" spans="1:19" ht="31.5" customHeight="1">
      <c r="A328" s="97"/>
      <c r="B328" s="98"/>
      <c r="C328" s="97"/>
      <c r="D328" s="101"/>
      <c r="E328" s="115"/>
      <c r="F328" s="115"/>
      <c r="G328" s="89"/>
      <c r="H328" s="128" t="s">
        <v>120</v>
      </c>
      <c r="I328" s="6">
        <v>27</v>
      </c>
      <c r="J328" s="7">
        <v>5</v>
      </c>
      <c r="K328" s="7">
        <v>3</v>
      </c>
      <c r="L328" s="95" t="s">
        <v>790</v>
      </c>
      <c r="M328" s="96" t="s">
        <v>556</v>
      </c>
      <c r="N328" s="96" t="s">
        <v>810</v>
      </c>
      <c r="O328" s="96" t="s">
        <v>613</v>
      </c>
      <c r="P328" s="6"/>
      <c r="Q328" s="216">
        <f>Q329</f>
        <v>282.99999999999994</v>
      </c>
      <c r="R328" s="216">
        <f t="shared" si="19"/>
        <v>95.3</v>
      </c>
      <c r="S328" s="216">
        <f t="shared" si="19"/>
        <v>27.5</v>
      </c>
    </row>
    <row r="329" spans="1:19" ht="33" customHeight="1">
      <c r="A329" s="97"/>
      <c r="B329" s="98"/>
      <c r="C329" s="97"/>
      <c r="D329" s="101"/>
      <c r="E329" s="115"/>
      <c r="F329" s="115"/>
      <c r="G329" s="89"/>
      <c r="H329" s="18" t="s">
        <v>791</v>
      </c>
      <c r="I329" s="6">
        <v>27</v>
      </c>
      <c r="J329" s="7">
        <v>5</v>
      </c>
      <c r="K329" s="7">
        <v>3</v>
      </c>
      <c r="L329" s="95" t="s">
        <v>790</v>
      </c>
      <c r="M329" s="96" t="s">
        <v>556</v>
      </c>
      <c r="N329" s="96" t="s">
        <v>810</v>
      </c>
      <c r="O329" s="96" t="s">
        <v>811</v>
      </c>
      <c r="P329" s="6"/>
      <c r="Q329" s="216">
        <f>Q330</f>
        <v>282.99999999999994</v>
      </c>
      <c r="R329" s="216">
        <f t="shared" si="19"/>
        <v>95.3</v>
      </c>
      <c r="S329" s="216">
        <f t="shared" si="19"/>
        <v>27.5</v>
      </c>
    </row>
    <row r="330" spans="1:19" ht="27" customHeight="1">
      <c r="A330" s="97"/>
      <c r="B330" s="98"/>
      <c r="C330" s="97"/>
      <c r="D330" s="101"/>
      <c r="E330" s="115"/>
      <c r="F330" s="115"/>
      <c r="G330" s="89"/>
      <c r="H330" s="18" t="s">
        <v>712</v>
      </c>
      <c r="I330" s="6">
        <v>27</v>
      </c>
      <c r="J330" s="7">
        <v>5</v>
      </c>
      <c r="K330" s="7">
        <v>3</v>
      </c>
      <c r="L330" s="95" t="s">
        <v>790</v>
      </c>
      <c r="M330" s="96" t="s">
        <v>556</v>
      </c>
      <c r="N330" s="96" t="s">
        <v>810</v>
      </c>
      <c r="O330" s="96" t="s">
        <v>811</v>
      </c>
      <c r="P330" s="6">
        <v>240</v>
      </c>
      <c r="Q330" s="216">
        <f>'Приложение 9'!Q217</f>
        <v>282.99999999999994</v>
      </c>
      <c r="R330" s="216">
        <v>95.3</v>
      </c>
      <c r="S330" s="216">
        <v>27.5</v>
      </c>
    </row>
    <row r="331" spans="1:19" ht="27" customHeight="1">
      <c r="A331" s="97"/>
      <c r="B331" s="98"/>
      <c r="C331" s="97"/>
      <c r="D331" s="101"/>
      <c r="E331" s="115"/>
      <c r="F331" s="115"/>
      <c r="G331" s="89"/>
      <c r="H331" s="18" t="str">
        <f>'Приложение 9'!H218</f>
        <v>Основное мероприятие "Благоустройство дворовых территорий многоквартирных домов, территорий общего пользования"</v>
      </c>
      <c r="I331" s="6">
        <f>'Приложение 9'!I218</f>
        <v>27</v>
      </c>
      <c r="J331" s="7">
        <f>'Приложение 9'!J218</f>
        <v>5</v>
      </c>
      <c r="K331" s="7">
        <f>'Приложение 9'!K218</f>
        <v>3</v>
      </c>
      <c r="L331" s="95" t="str">
        <f>'Приложение 9'!L218</f>
        <v>46</v>
      </c>
      <c r="M331" s="96" t="str">
        <f>'Приложение 9'!M218</f>
        <v>0</v>
      </c>
      <c r="N331" s="96" t="str">
        <f>'Приложение 9'!N218</f>
        <v>01</v>
      </c>
      <c r="O331" s="96" t="str">
        <f>'Приложение 9'!O218</f>
        <v>00000</v>
      </c>
      <c r="P331" s="6" t="s">
        <v>614</v>
      </c>
      <c r="Q331" s="216">
        <f>Q332</f>
        <v>4999.8</v>
      </c>
      <c r="R331" s="216"/>
      <c r="S331" s="216"/>
    </row>
    <row r="332" spans="1:19" ht="27" customHeight="1">
      <c r="A332" s="97"/>
      <c r="B332" s="98"/>
      <c r="C332" s="97"/>
      <c r="D332" s="101"/>
      <c r="E332" s="115"/>
      <c r="F332" s="115"/>
      <c r="G332" s="89"/>
      <c r="H332" s="18" t="str">
        <f>'Приложение 9'!H219</f>
        <v>Мероприятия по благоустройству</v>
      </c>
      <c r="I332" s="6">
        <f>'Приложение 9'!I219</f>
        <v>27</v>
      </c>
      <c r="J332" s="7">
        <f>'Приложение 9'!J219</f>
        <v>5</v>
      </c>
      <c r="K332" s="7">
        <f>'Приложение 9'!K219</f>
        <v>3</v>
      </c>
      <c r="L332" s="95" t="str">
        <f>'Приложение 9'!L219</f>
        <v>46</v>
      </c>
      <c r="M332" s="96" t="str">
        <f>'Приложение 9'!M219</f>
        <v>0</v>
      </c>
      <c r="N332" s="96" t="str">
        <f>'Приложение 9'!N219</f>
        <v>01</v>
      </c>
      <c r="O332" s="96" t="str">
        <f>'Приложение 9'!O219</f>
        <v>23050</v>
      </c>
      <c r="P332" s="6" t="s">
        <v>614</v>
      </c>
      <c r="Q332" s="216">
        <f>Q333</f>
        <v>4999.8</v>
      </c>
      <c r="R332" s="216"/>
      <c r="S332" s="216"/>
    </row>
    <row r="333" spans="1:19" ht="27" customHeight="1">
      <c r="A333" s="97"/>
      <c r="B333" s="98"/>
      <c r="C333" s="97"/>
      <c r="D333" s="101"/>
      <c r="E333" s="115"/>
      <c r="F333" s="115"/>
      <c r="G333" s="89"/>
      <c r="H333" s="18" t="str">
        <f>'Приложение 9'!H220</f>
        <v>Иные межбюджетные трансферты</v>
      </c>
      <c r="I333" s="6">
        <f>'Приложение 9'!I220</f>
        <v>27</v>
      </c>
      <c r="J333" s="7">
        <f>'Приложение 9'!J220</f>
        <v>5</v>
      </c>
      <c r="K333" s="7">
        <f>'Приложение 9'!K220</f>
        <v>3</v>
      </c>
      <c r="L333" s="95" t="str">
        <f>'Приложение 9'!L220</f>
        <v>46</v>
      </c>
      <c r="M333" s="96" t="str">
        <f>'Приложение 9'!M220</f>
        <v>0</v>
      </c>
      <c r="N333" s="96" t="str">
        <f>'Приложение 9'!N220</f>
        <v>01</v>
      </c>
      <c r="O333" s="96" t="str">
        <f>'Приложение 9'!O220</f>
        <v>23050</v>
      </c>
      <c r="P333" s="6">
        <f>'Приложение 9'!P220</f>
        <v>540</v>
      </c>
      <c r="Q333" s="216">
        <f>'Приложение 9'!Q220</f>
        <v>4999.8</v>
      </c>
      <c r="R333" s="216"/>
      <c r="S333" s="216"/>
    </row>
    <row r="334" spans="1:19" s="179" customFormat="1" ht="24.75" customHeight="1">
      <c r="A334" s="142"/>
      <c r="B334" s="143"/>
      <c r="C334" s="142"/>
      <c r="D334" s="150"/>
      <c r="E334" s="151"/>
      <c r="F334" s="151"/>
      <c r="G334" s="136"/>
      <c r="H334" s="249" t="s">
        <v>639</v>
      </c>
      <c r="I334" s="250">
        <v>27</v>
      </c>
      <c r="J334" s="354">
        <v>5</v>
      </c>
      <c r="K334" s="148">
        <v>5</v>
      </c>
      <c r="L334" s="140"/>
      <c r="M334" s="141"/>
      <c r="N334" s="141"/>
      <c r="O334" s="141"/>
      <c r="P334" s="146"/>
      <c r="Q334" s="217">
        <f>Q335+Q340</f>
        <v>4571.499999999999</v>
      </c>
      <c r="R334" s="217">
        <f>R335+R340</f>
        <v>400</v>
      </c>
      <c r="S334" s="217">
        <f>S335+S340</f>
        <v>400</v>
      </c>
    </row>
    <row r="335" spans="1:19" s="179" customFormat="1" ht="24.75" customHeight="1">
      <c r="A335" s="142"/>
      <c r="B335" s="143"/>
      <c r="C335" s="142"/>
      <c r="D335" s="150"/>
      <c r="E335" s="151"/>
      <c r="F335" s="151"/>
      <c r="G335" s="136"/>
      <c r="H335" s="11" t="s">
        <v>292</v>
      </c>
      <c r="I335" s="27">
        <v>27</v>
      </c>
      <c r="J335" s="7">
        <v>5</v>
      </c>
      <c r="K335" s="7">
        <v>5</v>
      </c>
      <c r="L335" s="95" t="s">
        <v>573</v>
      </c>
      <c r="M335" s="96" t="s">
        <v>556</v>
      </c>
      <c r="N335" s="96" t="s">
        <v>576</v>
      </c>
      <c r="O335" s="96" t="s">
        <v>613</v>
      </c>
      <c r="P335" s="146"/>
      <c r="Q335" s="217">
        <f>Q336+Q338</f>
        <v>4150.799999999999</v>
      </c>
      <c r="R335" s="217">
        <f>R336+R338</f>
        <v>0</v>
      </c>
      <c r="S335" s="217">
        <f>S336+S338</f>
        <v>0</v>
      </c>
    </row>
    <row r="336" spans="1:19" ht="48" customHeight="1">
      <c r="A336" s="99"/>
      <c r="B336" s="98"/>
      <c r="C336" s="97"/>
      <c r="D336" s="101"/>
      <c r="E336" s="115"/>
      <c r="F336" s="115"/>
      <c r="G336" s="89"/>
      <c r="H336" s="116" t="s">
        <v>257</v>
      </c>
      <c r="I336" s="8">
        <v>27</v>
      </c>
      <c r="J336" s="7">
        <v>5</v>
      </c>
      <c r="K336" s="7">
        <v>5</v>
      </c>
      <c r="L336" s="95" t="s">
        <v>573</v>
      </c>
      <c r="M336" s="96" t="s">
        <v>556</v>
      </c>
      <c r="N336" s="96" t="s">
        <v>576</v>
      </c>
      <c r="O336" s="96" t="s">
        <v>645</v>
      </c>
      <c r="P336" s="6"/>
      <c r="Q336" s="216">
        <f>Q337</f>
        <v>1874.1999999999998</v>
      </c>
      <c r="R336" s="216">
        <f>R337</f>
        <v>0</v>
      </c>
      <c r="S336" s="216">
        <f>S337</f>
        <v>0</v>
      </c>
    </row>
    <row r="337" spans="1:19" ht="26.25" customHeight="1">
      <c r="A337" s="99"/>
      <c r="B337" s="98"/>
      <c r="C337" s="97"/>
      <c r="D337" s="101"/>
      <c r="E337" s="115"/>
      <c r="F337" s="115"/>
      <c r="G337" s="89"/>
      <c r="H337" s="116" t="s">
        <v>640</v>
      </c>
      <c r="I337" s="8">
        <v>27</v>
      </c>
      <c r="J337" s="7">
        <v>5</v>
      </c>
      <c r="K337" s="7">
        <v>5</v>
      </c>
      <c r="L337" s="95" t="s">
        <v>573</v>
      </c>
      <c r="M337" s="96" t="s">
        <v>556</v>
      </c>
      <c r="N337" s="96" t="s">
        <v>576</v>
      </c>
      <c r="O337" s="96" t="s">
        <v>645</v>
      </c>
      <c r="P337" s="6">
        <v>540</v>
      </c>
      <c r="Q337" s="214">
        <f>'Приложение 9'!Q224</f>
        <v>1874.1999999999998</v>
      </c>
      <c r="R337" s="216"/>
      <c r="S337" s="216"/>
    </row>
    <row r="338" spans="1:19" ht="39" customHeight="1">
      <c r="A338" s="99"/>
      <c r="B338" s="98"/>
      <c r="C338" s="97"/>
      <c r="D338" s="101"/>
      <c r="E338" s="115"/>
      <c r="F338" s="115"/>
      <c r="G338" s="89"/>
      <c r="H338" s="116" t="s">
        <v>259</v>
      </c>
      <c r="I338" s="8">
        <v>27</v>
      </c>
      <c r="J338" s="7">
        <v>5</v>
      </c>
      <c r="K338" s="7">
        <v>5</v>
      </c>
      <c r="L338" s="95" t="s">
        <v>573</v>
      </c>
      <c r="M338" s="96" t="s">
        <v>556</v>
      </c>
      <c r="N338" s="96" t="s">
        <v>576</v>
      </c>
      <c r="O338" s="96" t="s">
        <v>258</v>
      </c>
      <c r="P338" s="6"/>
      <c r="Q338" s="216">
        <f>Q339</f>
        <v>2276.6</v>
      </c>
      <c r="R338" s="216"/>
      <c r="S338" s="216"/>
    </row>
    <row r="339" spans="1:19" ht="26.25" customHeight="1">
      <c r="A339" s="99"/>
      <c r="B339" s="98"/>
      <c r="C339" s="97"/>
      <c r="D339" s="101"/>
      <c r="E339" s="115"/>
      <c r="F339" s="115"/>
      <c r="G339" s="89"/>
      <c r="H339" s="116" t="s">
        <v>640</v>
      </c>
      <c r="I339" s="8">
        <v>27</v>
      </c>
      <c r="J339" s="7">
        <v>5</v>
      </c>
      <c r="K339" s="7">
        <v>5</v>
      </c>
      <c r="L339" s="95" t="s">
        <v>573</v>
      </c>
      <c r="M339" s="96" t="s">
        <v>556</v>
      </c>
      <c r="N339" s="96" t="s">
        <v>576</v>
      </c>
      <c r="O339" s="96" t="s">
        <v>258</v>
      </c>
      <c r="P339" s="6">
        <v>540</v>
      </c>
      <c r="Q339" s="214">
        <f>'Приложение 9'!Q226</f>
        <v>2276.6</v>
      </c>
      <c r="R339" s="216"/>
      <c r="S339" s="216"/>
    </row>
    <row r="340" spans="1:19" ht="28.5" customHeight="1">
      <c r="A340" s="99"/>
      <c r="B340" s="98"/>
      <c r="C340" s="97"/>
      <c r="D340" s="101"/>
      <c r="E340" s="115"/>
      <c r="F340" s="115"/>
      <c r="G340" s="89"/>
      <c r="H340" s="5" t="s">
        <v>260</v>
      </c>
      <c r="I340" s="8">
        <v>27</v>
      </c>
      <c r="J340" s="7">
        <v>5</v>
      </c>
      <c r="K340" s="7">
        <v>5</v>
      </c>
      <c r="L340" s="95" t="s">
        <v>578</v>
      </c>
      <c r="M340" s="96" t="s">
        <v>558</v>
      </c>
      <c r="N340" s="96" t="s">
        <v>576</v>
      </c>
      <c r="O340" s="96" t="s">
        <v>347</v>
      </c>
      <c r="P340" s="6"/>
      <c r="Q340" s="216">
        <f>Q341</f>
        <v>420.7</v>
      </c>
      <c r="R340" s="216">
        <f>R341</f>
        <v>400</v>
      </c>
      <c r="S340" s="216">
        <f>S341</f>
        <v>400</v>
      </c>
    </row>
    <row r="341" spans="1:19" ht="28.5" customHeight="1">
      <c r="A341" s="99"/>
      <c r="B341" s="98"/>
      <c r="C341" s="97"/>
      <c r="D341" s="101"/>
      <c r="E341" s="115"/>
      <c r="F341" s="115"/>
      <c r="G341" s="89"/>
      <c r="H341" s="117" t="s">
        <v>712</v>
      </c>
      <c r="I341" s="6">
        <v>27</v>
      </c>
      <c r="J341" s="7">
        <v>5</v>
      </c>
      <c r="K341" s="7">
        <v>5</v>
      </c>
      <c r="L341" s="95" t="s">
        <v>578</v>
      </c>
      <c r="M341" s="96" t="s">
        <v>558</v>
      </c>
      <c r="N341" s="96" t="s">
        <v>576</v>
      </c>
      <c r="O341" s="96" t="s">
        <v>347</v>
      </c>
      <c r="P341" s="6">
        <v>240</v>
      </c>
      <c r="Q341" s="216">
        <f>'Приложение 9'!Q228</f>
        <v>420.7</v>
      </c>
      <c r="R341" s="216">
        <v>400</v>
      </c>
      <c r="S341" s="216">
        <v>400</v>
      </c>
    </row>
    <row r="342" spans="1:19" s="179" customFormat="1" ht="24" customHeight="1">
      <c r="A342" s="142"/>
      <c r="B342" s="143"/>
      <c r="C342" s="153"/>
      <c r="D342" s="150"/>
      <c r="E342" s="154"/>
      <c r="F342" s="154"/>
      <c r="G342" s="155">
        <v>611</v>
      </c>
      <c r="H342" s="149" t="s">
        <v>543</v>
      </c>
      <c r="I342" s="152">
        <v>27</v>
      </c>
      <c r="J342" s="148">
        <v>6</v>
      </c>
      <c r="K342" s="148"/>
      <c r="L342" s="140"/>
      <c r="M342" s="141"/>
      <c r="N342" s="141"/>
      <c r="O342" s="141"/>
      <c r="P342" s="146"/>
      <c r="Q342" s="217">
        <f>Q343+Q346</f>
        <v>1628.5</v>
      </c>
      <c r="R342" s="217">
        <f>R343+R346</f>
        <v>136.9</v>
      </c>
      <c r="S342" s="217">
        <f>S343+S346</f>
        <v>136.8</v>
      </c>
    </row>
    <row r="343" spans="1:19" s="179" customFormat="1" ht="24" customHeight="1">
      <c r="A343" s="142"/>
      <c r="B343" s="143"/>
      <c r="C343" s="153"/>
      <c r="D343" s="150"/>
      <c r="E343" s="154"/>
      <c r="F343" s="154"/>
      <c r="G343" s="155"/>
      <c r="H343" s="149" t="s">
        <v>542</v>
      </c>
      <c r="I343" s="152">
        <v>27</v>
      </c>
      <c r="J343" s="148">
        <v>6</v>
      </c>
      <c r="K343" s="148">
        <v>3</v>
      </c>
      <c r="L343" s="140"/>
      <c r="M343" s="141"/>
      <c r="N343" s="141"/>
      <c r="O343" s="141"/>
      <c r="P343" s="146"/>
      <c r="Q343" s="217">
        <f aca="true" t="shared" si="20" ref="Q343:S344">Q344</f>
        <v>1.5</v>
      </c>
      <c r="R343" s="217">
        <f t="shared" si="20"/>
        <v>27.4</v>
      </c>
      <c r="S343" s="217">
        <f t="shared" si="20"/>
        <v>27.4</v>
      </c>
    </row>
    <row r="344" spans="1:19" ht="48" customHeight="1">
      <c r="A344" s="97"/>
      <c r="B344" s="98"/>
      <c r="C344" s="103"/>
      <c r="D344" s="101"/>
      <c r="E344" s="113"/>
      <c r="F344" s="113"/>
      <c r="G344" s="105"/>
      <c r="H344" s="5" t="s">
        <v>760</v>
      </c>
      <c r="I344" s="8">
        <v>27</v>
      </c>
      <c r="J344" s="7">
        <v>6</v>
      </c>
      <c r="K344" s="7">
        <v>3</v>
      </c>
      <c r="L344" s="95" t="s">
        <v>573</v>
      </c>
      <c r="M344" s="96" t="s">
        <v>556</v>
      </c>
      <c r="N344" s="96" t="s">
        <v>576</v>
      </c>
      <c r="O344" s="96" t="s">
        <v>759</v>
      </c>
      <c r="P344" s="6"/>
      <c r="Q344" s="216">
        <f t="shared" si="20"/>
        <v>1.5</v>
      </c>
      <c r="R344" s="216">
        <f t="shared" si="20"/>
        <v>27.4</v>
      </c>
      <c r="S344" s="216">
        <f t="shared" si="20"/>
        <v>27.4</v>
      </c>
    </row>
    <row r="345" spans="1:19" ht="24" customHeight="1">
      <c r="A345" s="97"/>
      <c r="B345" s="98"/>
      <c r="C345" s="103"/>
      <c r="D345" s="101"/>
      <c r="E345" s="113"/>
      <c r="F345" s="113"/>
      <c r="G345" s="105"/>
      <c r="H345" s="5" t="s">
        <v>712</v>
      </c>
      <c r="I345" s="8">
        <v>27</v>
      </c>
      <c r="J345" s="7">
        <v>6</v>
      </c>
      <c r="K345" s="7">
        <v>3</v>
      </c>
      <c r="L345" s="95" t="s">
        <v>573</v>
      </c>
      <c r="M345" s="96" t="s">
        <v>556</v>
      </c>
      <c r="N345" s="96" t="s">
        <v>576</v>
      </c>
      <c r="O345" s="96" t="s">
        <v>759</v>
      </c>
      <c r="P345" s="6">
        <v>240</v>
      </c>
      <c r="Q345" s="216">
        <f>'Приложение 9'!Q232</f>
        <v>1.5</v>
      </c>
      <c r="R345" s="216">
        <v>27.4</v>
      </c>
      <c r="S345" s="216">
        <v>27.4</v>
      </c>
    </row>
    <row r="346" spans="1:19" s="179" customFormat="1" ht="24.75" customHeight="1">
      <c r="A346" s="142"/>
      <c r="B346" s="143"/>
      <c r="C346" s="153"/>
      <c r="D346" s="150"/>
      <c r="E346" s="154"/>
      <c r="F346" s="154"/>
      <c r="G346" s="155">
        <v>621</v>
      </c>
      <c r="H346" s="149" t="s">
        <v>541</v>
      </c>
      <c r="I346" s="152">
        <v>27</v>
      </c>
      <c r="J346" s="148">
        <v>6</v>
      </c>
      <c r="K346" s="148">
        <v>5</v>
      </c>
      <c r="L346" s="140"/>
      <c r="M346" s="141"/>
      <c r="N346" s="141"/>
      <c r="O346" s="141"/>
      <c r="P346" s="146"/>
      <c r="Q346" s="217">
        <f>Q347+Q350</f>
        <v>1627</v>
      </c>
      <c r="R346" s="217">
        <f>R347+R350</f>
        <v>109.5</v>
      </c>
      <c r="S346" s="217">
        <f>S347+S350</f>
        <v>109.4</v>
      </c>
    </row>
    <row r="347" spans="1:19" ht="18.75" customHeight="1">
      <c r="A347" s="99"/>
      <c r="B347" s="98"/>
      <c r="C347" s="103"/>
      <c r="D347" s="107"/>
      <c r="E347" s="104"/>
      <c r="F347" s="104"/>
      <c r="G347" s="105"/>
      <c r="H347" s="172" t="s">
        <v>807</v>
      </c>
      <c r="I347" s="8">
        <v>27</v>
      </c>
      <c r="J347" s="7">
        <v>6</v>
      </c>
      <c r="K347" s="7">
        <v>5</v>
      </c>
      <c r="L347" s="95" t="s">
        <v>573</v>
      </c>
      <c r="M347" s="96" t="s">
        <v>556</v>
      </c>
      <c r="N347" s="96" t="s">
        <v>576</v>
      </c>
      <c r="O347" s="96" t="s">
        <v>806</v>
      </c>
      <c r="P347" s="6"/>
      <c r="Q347" s="216">
        <f>SUM(Q348:Q349)</f>
        <v>132</v>
      </c>
      <c r="R347" s="216">
        <f>SUM(R348:R348)</f>
        <v>109.5</v>
      </c>
      <c r="S347" s="216">
        <f>SUM(S348:S348)</f>
        <v>109.4</v>
      </c>
    </row>
    <row r="348" spans="1:19" ht="23.25" customHeight="1">
      <c r="A348" s="99"/>
      <c r="B348" s="98"/>
      <c r="C348" s="103"/>
      <c r="D348" s="107"/>
      <c r="E348" s="104"/>
      <c r="F348" s="104"/>
      <c r="G348" s="105"/>
      <c r="H348" s="3" t="s">
        <v>526</v>
      </c>
      <c r="I348" s="8">
        <v>27</v>
      </c>
      <c r="J348" s="7">
        <v>6</v>
      </c>
      <c r="K348" s="7">
        <v>5</v>
      </c>
      <c r="L348" s="95" t="s">
        <v>573</v>
      </c>
      <c r="M348" s="96" t="s">
        <v>556</v>
      </c>
      <c r="N348" s="96" t="s">
        <v>576</v>
      </c>
      <c r="O348" s="96" t="s">
        <v>806</v>
      </c>
      <c r="P348" s="6">
        <v>120</v>
      </c>
      <c r="Q348" s="216">
        <f>'Приложение 9'!Q235</f>
        <v>103</v>
      </c>
      <c r="R348" s="239">
        <v>109.5</v>
      </c>
      <c r="S348" s="239">
        <v>109.4</v>
      </c>
    </row>
    <row r="349" spans="1:19" ht="23.25" customHeight="1">
      <c r="A349" s="99"/>
      <c r="B349" s="98"/>
      <c r="C349" s="103"/>
      <c r="D349" s="107"/>
      <c r="E349" s="104"/>
      <c r="F349" s="104"/>
      <c r="G349" s="105"/>
      <c r="H349" s="3" t="str">
        <f>'Приложение 9'!H236</f>
        <v>Иные закупки товаров, работ и услуг для обеспечения государственных (муниципальных) нужд</v>
      </c>
      <c r="I349" s="8">
        <f>'Приложение 9'!I236</f>
        <v>27</v>
      </c>
      <c r="J349" s="7">
        <f>'Приложение 9'!J236</f>
        <v>6</v>
      </c>
      <c r="K349" s="7">
        <f>'Приложение 9'!K236</f>
        <v>5</v>
      </c>
      <c r="L349" s="95" t="str">
        <f>'Приложение 9'!L236</f>
        <v>91</v>
      </c>
      <c r="M349" s="96" t="str">
        <f>'Приложение 9'!M236</f>
        <v>0</v>
      </c>
      <c r="N349" s="96" t="str">
        <f>'Приложение 9'!N236</f>
        <v>00</v>
      </c>
      <c r="O349" s="96" t="str">
        <f>'Приложение 9'!O236</f>
        <v>72310</v>
      </c>
      <c r="P349" s="6">
        <f>'Приложение 9'!P236</f>
        <v>240</v>
      </c>
      <c r="Q349" s="216">
        <f>'Приложение 9'!Q236</f>
        <v>29</v>
      </c>
      <c r="R349" s="239"/>
      <c r="S349" s="239"/>
    </row>
    <row r="350" spans="1:19" ht="35.25" customHeight="1">
      <c r="A350" s="99"/>
      <c r="B350" s="98"/>
      <c r="C350" s="103"/>
      <c r="D350" s="109"/>
      <c r="E350" s="104"/>
      <c r="F350" s="104"/>
      <c r="G350" s="105">
        <v>622</v>
      </c>
      <c r="H350" s="3" t="s">
        <v>637</v>
      </c>
      <c r="I350" s="8">
        <v>27</v>
      </c>
      <c r="J350" s="7">
        <v>6</v>
      </c>
      <c r="K350" s="7">
        <v>5</v>
      </c>
      <c r="L350" s="95" t="s">
        <v>577</v>
      </c>
      <c r="M350" s="96" t="s">
        <v>556</v>
      </c>
      <c r="N350" s="96" t="s">
        <v>576</v>
      </c>
      <c r="O350" s="96" t="s">
        <v>613</v>
      </c>
      <c r="P350" s="6"/>
      <c r="Q350" s="216">
        <f>Q351</f>
        <v>1495</v>
      </c>
      <c r="R350" s="216"/>
      <c r="S350" s="216"/>
    </row>
    <row r="351" spans="1:19" ht="33.75" customHeight="1">
      <c r="A351" s="99"/>
      <c r="B351" s="98"/>
      <c r="C351" s="106"/>
      <c r="D351" s="107"/>
      <c r="E351" s="104"/>
      <c r="F351" s="104"/>
      <c r="G351" s="105"/>
      <c r="H351" s="116" t="s">
        <v>303</v>
      </c>
      <c r="I351" s="8">
        <v>27</v>
      </c>
      <c r="J351" s="7">
        <v>6</v>
      </c>
      <c r="K351" s="7">
        <v>5</v>
      </c>
      <c r="L351" s="95" t="s">
        <v>577</v>
      </c>
      <c r="M351" s="96" t="s">
        <v>556</v>
      </c>
      <c r="N351" s="96" t="s">
        <v>585</v>
      </c>
      <c r="O351" s="96" t="s">
        <v>613</v>
      </c>
      <c r="P351" s="6"/>
      <c r="Q351" s="216">
        <f>Q352</f>
        <v>1495</v>
      </c>
      <c r="R351" s="216"/>
      <c r="S351" s="216"/>
    </row>
    <row r="352" spans="1:19" ht="24.75" customHeight="1">
      <c r="A352" s="99"/>
      <c r="B352" s="98"/>
      <c r="C352" s="106"/>
      <c r="D352" s="107"/>
      <c r="E352" s="104"/>
      <c r="F352" s="104"/>
      <c r="G352" s="105"/>
      <c r="H352" s="116" t="s">
        <v>262</v>
      </c>
      <c r="I352" s="8">
        <v>27</v>
      </c>
      <c r="J352" s="7">
        <v>6</v>
      </c>
      <c r="K352" s="7">
        <v>5</v>
      </c>
      <c r="L352" s="95" t="s">
        <v>577</v>
      </c>
      <c r="M352" s="96" t="s">
        <v>556</v>
      </c>
      <c r="N352" s="96" t="s">
        <v>585</v>
      </c>
      <c r="O352" s="96" t="s">
        <v>261</v>
      </c>
      <c r="P352" s="6"/>
      <c r="Q352" s="216">
        <f>Q353</f>
        <v>1495</v>
      </c>
      <c r="R352" s="216"/>
      <c r="S352" s="216"/>
    </row>
    <row r="353" spans="1:19" ht="33.75" customHeight="1">
      <c r="A353" s="99"/>
      <c r="B353" s="98"/>
      <c r="C353" s="106"/>
      <c r="D353" s="107"/>
      <c r="E353" s="104"/>
      <c r="F353" s="104"/>
      <c r="G353" s="105"/>
      <c r="H353" s="116" t="s">
        <v>712</v>
      </c>
      <c r="I353" s="8">
        <v>27</v>
      </c>
      <c r="J353" s="7">
        <v>6</v>
      </c>
      <c r="K353" s="7">
        <v>5</v>
      </c>
      <c r="L353" s="95" t="s">
        <v>577</v>
      </c>
      <c r="M353" s="96" t="s">
        <v>556</v>
      </c>
      <c r="N353" s="96" t="s">
        <v>585</v>
      </c>
      <c r="O353" s="96" t="s">
        <v>261</v>
      </c>
      <c r="P353" s="6">
        <v>240</v>
      </c>
      <c r="Q353" s="216">
        <f>'Приложение 9'!Q240</f>
        <v>1495</v>
      </c>
      <c r="R353" s="216"/>
      <c r="S353" s="216"/>
    </row>
    <row r="354" spans="1:19" s="179" customFormat="1" ht="18" customHeight="1">
      <c r="A354" s="142"/>
      <c r="B354" s="143"/>
      <c r="C354" s="142"/>
      <c r="D354" s="385">
        <v>5550000</v>
      </c>
      <c r="E354" s="386"/>
      <c r="F354" s="386"/>
      <c r="G354" s="136">
        <v>314</v>
      </c>
      <c r="H354" s="137" t="s">
        <v>538</v>
      </c>
      <c r="I354" s="138">
        <v>663</v>
      </c>
      <c r="J354" s="148">
        <v>7</v>
      </c>
      <c r="K354" s="148" t="s">
        <v>614</v>
      </c>
      <c r="L354" s="140" t="s">
        <v>527</v>
      </c>
      <c r="M354" s="141" t="s">
        <v>527</v>
      </c>
      <c r="N354" s="141"/>
      <c r="O354" s="141" t="s">
        <v>527</v>
      </c>
      <c r="P354" s="138"/>
      <c r="Q354" s="213">
        <f>Q355+Q377+Q429+Q465+Q450</f>
        <v>283622.19999999995</v>
      </c>
      <c r="R354" s="213" t="e">
        <f>R355+R377+R429+R465+R450</f>
        <v>#REF!</v>
      </c>
      <c r="S354" s="213" t="e">
        <f>S355+S377+S429+S465+S450</f>
        <v>#REF!</v>
      </c>
    </row>
    <row r="355" spans="1:19" s="179" customFormat="1" ht="18.75" customHeight="1">
      <c r="A355" s="142"/>
      <c r="B355" s="143"/>
      <c r="C355" s="153"/>
      <c r="D355" s="150"/>
      <c r="E355" s="384">
        <v>5551700</v>
      </c>
      <c r="F355" s="384"/>
      <c r="G355" s="136">
        <v>314</v>
      </c>
      <c r="H355" s="137" t="s">
        <v>369</v>
      </c>
      <c r="I355" s="138">
        <v>663</v>
      </c>
      <c r="J355" s="148">
        <v>7</v>
      </c>
      <c r="K355" s="148">
        <v>1</v>
      </c>
      <c r="L355" s="140" t="s">
        <v>527</v>
      </c>
      <c r="M355" s="141" t="s">
        <v>527</v>
      </c>
      <c r="N355" s="141"/>
      <c r="O355" s="141" t="s">
        <v>527</v>
      </c>
      <c r="P355" s="138"/>
      <c r="Q355" s="213">
        <f>Q356+Q367</f>
        <v>74088.7</v>
      </c>
      <c r="R355" s="213" t="e">
        <f>R356+R367+#REF!</f>
        <v>#REF!</v>
      </c>
      <c r="S355" s="213" t="e">
        <f>S356+S367+#REF!</f>
        <v>#REF!</v>
      </c>
    </row>
    <row r="356" spans="1:19" ht="41.25" customHeight="1">
      <c r="A356" s="99"/>
      <c r="B356" s="98"/>
      <c r="C356" s="103"/>
      <c r="D356" s="101"/>
      <c r="E356" s="104"/>
      <c r="F356" s="104"/>
      <c r="G356" s="89"/>
      <c r="H356" s="253" t="s">
        <v>264</v>
      </c>
      <c r="I356" s="10">
        <v>663</v>
      </c>
      <c r="J356" s="7">
        <v>7</v>
      </c>
      <c r="K356" s="7">
        <v>1</v>
      </c>
      <c r="L356" s="95" t="s">
        <v>588</v>
      </c>
      <c r="M356" s="96" t="s">
        <v>556</v>
      </c>
      <c r="N356" s="96" t="s">
        <v>576</v>
      </c>
      <c r="O356" s="96" t="s">
        <v>613</v>
      </c>
      <c r="P356" s="10"/>
      <c r="Q356" s="214">
        <f>Q357+Q364</f>
        <v>74088.7</v>
      </c>
      <c r="R356" s="214"/>
      <c r="S356" s="214"/>
    </row>
    <row r="357" spans="1:19" ht="27" customHeight="1">
      <c r="A357" s="99"/>
      <c r="B357" s="98"/>
      <c r="C357" s="103"/>
      <c r="D357" s="101"/>
      <c r="E357" s="104"/>
      <c r="F357" s="104"/>
      <c r="G357" s="89"/>
      <c r="H357" s="254" t="s">
        <v>649</v>
      </c>
      <c r="I357" s="10">
        <v>663</v>
      </c>
      <c r="J357" s="7">
        <v>7</v>
      </c>
      <c r="K357" s="7">
        <v>1</v>
      </c>
      <c r="L357" s="95" t="s">
        <v>588</v>
      </c>
      <c r="M357" s="96" t="s">
        <v>556</v>
      </c>
      <c r="N357" s="96" t="s">
        <v>557</v>
      </c>
      <c r="O357" s="96" t="s">
        <v>613</v>
      </c>
      <c r="P357" s="10"/>
      <c r="Q357" s="214">
        <f>Q358+Q362+Q360</f>
        <v>73926.2</v>
      </c>
      <c r="R357" s="214"/>
      <c r="S357" s="214"/>
    </row>
    <row r="358" spans="1:19" ht="24.75" customHeight="1">
      <c r="A358" s="99"/>
      <c r="B358" s="98"/>
      <c r="C358" s="103"/>
      <c r="D358" s="101"/>
      <c r="E358" s="104"/>
      <c r="F358" s="104"/>
      <c r="G358" s="89"/>
      <c r="H358" s="3" t="s">
        <v>324</v>
      </c>
      <c r="I358" s="10">
        <v>663</v>
      </c>
      <c r="J358" s="7">
        <v>7</v>
      </c>
      <c r="K358" s="7">
        <v>1</v>
      </c>
      <c r="L358" s="95" t="s">
        <v>588</v>
      </c>
      <c r="M358" s="96" t="s">
        <v>556</v>
      </c>
      <c r="N358" s="96" t="s">
        <v>557</v>
      </c>
      <c r="O358" s="96" t="s">
        <v>314</v>
      </c>
      <c r="P358" s="10"/>
      <c r="Q358" s="214">
        <f>Q359</f>
        <v>13505.800000000001</v>
      </c>
      <c r="R358" s="214"/>
      <c r="S358" s="214"/>
    </row>
    <row r="359" spans="1:19" ht="24.75" customHeight="1">
      <c r="A359" s="99"/>
      <c r="B359" s="98"/>
      <c r="C359" s="103"/>
      <c r="D359" s="101"/>
      <c r="E359" s="104"/>
      <c r="F359" s="104"/>
      <c r="G359" s="89"/>
      <c r="H359" s="3" t="s">
        <v>714</v>
      </c>
      <c r="I359" s="10">
        <v>663</v>
      </c>
      <c r="J359" s="7">
        <v>7</v>
      </c>
      <c r="K359" s="7">
        <v>1</v>
      </c>
      <c r="L359" s="95" t="s">
        <v>588</v>
      </c>
      <c r="M359" s="96" t="s">
        <v>556</v>
      </c>
      <c r="N359" s="96" t="s">
        <v>557</v>
      </c>
      <c r="O359" s="96" t="s">
        <v>314</v>
      </c>
      <c r="P359" s="10">
        <v>610</v>
      </c>
      <c r="Q359" s="214">
        <f>'Приложение 9'!Q478</f>
        <v>13505.800000000001</v>
      </c>
      <c r="R359" s="214"/>
      <c r="S359" s="214"/>
    </row>
    <row r="360" spans="1:19" ht="34.5" customHeight="1">
      <c r="A360" s="99"/>
      <c r="B360" s="98"/>
      <c r="C360" s="103"/>
      <c r="D360" s="101"/>
      <c r="E360" s="104"/>
      <c r="F360" s="104"/>
      <c r="G360" s="89"/>
      <c r="H360" s="306" t="str">
        <f>'Приложение 9'!H479</f>
        <v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v>
      </c>
      <c r="I360" s="10">
        <f>'Приложение 9'!I479</f>
        <v>663</v>
      </c>
      <c r="J360" s="7">
        <f>'Приложение 9'!J479</f>
        <v>7</v>
      </c>
      <c r="K360" s="7">
        <f>'Приложение 9'!K479</f>
        <v>1</v>
      </c>
      <c r="L360" s="95" t="str">
        <f>'Приложение 9'!L479</f>
        <v>06</v>
      </c>
      <c r="M360" s="96" t="str">
        <f>'Приложение 9'!M479</f>
        <v>0</v>
      </c>
      <c r="N360" s="96" t="str">
        <f>'Приложение 9'!N479</f>
        <v>01</v>
      </c>
      <c r="O360" s="96" t="str">
        <f>'Приложение 9'!O479</f>
        <v>70030</v>
      </c>
      <c r="P360" s="10" t="s">
        <v>614</v>
      </c>
      <c r="Q360" s="214">
        <f>Q361</f>
        <v>4478</v>
      </c>
      <c r="R360" s="214"/>
      <c r="S360" s="214"/>
    </row>
    <row r="361" spans="1:19" ht="24.75" customHeight="1">
      <c r="A361" s="99"/>
      <c r="B361" s="98"/>
      <c r="C361" s="103"/>
      <c r="D361" s="101"/>
      <c r="E361" s="104"/>
      <c r="F361" s="104"/>
      <c r="G361" s="89"/>
      <c r="H361" s="306" t="str">
        <f>'Приложение 9'!H480</f>
        <v>Субсидии бюджетным учреждениям</v>
      </c>
      <c r="I361" s="10">
        <f>'Приложение 9'!I480</f>
        <v>663</v>
      </c>
      <c r="J361" s="7">
        <f>'Приложение 9'!J480</f>
        <v>7</v>
      </c>
      <c r="K361" s="7">
        <f>'Приложение 9'!K480</f>
        <v>1</v>
      </c>
      <c r="L361" s="95" t="str">
        <f>'Приложение 9'!L480</f>
        <v>06</v>
      </c>
      <c r="M361" s="96" t="str">
        <f>'Приложение 9'!M480</f>
        <v>0</v>
      </c>
      <c r="N361" s="96" t="str">
        <f>'Приложение 9'!N480</f>
        <v>01</v>
      </c>
      <c r="O361" s="96" t="str">
        <f>'Приложение 9'!O480</f>
        <v>70030</v>
      </c>
      <c r="P361" s="10">
        <f>'Приложение 9'!P480</f>
        <v>610</v>
      </c>
      <c r="Q361" s="214">
        <f>'Приложение 9'!Q480</f>
        <v>4478</v>
      </c>
      <c r="R361" s="214"/>
      <c r="S361" s="214"/>
    </row>
    <row r="362" spans="1:19" ht="39" customHeight="1">
      <c r="A362" s="99"/>
      <c r="B362" s="98"/>
      <c r="C362" s="103"/>
      <c r="D362" s="101"/>
      <c r="E362" s="104"/>
      <c r="F362" s="104"/>
      <c r="G362" s="89"/>
      <c r="H362" s="255" t="s">
        <v>326</v>
      </c>
      <c r="I362" s="10">
        <v>663</v>
      </c>
      <c r="J362" s="7">
        <v>7</v>
      </c>
      <c r="K362" s="7">
        <v>1</v>
      </c>
      <c r="L362" s="95" t="s">
        <v>588</v>
      </c>
      <c r="M362" s="96" t="s">
        <v>556</v>
      </c>
      <c r="N362" s="96" t="s">
        <v>557</v>
      </c>
      <c r="O362" s="96" t="s">
        <v>325</v>
      </c>
      <c r="P362" s="10"/>
      <c r="Q362" s="214">
        <f>Q363</f>
        <v>55942.4</v>
      </c>
      <c r="R362" s="214"/>
      <c r="S362" s="214"/>
    </row>
    <row r="363" spans="1:19" ht="23.25" customHeight="1">
      <c r="A363" s="99"/>
      <c r="B363" s="98"/>
      <c r="C363" s="103"/>
      <c r="D363" s="101"/>
      <c r="E363" s="104"/>
      <c r="F363" s="104"/>
      <c r="G363" s="89"/>
      <c r="H363" s="255" t="s">
        <v>714</v>
      </c>
      <c r="I363" s="10">
        <v>663</v>
      </c>
      <c r="J363" s="7">
        <v>7</v>
      </c>
      <c r="K363" s="7">
        <v>1</v>
      </c>
      <c r="L363" s="95" t="s">
        <v>588</v>
      </c>
      <c r="M363" s="96" t="s">
        <v>556</v>
      </c>
      <c r="N363" s="96" t="s">
        <v>557</v>
      </c>
      <c r="O363" s="96" t="s">
        <v>325</v>
      </c>
      <c r="P363" s="10">
        <v>610</v>
      </c>
      <c r="Q363" s="214">
        <f>'Приложение 9'!Q482</f>
        <v>55942.4</v>
      </c>
      <c r="R363" s="214"/>
      <c r="S363" s="214"/>
    </row>
    <row r="364" spans="1:19" ht="23.25" customHeight="1">
      <c r="A364" s="99"/>
      <c r="B364" s="98"/>
      <c r="C364" s="103"/>
      <c r="D364" s="101"/>
      <c r="E364" s="104"/>
      <c r="F364" s="104"/>
      <c r="G364" s="89"/>
      <c r="H364" s="3" t="s">
        <v>785</v>
      </c>
      <c r="I364" s="10">
        <v>663</v>
      </c>
      <c r="J364" s="7">
        <v>7</v>
      </c>
      <c r="K364" s="7">
        <v>1</v>
      </c>
      <c r="L364" s="95" t="s">
        <v>588</v>
      </c>
      <c r="M364" s="96" t="s">
        <v>556</v>
      </c>
      <c r="N364" s="96" t="s">
        <v>559</v>
      </c>
      <c r="O364" s="96" t="s">
        <v>613</v>
      </c>
      <c r="P364" s="10"/>
      <c r="Q364" s="214">
        <f>Q365</f>
        <v>162.5</v>
      </c>
      <c r="R364" s="214"/>
      <c r="S364" s="214"/>
    </row>
    <row r="365" spans="1:19" ht="30.75" customHeight="1">
      <c r="A365" s="99"/>
      <c r="B365" s="98"/>
      <c r="C365" s="103"/>
      <c r="D365" s="101"/>
      <c r="E365" s="104"/>
      <c r="F365" s="104"/>
      <c r="G365" s="89"/>
      <c r="H365" s="3" t="s">
        <v>324</v>
      </c>
      <c r="I365" s="10">
        <v>663</v>
      </c>
      <c r="J365" s="7">
        <v>7</v>
      </c>
      <c r="K365" s="7">
        <v>1</v>
      </c>
      <c r="L365" s="95" t="s">
        <v>588</v>
      </c>
      <c r="M365" s="96" t="s">
        <v>556</v>
      </c>
      <c r="N365" s="96" t="s">
        <v>559</v>
      </c>
      <c r="O365" s="96" t="s">
        <v>314</v>
      </c>
      <c r="P365" s="10"/>
      <c r="Q365" s="214">
        <f>Q366</f>
        <v>162.5</v>
      </c>
      <c r="R365" s="214"/>
      <c r="S365" s="214"/>
    </row>
    <row r="366" spans="1:19" ht="27.75" customHeight="1">
      <c r="A366" s="99"/>
      <c r="B366" s="98"/>
      <c r="C366" s="103"/>
      <c r="D366" s="101"/>
      <c r="E366" s="104"/>
      <c r="F366" s="104"/>
      <c r="G366" s="89"/>
      <c r="H366" s="3" t="s">
        <v>714</v>
      </c>
      <c r="I366" s="10">
        <v>663</v>
      </c>
      <c r="J366" s="7">
        <v>7</v>
      </c>
      <c r="K366" s="7">
        <v>1</v>
      </c>
      <c r="L366" s="95" t="s">
        <v>588</v>
      </c>
      <c r="M366" s="96" t="s">
        <v>556</v>
      </c>
      <c r="N366" s="96" t="s">
        <v>559</v>
      </c>
      <c r="O366" s="96" t="s">
        <v>314</v>
      </c>
      <c r="P366" s="10">
        <v>610</v>
      </c>
      <c r="Q366" s="214">
        <f>'Приложение 9'!Q485</f>
        <v>162.5</v>
      </c>
      <c r="R366" s="214"/>
      <c r="S366" s="214"/>
    </row>
    <row r="367" spans="1:19" ht="33" customHeight="1" hidden="1">
      <c r="A367" s="99"/>
      <c r="B367" s="98"/>
      <c r="C367" s="103"/>
      <c r="D367" s="101"/>
      <c r="E367" s="104"/>
      <c r="F367" s="104"/>
      <c r="G367" s="89"/>
      <c r="H367" s="5" t="s">
        <v>680</v>
      </c>
      <c r="I367" s="10">
        <v>663</v>
      </c>
      <c r="J367" s="7">
        <v>7</v>
      </c>
      <c r="K367" s="7">
        <v>1</v>
      </c>
      <c r="L367" s="95" t="s">
        <v>681</v>
      </c>
      <c r="M367" s="96" t="s">
        <v>556</v>
      </c>
      <c r="N367" s="96" t="s">
        <v>576</v>
      </c>
      <c r="O367" s="96" t="s">
        <v>613</v>
      </c>
      <c r="P367" s="10"/>
      <c r="Q367" s="214">
        <f>Q368+Q371+Q374</f>
        <v>0</v>
      </c>
      <c r="R367" s="214">
        <f>R368+R371+R374</f>
        <v>149</v>
      </c>
      <c r="S367" s="214">
        <f>S368+S371+S374</f>
        <v>149</v>
      </c>
    </row>
    <row r="368" spans="1:19" ht="33" customHeight="1" hidden="1">
      <c r="A368" s="99"/>
      <c r="B368" s="98"/>
      <c r="C368" s="103"/>
      <c r="D368" s="101"/>
      <c r="E368" s="104"/>
      <c r="F368" s="104"/>
      <c r="G368" s="89"/>
      <c r="H368" s="5" t="s">
        <v>317</v>
      </c>
      <c r="I368" s="10">
        <v>663</v>
      </c>
      <c r="J368" s="7">
        <v>7</v>
      </c>
      <c r="K368" s="7">
        <v>1</v>
      </c>
      <c r="L368" s="95" t="s">
        <v>681</v>
      </c>
      <c r="M368" s="96" t="s">
        <v>556</v>
      </c>
      <c r="N368" s="96" t="s">
        <v>585</v>
      </c>
      <c r="O368" s="96" t="s">
        <v>613</v>
      </c>
      <c r="P368" s="10"/>
      <c r="Q368" s="214">
        <f aca="true" t="shared" si="21" ref="Q368:S369">Q369</f>
        <v>0</v>
      </c>
      <c r="R368" s="214">
        <f t="shared" si="21"/>
        <v>131</v>
      </c>
      <c r="S368" s="214">
        <f t="shared" si="21"/>
        <v>131</v>
      </c>
    </row>
    <row r="369" spans="1:19" ht="24" customHeight="1" hidden="1">
      <c r="A369" s="99"/>
      <c r="B369" s="98"/>
      <c r="C369" s="103"/>
      <c r="D369" s="101"/>
      <c r="E369" s="104"/>
      <c r="F369" s="104"/>
      <c r="G369" s="89"/>
      <c r="H369" s="5" t="s">
        <v>324</v>
      </c>
      <c r="I369" s="10">
        <v>663</v>
      </c>
      <c r="J369" s="7">
        <v>7</v>
      </c>
      <c r="K369" s="7">
        <v>1</v>
      </c>
      <c r="L369" s="95" t="s">
        <v>681</v>
      </c>
      <c r="M369" s="96" t="s">
        <v>556</v>
      </c>
      <c r="N369" s="96" t="s">
        <v>585</v>
      </c>
      <c r="O369" s="96" t="s">
        <v>314</v>
      </c>
      <c r="P369" s="10"/>
      <c r="Q369" s="214">
        <f t="shared" si="21"/>
        <v>0</v>
      </c>
      <c r="R369" s="214">
        <f t="shared" si="21"/>
        <v>131</v>
      </c>
      <c r="S369" s="214">
        <f t="shared" si="21"/>
        <v>131</v>
      </c>
    </row>
    <row r="370" spans="1:19" ht="24" customHeight="1" hidden="1">
      <c r="A370" s="99"/>
      <c r="B370" s="98"/>
      <c r="C370" s="103"/>
      <c r="D370" s="101"/>
      <c r="E370" s="104"/>
      <c r="F370" s="104"/>
      <c r="G370" s="89"/>
      <c r="H370" s="5" t="s">
        <v>714</v>
      </c>
      <c r="I370" s="10">
        <v>663</v>
      </c>
      <c r="J370" s="7">
        <v>7</v>
      </c>
      <c r="K370" s="7">
        <v>1</v>
      </c>
      <c r="L370" s="95" t="s">
        <v>681</v>
      </c>
      <c r="M370" s="96" t="s">
        <v>556</v>
      </c>
      <c r="N370" s="96" t="s">
        <v>585</v>
      </c>
      <c r="O370" s="96" t="s">
        <v>314</v>
      </c>
      <c r="P370" s="10">
        <v>610</v>
      </c>
      <c r="Q370" s="214">
        <f>'Приложение 9'!Q489</f>
        <v>0</v>
      </c>
      <c r="R370" s="214">
        <v>131</v>
      </c>
      <c r="S370" s="214">
        <v>131</v>
      </c>
    </row>
    <row r="371" spans="1:19" ht="26.25" customHeight="1" hidden="1">
      <c r="A371" s="99"/>
      <c r="B371" s="98"/>
      <c r="C371" s="103"/>
      <c r="D371" s="101"/>
      <c r="E371" s="104"/>
      <c r="F371" s="104"/>
      <c r="G371" s="89"/>
      <c r="H371" s="200" t="s">
        <v>313</v>
      </c>
      <c r="I371" s="10">
        <v>663</v>
      </c>
      <c r="J371" s="7">
        <v>7</v>
      </c>
      <c r="K371" s="7">
        <v>1</v>
      </c>
      <c r="L371" s="95" t="s">
        <v>681</v>
      </c>
      <c r="M371" s="96" t="s">
        <v>556</v>
      </c>
      <c r="N371" s="96" t="s">
        <v>586</v>
      </c>
      <c r="O371" s="96" t="s">
        <v>613</v>
      </c>
      <c r="P371" s="10"/>
      <c r="Q371" s="214">
        <f aca="true" t="shared" si="22" ref="Q371:S372">Q372</f>
        <v>0</v>
      </c>
      <c r="R371" s="214">
        <f t="shared" si="22"/>
        <v>9</v>
      </c>
      <c r="S371" s="214">
        <f t="shared" si="22"/>
        <v>9</v>
      </c>
    </row>
    <row r="372" spans="1:19" ht="22.5" customHeight="1" hidden="1">
      <c r="A372" s="99"/>
      <c r="B372" s="98"/>
      <c r="C372" s="103"/>
      <c r="D372" s="101"/>
      <c r="E372" s="104"/>
      <c r="F372" s="104"/>
      <c r="G372" s="89"/>
      <c r="H372" s="18" t="s">
        <v>315</v>
      </c>
      <c r="I372" s="10">
        <v>663</v>
      </c>
      <c r="J372" s="7">
        <v>7</v>
      </c>
      <c r="K372" s="7">
        <v>1</v>
      </c>
      <c r="L372" s="95" t="s">
        <v>681</v>
      </c>
      <c r="M372" s="96" t="s">
        <v>556</v>
      </c>
      <c r="N372" s="96" t="s">
        <v>586</v>
      </c>
      <c r="O372" s="96" t="s">
        <v>314</v>
      </c>
      <c r="P372" s="10"/>
      <c r="Q372" s="214">
        <f t="shared" si="22"/>
        <v>0</v>
      </c>
      <c r="R372" s="214">
        <f t="shared" si="22"/>
        <v>9</v>
      </c>
      <c r="S372" s="214">
        <f t="shared" si="22"/>
        <v>9</v>
      </c>
    </row>
    <row r="373" spans="1:19" ht="22.5" customHeight="1" hidden="1">
      <c r="A373" s="99"/>
      <c r="B373" s="98"/>
      <c r="C373" s="103"/>
      <c r="D373" s="101"/>
      <c r="E373" s="104"/>
      <c r="F373" s="104"/>
      <c r="G373" s="89"/>
      <c r="H373" s="18" t="s">
        <v>714</v>
      </c>
      <c r="I373" s="10">
        <v>663</v>
      </c>
      <c r="J373" s="7">
        <v>7</v>
      </c>
      <c r="K373" s="7">
        <v>1</v>
      </c>
      <c r="L373" s="95" t="s">
        <v>681</v>
      </c>
      <c r="M373" s="96" t="s">
        <v>556</v>
      </c>
      <c r="N373" s="96" t="s">
        <v>586</v>
      </c>
      <c r="O373" s="96" t="s">
        <v>314</v>
      </c>
      <c r="P373" s="10">
        <v>610</v>
      </c>
      <c r="Q373" s="214">
        <f>'Приложение 9'!Q492</f>
        <v>0</v>
      </c>
      <c r="R373" s="214">
        <v>9</v>
      </c>
      <c r="S373" s="214">
        <v>9</v>
      </c>
    </row>
    <row r="374" spans="1:19" ht="44.25" customHeight="1" hidden="1">
      <c r="A374" s="99"/>
      <c r="B374" s="98"/>
      <c r="C374" s="103"/>
      <c r="D374" s="101"/>
      <c r="E374" s="104"/>
      <c r="F374" s="104"/>
      <c r="G374" s="89"/>
      <c r="H374" s="18" t="s">
        <v>679</v>
      </c>
      <c r="I374" s="10">
        <v>663</v>
      </c>
      <c r="J374" s="7">
        <v>7</v>
      </c>
      <c r="K374" s="7">
        <v>1</v>
      </c>
      <c r="L374" s="95" t="s">
        <v>681</v>
      </c>
      <c r="M374" s="96" t="s">
        <v>556</v>
      </c>
      <c r="N374" s="96" t="s">
        <v>581</v>
      </c>
      <c r="O374" s="96" t="s">
        <v>613</v>
      </c>
      <c r="P374" s="10"/>
      <c r="Q374" s="214">
        <f aca="true" t="shared" si="23" ref="Q374:S375">Q375</f>
        <v>0</v>
      </c>
      <c r="R374" s="214">
        <f t="shared" si="23"/>
        <v>9</v>
      </c>
      <c r="S374" s="214">
        <f t="shared" si="23"/>
        <v>9</v>
      </c>
    </row>
    <row r="375" spans="1:19" ht="29.25" customHeight="1" hidden="1">
      <c r="A375" s="99"/>
      <c r="B375" s="98"/>
      <c r="C375" s="103"/>
      <c r="D375" s="101"/>
      <c r="E375" s="104"/>
      <c r="F375" s="104"/>
      <c r="G375" s="89"/>
      <c r="H375" s="18" t="s">
        <v>324</v>
      </c>
      <c r="I375" s="10">
        <v>663</v>
      </c>
      <c r="J375" s="7">
        <v>7</v>
      </c>
      <c r="K375" s="7">
        <v>1</v>
      </c>
      <c r="L375" s="95" t="s">
        <v>681</v>
      </c>
      <c r="M375" s="96" t="s">
        <v>556</v>
      </c>
      <c r="N375" s="96" t="s">
        <v>581</v>
      </c>
      <c r="O375" s="96" t="s">
        <v>314</v>
      </c>
      <c r="P375" s="10"/>
      <c r="Q375" s="214">
        <f t="shared" si="23"/>
        <v>0</v>
      </c>
      <c r="R375" s="214">
        <f t="shared" si="23"/>
        <v>9</v>
      </c>
      <c r="S375" s="214">
        <f t="shared" si="23"/>
        <v>9</v>
      </c>
    </row>
    <row r="376" spans="1:19" ht="32.25" customHeight="1" hidden="1">
      <c r="A376" s="99"/>
      <c r="B376" s="98"/>
      <c r="C376" s="103"/>
      <c r="D376" s="101"/>
      <c r="E376" s="104"/>
      <c r="F376" s="104"/>
      <c r="G376" s="89"/>
      <c r="H376" s="18" t="s">
        <v>714</v>
      </c>
      <c r="I376" s="10">
        <v>663</v>
      </c>
      <c r="J376" s="7">
        <v>7</v>
      </c>
      <c r="K376" s="7">
        <v>1</v>
      </c>
      <c r="L376" s="95" t="s">
        <v>681</v>
      </c>
      <c r="M376" s="96" t="s">
        <v>556</v>
      </c>
      <c r="N376" s="96" t="s">
        <v>581</v>
      </c>
      <c r="O376" s="96" t="s">
        <v>314</v>
      </c>
      <c r="P376" s="10">
        <v>610</v>
      </c>
      <c r="Q376" s="214">
        <f>'Приложение 9'!Q495</f>
        <v>0</v>
      </c>
      <c r="R376" s="214">
        <v>9</v>
      </c>
      <c r="S376" s="214">
        <v>9</v>
      </c>
    </row>
    <row r="377" spans="1:19" s="179" customFormat="1" ht="27" customHeight="1">
      <c r="A377" s="142"/>
      <c r="B377" s="143"/>
      <c r="C377" s="153"/>
      <c r="D377" s="150"/>
      <c r="E377" s="145"/>
      <c r="F377" s="145"/>
      <c r="G377" s="136"/>
      <c r="H377" s="149" t="s">
        <v>537</v>
      </c>
      <c r="I377" s="138">
        <v>663</v>
      </c>
      <c r="J377" s="148">
        <v>7</v>
      </c>
      <c r="K377" s="148">
        <v>2</v>
      </c>
      <c r="L377" s="139"/>
      <c r="M377" s="141" t="s">
        <v>614</v>
      </c>
      <c r="N377" s="141"/>
      <c r="O377" s="141"/>
      <c r="P377" s="138"/>
      <c r="Q377" s="256">
        <f>Q378+Q416+Q409+Q406</f>
        <v>184184.59999999998</v>
      </c>
      <c r="R377" s="256" t="e">
        <f>R378+R416+#REF!</f>
        <v>#REF!</v>
      </c>
      <c r="S377" s="256" t="e">
        <f>S378+S416+#REF!</f>
        <v>#REF!</v>
      </c>
    </row>
    <row r="378" spans="1:19" ht="30" customHeight="1">
      <c r="A378" s="99"/>
      <c r="B378" s="98"/>
      <c r="C378" s="103"/>
      <c r="D378" s="101"/>
      <c r="E378" s="104"/>
      <c r="F378" s="104"/>
      <c r="G378" s="89"/>
      <c r="H378" s="253" t="s">
        <v>264</v>
      </c>
      <c r="I378" s="10">
        <v>663</v>
      </c>
      <c r="J378" s="7">
        <v>7</v>
      </c>
      <c r="K378" s="7">
        <v>2</v>
      </c>
      <c r="L378" s="95" t="s">
        <v>588</v>
      </c>
      <c r="M378" s="96" t="s">
        <v>556</v>
      </c>
      <c r="N378" s="96" t="s">
        <v>576</v>
      </c>
      <c r="O378" s="96" t="s">
        <v>613</v>
      </c>
      <c r="P378" s="10"/>
      <c r="Q378" s="214">
        <f>Q379+Q382+Q394+Q397</f>
        <v>181102.8</v>
      </c>
      <c r="R378" s="214"/>
      <c r="S378" s="214"/>
    </row>
    <row r="379" spans="1:19" ht="30" customHeight="1">
      <c r="A379" s="99"/>
      <c r="B379" s="98"/>
      <c r="C379" s="103"/>
      <c r="D379" s="101"/>
      <c r="E379" s="104"/>
      <c r="F379" s="104"/>
      <c r="G379" s="89"/>
      <c r="H379" s="55" t="s">
        <v>649</v>
      </c>
      <c r="I379" s="10">
        <v>663</v>
      </c>
      <c r="J379" s="7">
        <v>7</v>
      </c>
      <c r="K379" s="7">
        <v>2</v>
      </c>
      <c r="L379" s="95" t="s">
        <v>588</v>
      </c>
      <c r="M379" s="96" t="s">
        <v>556</v>
      </c>
      <c r="N379" s="96" t="s">
        <v>557</v>
      </c>
      <c r="O379" s="96" t="s">
        <v>613</v>
      </c>
      <c r="P379" s="10"/>
      <c r="Q379" s="214">
        <f>Q380</f>
        <v>92.5</v>
      </c>
      <c r="R379" s="214"/>
      <c r="S379" s="214"/>
    </row>
    <row r="380" spans="1:19" ht="24.75" customHeight="1">
      <c r="A380" s="99"/>
      <c r="B380" s="98"/>
      <c r="C380" s="103"/>
      <c r="D380" s="101"/>
      <c r="E380" s="104"/>
      <c r="F380" s="104"/>
      <c r="G380" s="89"/>
      <c r="H380" s="254" t="s">
        <v>327</v>
      </c>
      <c r="I380" s="10">
        <v>663</v>
      </c>
      <c r="J380" s="7">
        <v>7</v>
      </c>
      <c r="K380" s="7">
        <v>2</v>
      </c>
      <c r="L380" s="95" t="s">
        <v>588</v>
      </c>
      <c r="M380" s="96" t="s">
        <v>556</v>
      </c>
      <c r="N380" s="96" t="s">
        <v>557</v>
      </c>
      <c r="O380" s="96" t="s">
        <v>316</v>
      </c>
      <c r="P380" s="10"/>
      <c r="Q380" s="214">
        <f>Q381</f>
        <v>92.5</v>
      </c>
      <c r="R380" s="214"/>
      <c r="S380" s="214"/>
    </row>
    <row r="381" spans="1:19" ht="24.75" customHeight="1">
      <c r="A381" s="99"/>
      <c r="B381" s="98"/>
      <c r="C381" s="103"/>
      <c r="D381" s="101"/>
      <c r="E381" s="104"/>
      <c r="F381" s="104"/>
      <c r="G381" s="89"/>
      <c r="H381" s="254" t="s">
        <v>714</v>
      </c>
      <c r="I381" s="10">
        <v>663</v>
      </c>
      <c r="J381" s="7">
        <v>7</v>
      </c>
      <c r="K381" s="7">
        <v>2</v>
      </c>
      <c r="L381" s="95" t="s">
        <v>588</v>
      </c>
      <c r="M381" s="96" t="s">
        <v>556</v>
      </c>
      <c r="N381" s="96" t="s">
        <v>557</v>
      </c>
      <c r="O381" s="96" t="s">
        <v>316</v>
      </c>
      <c r="P381" s="10">
        <v>610</v>
      </c>
      <c r="Q381" s="214">
        <f>'Приложение 9'!Q505</f>
        <v>92.5</v>
      </c>
      <c r="R381" s="214"/>
      <c r="S381" s="214"/>
    </row>
    <row r="382" spans="1:19" ht="27" customHeight="1">
      <c r="A382" s="99"/>
      <c r="B382" s="98"/>
      <c r="C382" s="103"/>
      <c r="D382" s="101"/>
      <c r="E382" s="104"/>
      <c r="F382" s="104"/>
      <c r="G382" s="89"/>
      <c r="H382" s="18" t="s">
        <v>650</v>
      </c>
      <c r="I382" s="6">
        <v>663</v>
      </c>
      <c r="J382" s="7">
        <v>7</v>
      </c>
      <c r="K382" s="7">
        <v>2</v>
      </c>
      <c r="L382" s="95" t="s">
        <v>588</v>
      </c>
      <c r="M382" s="96" t="s">
        <v>556</v>
      </c>
      <c r="N382" s="96" t="s">
        <v>585</v>
      </c>
      <c r="O382" s="96" t="s">
        <v>613</v>
      </c>
      <c r="P382" s="6"/>
      <c r="Q382" s="216">
        <f>Q383+Q390+Q388+Q386+Q392</f>
        <v>152055.1</v>
      </c>
      <c r="R382" s="216"/>
      <c r="S382" s="216"/>
    </row>
    <row r="383" spans="1:19" ht="27" customHeight="1">
      <c r="A383" s="99"/>
      <c r="B383" s="98"/>
      <c r="C383" s="103"/>
      <c r="D383" s="101"/>
      <c r="E383" s="104"/>
      <c r="F383" s="104"/>
      <c r="G383" s="89"/>
      <c r="H383" s="20" t="s">
        <v>327</v>
      </c>
      <c r="I383" s="6">
        <v>663</v>
      </c>
      <c r="J383" s="7">
        <v>7</v>
      </c>
      <c r="K383" s="7">
        <v>2</v>
      </c>
      <c r="L383" s="95" t="s">
        <v>588</v>
      </c>
      <c r="M383" s="96" t="s">
        <v>556</v>
      </c>
      <c r="N383" s="96" t="s">
        <v>585</v>
      </c>
      <c r="O383" s="96" t="s">
        <v>316</v>
      </c>
      <c r="P383" s="6"/>
      <c r="Q383" s="216">
        <f>SUM(Q384:Q385)</f>
        <v>36332.90000000001</v>
      </c>
      <c r="R383" s="216"/>
      <c r="S383" s="216"/>
    </row>
    <row r="384" spans="1:19" ht="27" customHeight="1" hidden="1">
      <c r="A384" s="99"/>
      <c r="B384" s="98"/>
      <c r="C384" s="103"/>
      <c r="D384" s="101"/>
      <c r="E384" s="104"/>
      <c r="F384" s="104"/>
      <c r="G384" s="89"/>
      <c r="H384" s="5" t="s">
        <v>712</v>
      </c>
      <c r="I384" s="6">
        <v>663</v>
      </c>
      <c r="J384" s="7">
        <v>7</v>
      </c>
      <c r="K384" s="7">
        <v>2</v>
      </c>
      <c r="L384" s="95" t="s">
        <v>588</v>
      </c>
      <c r="M384" s="96" t="s">
        <v>556</v>
      </c>
      <c r="N384" s="96" t="s">
        <v>585</v>
      </c>
      <c r="O384" s="96" t="s">
        <v>316</v>
      </c>
      <c r="P384" s="6">
        <v>240</v>
      </c>
      <c r="Q384" s="216">
        <f>'Приложение 9'!Q508</f>
        <v>0</v>
      </c>
      <c r="R384" s="216"/>
      <c r="S384" s="216"/>
    </row>
    <row r="385" spans="1:19" ht="27" customHeight="1">
      <c r="A385" s="99"/>
      <c r="B385" s="98"/>
      <c r="C385" s="103"/>
      <c r="D385" s="101"/>
      <c r="E385" s="104"/>
      <c r="F385" s="104"/>
      <c r="G385" s="89"/>
      <c r="H385" s="20" t="s">
        <v>714</v>
      </c>
      <c r="I385" s="6">
        <v>663</v>
      </c>
      <c r="J385" s="7">
        <v>7</v>
      </c>
      <c r="K385" s="7">
        <v>2</v>
      </c>
      <c r="L385" s="95" t="s">
        <v>588</v>
      </c>
      <c r="M385" s="96" t="s">
        <v>556</v>
      </c>
      <c r="N385" s="96" t="s">
        <v>585</v>
      </c>
      <c r="O385" s="96" t="s">
        <v>316</v>
      </c>
      <c r="P385" s="6">
        <v>610</v>
      </c>
      <c r="Q385" s="216">
        <f>'Приложение 9'!Q509</f>
        <v>36332.90000000001</v>
      </c>
      <c r="R385" s="216"/>
      <c r="S385" s="216"/>
    </row>
    <row r="386" spans="1:19" ht="27" customHeight="1">
      <c r="A386" s="99"/>
      <c r="B386" s="98"/>
      <c r="C386" s="103"/>
      <c r="D386" s="101"/>
      <c r="E386" s="104"/>
      <c r="F386" s="104"/>
      <c r="G386" s="89"/>
      <c r="H386" s="20" t="str">
        <f>'Приложение 9'!H510</f>
        <v>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v>
      </c>
      <c r="I386" s="6">
        <f>'Приложение 9'!I510</f>
        <v>663</v>
      </c>
      <c r="J386" s="7">
        <f>'Приложение 9'!J510</f>
        <v>7</v>
      </c>
      <c r="K386" s="7">
        <f>'Приложение 9'!K510</f>
        <v>2</v>
      </c>
      <c r="L386" s="95" t="str">
        <f>'Приложение 9'!L510</f>
        <v>06</v>
      </c>
      <c r="M386" s="96" t="str">
        <f>'Приложение 9'!M510</f>
        <v>0</v>
      </c>
      <c r="N386" s="96" t="str">
        <f>'Приложение 9'!N510</f>
        <v>02</v>
      </c>
      <c r="O386" s="96" t="str">
        <f>'Приложение 9'!O510</f>
        <v>53031</v>
      </c>
      <c r="P386" s="6" t="s">
        <v>614</v>
      </c>
      <c r="Q386" s="216">
        <f>Q387</f>
        <v>3114.4</v>
      </c>
      <c r="R386" s="216"/>
      <c r="S386" s="216"/>
    </row>
    <row r="387" spans="1:19" ht="27" customHeight="1">
      <c r="A387" s="99"/>
      <c r="B387" s="98"/>
      <c r="C387" s="103"/>
      <c r="D387" s="101"/>
      <c r="E387" s="104"/>
      <c r="F387" s="104"/>
      <c r="G387" s="89"/>
      <c r="H387" s="20" t="str">
        <f>'Приложение 9'!H511</f>
        <v>Субсидии бюджетным учреждениям</v>
      </c>
      <c r="I387" s="6">
        <f>'Приложение 9'!I511</f>
        <v>663</v>
      </c>
      <c r="J387" s="7">
        <f>'Приложение 9'!J511</f>
        <v>7</v>
      </c>
      <c r="K387" s="7">
        <f>'Приложение 9'!K511</f>
        <v>2</v>
      </c>
      <c r="L387" s="95" t="str">
        <f>'Приложение 9'!L511</f>
        <v>06</v>
      </c>
      <c r="M387" s="96" t="str">
        <f>'Приложение 9'!M511</f>
        <v>0</v>
      </c>
      <c r="N387" s="96" t="str">
        <f>'Приложение 9'!N511</f>
        <v>02</v>
      </c>
      <c r="O387" s="96" t="str">
        <f>'Приложение 9'!O511</f>
        <v>53031</v>
      </c>
      <c r="P387" s="6">
        <f>'Приложение 9'!P511</f>
        <v>610</v>
      </c>
      <c r="Q387" s="216">
        <f>'Приложение 9'!Q511</f>
        <v>3114.4</v>
      </c>
      <c r="R387" s="216"/>
      <c r="S387" s="216"/>
    </row>
    <row r="388" spans="1:19" ht="33.75" customHeight="1">
      <c r="A388" s="99"/>
      <c r="B388" s="98"/>
      <c r="C388" s="103"/>
      <c r="D388" s="101"/>
      <c r="E388" s="104"/>
      <c r="F388" s="104"/>
      <c r="G388" s="89"/>
      <c r="H388" s="20" t="str">
        <f>'Приложение 9'!H512</f>
        <v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v>
      </c>
      <c r="I388" s="6">
        <f>'Приложение 9'!I512</f>
        <v>663</v>
      </c>
      <c r="J388" s="7">
        <f>'Приложение 9'!J512</f>
        <v>7</v>
      </c>
      <c r="K388" s="7">
        <f>'Приложение 9'!K512</f>
        <v>2</v>
      </c>
      <c r="L388" s="95" t="str">
        <f>'Приложение 9'!L512</f>
        <v>06</v>
      </c>
      <c r="M388" s="96" t="str">
        <f>'Приложение 9'!M512</f>
        <v>0</v>
      </c>
      <c r="N388" s="96" t="str">
        <f>'Приложение 9'!N512</f>
        <v>02</v>
      </c>
      <c r="O388" s="96" t="str">
        <f>'Приложение 9'!O512</f>
        <v>70030</v>
      </c>
      <c r="P388" s="6" t="s">
        <v>614</v>
      </c>
      <c r="Q388" s="216">
        <f>Q389</f>
        <v>10448.9</v>
      </c>
      <c r="R388" s="216"/>
      <c r="S388" s="216"/>
    </row>
    <row r="389" spans="1:19" ht="27" customHeight="1">
      <c r="A389" s="99"/>
      <c r="B389" s="98"/>
      <c r="C389" s="103"/>
      <c r="D389" s="101"/>
      <c r="E389" s="104"/>
      <c r="F389" s="104"/>
      <c r="G389" s="89"/>
      <c r="H389" s="20" t="str">
        <f>'Приложение 9'!H513</f>
        <v>Субсидии бюджетным учреждениям</v>
      </c>
      <c r="I389" s="6">
        <f>'Приложение 9'!I513</f>
        <v>663</v>
      </c>
      <c r="J389" s="7">
        <f>'Приложение 9'!J513</f>
        <v>7</v>
      </c>
      <c r="K389" s="7">
        <f>'Приложение 9'!K513</f>
        <v>2</v>
      </c>
      <c r="L389" s="95" t="str">
        <f>'Приложение 9'!L513</f>
        <v>06</v>
      </c>
      <c r="M389" s="96" t="str">
        <f>'Приложение 9'!M513</f>
        <v>0</v>
      </c>
      <c r="N389" s="96" t="str">
        <f>'Приложение 9'!N513</f>
        <v>02</v>
      </c>
      <c r="O389" s="96" t="str">
        <f>'Приложение 9'!O513</f>
        <v>70030</v>
      </c>
      <c r="P389" s="6">
        <f>'Приложение 9'!P513</f>
        <v>610</v>
      </c>
      <c r="Q389" s="216">
        <f>'Приложение 9'!Q513</f>
        <v>10448.9</v>
      </c>
      <c r="R389" s="216"/>
      <c r="S389" s="216"/>
    </row>
    <row r="390" spans="1:19" ht="40.5" customHeight="1">
      <c r="A390" s="99"/>
      <c r="B390" s="98"/>
      <c r="C390" s="103"/>
      <c r="D390" s="101"/>
      <c r="E390" s="104"/>
      <c r="F390" s="104"/>
      <c r="G390" s="89"/>
      <c r="H390" s="20" t="s">
        <v>326</v>
      </c>
      <c r="I390" s="6">
        <v>663</v>
      </c>
      <c r="J390" s="7">
        <v>7</v>
      </c>
      <c r="K390" s="7">
        <v>2</v>
      </c>
      <c r="L390" s="95" t="s">
        <v>588</v>
      </c>
      <c r="M390" s="96" t="s">
        <v>556</v>
      </c>
      <c r="N390" s="96" t="s">
        <v>585</v>
      </c>
      <c r="O390" s="96" t="s">
        <v>325</v>
      </c>
      <c r="P390" s="6"/>
      <c r="Q390" s="216">
        <f>Q391</f>
        <v>98985.8</v>
      </c>
      <c r="R390" s="216"/>
      <c r="S390" s="216"/>
    </row>
    <row r="391" spans="1:19" ht="27" customHeight="1">
      <c r="A391" s="99"/>
      <c r="B391" s="98"/>
      <c r="C391" s="103"/>
      <c r="D391" s="101"/>
      <c r="E391" s="104"/>
      <c r="F391" s="104"/>
      <c r="G391" s="89"/>
      <c r="H391" s="20" t="s">
        <v>714</v>
      </c>
      <c r="I391" s="6">
        <v>663</v>
      </c>
      <c r="J391" s="7">
        <v>7</v>
      </c>
      <c r="K391" s="7">
        <v>2</v>
      </c>
      <c r="L391" s="95" t="s">
        <v>588</v>
      </c>
      <c r="M391" s="96" t="s">
        <v>556</v>
      </c>
      <c r="N391" s="96" t="s">
        <v>585</v>
      </c>
      <c r="O391" s="96" t="s">
        <v>325</v>
      </c>
      <c r="P391" s="6">
        <v>610</v>
      </c>
      <c r="Q391" s="216">
        <f>'Приложение 9'!Q515</f>
        <v>98985.8</v>
      </c>
      <c r="R391" s="216"/>
      <c r="S391" s="216"/>
    </row>
    <row r="392" spans="1:19" ht="27" customHeight="1">
      <c r="A392" s="99"/>
      <c r="B392" s="98"/>
      <c r="C392" s="103"/>
      <c r="D392" s="101"/>
      <c r="E392" s="104"/>
      <c r="F392" s="104"/>
      <c r="G392" s="89"/>
      <c r="H392" s="20" t="str">
        <f>'Приложение 9'!H516</f>
        <v>Организация бесплатного горячего питания обучающихся, получающих начальное общее образование в муниципальных образовательных организациях</v>
      </c>
      <c r="I392" s="8">
        <f>'Приложение 9'!I516</f>
        <v>663</v>
      </c>
      <c r="J392" s="7">
        <f>'Приложение 9'!J516</f>
        <v>7</v>
      </c>
      <c r="K392" s="7">
        <f>'Приложение 9'!K516</f>
        <v>2</v>
      </c>
      <c r="L392" s="95" t="str">
        <f>'Приложение 9'!L516</f>
        <v>06</v>
      </c>
      <c r="M392" s="96" t="str">
        <f>'Приложение 9'!M516</f>
        <v>0</v>
      </c>
      <c r="N392" s="96" t="str">
        <f>'Приложение 9'!N516</f>
        <v>02</v>
      </c>
      <c r="O392" s="96" t="str">
        <f>'Приложение 9'!O516</f>
        <v>L3041</v>
      </c>
      <c r="P392" s="6" t="s">
        <v>614</v>
      </c>
      <c r="Q392" s="216">
        <f>Q393</f>
        <v>3173.1000000000004</v>
      </c>
      <c r="R392" s="216"/>
      <c r="S392" s="216"/>
    </row>
    <row r="393" spans="1:19" ht="27" customHeight="1">
      <c r="A393" s="99"/>
      <c r="B393" s="98"/>
      <c r="C393" s="103"/>
      <c r="D393" s="101"/>
      <c r="E393" s="104"/>
      <c r="F393" s="104"/>
      <c r="G393" s="89"/>
      <c r="H393" s="20" t="str">
        <f>'Приложение 9'!H517</f>
        <v>Субсидии бюджетным учреждениям</v>
      </c>
      <c r="I393" s="8">
        <f>'Приложение 9'!I517</f>
        <v>663</v>
      </c>
      <c r="J393" s="7">
        <f>'Приложение 9'!J517</f>
        <v>7</v>
      </c>
      <c r="K393" s="7">
        <f>'Приложение 9'!K517</f>
        <v>2</v>
      </c>
      <c r="L393" s="95" t="str">
        <f>'Приложение 9'!L517</f>
        <v>06</v>
      </c>
      <c r="M393" s="96" t="str">
        <f>'Приложение 9'!M517</f>
        <v>0</v>
      </c>
      <c r="N393" s="96" t="str">
        <f>'Приложение 9'!N517</f>
        <v>02</v>
      </c>
      <c r="O393" s="96" t="str">
        <f>'Приложение 9'!O517</f>
        <v>L3041</v>
      </c>
      <c r="P393" s="6">
        <f>'Приложение 9'!P517</f>
        <v>610</v>
      </c>
      <c r="Q393" s="216">
        <f>'Приложение 9'!Q517</f>
        <v>3173.1000000000004</v>
      </c>
      <c r="R393" s="216"/>
      <c r="S393" s="216"/>
    </row>
    <row r="394" spans="1:19" ht="24" customHeight="1">
      <c r="A394" s="99"/>
      <c r="B394" s="98"/>
      <c r="C394" s="103"/>
      <c r="D394" s="101"/>
      <c r="E394" s="104"/>
      <c r="F394" s="104"/>
      <c r="G394" s="89"/>
      <c r="H394" s="3" t="s">
        <v>784</v>
      </c>
      <c r="I394" s="8">
        <v>663</v>
      </c>
      <c r="J394" s="7">
        <v>7</v>
      </c>
      <c r="K394" s="7">
        <v>2</v>
      </c>
      <c r="L394" s="95" t="s">
        <v>588</v>
      </c>
      <c r="M394" s="96" t="s">
        <v>556</v>
      </c>
      <c r="N394" s="96" t="s">
        <v>586</v>
      </c>
      <c r="O394" s="96" t="s">
        <v>613</v>
      </c>
      <c r="P394" s="6"/>
      <c r="Q394" s="216">
        <f>Q395</f>
        <v>18.9</v>
      </c>
      <c r="R394" s="216"/>
      <c r="S394" s="216"/>
    </row>
    <row r="395" spans="1:19" ht="24" customHeight="1">
      <c r="A395" s="99"/>
      <c r="B395" s="98"/>
      <c r="C395" s="103"/>
      <c r="D395" s="101"/>
      <c r="E395" s="104"/>
      <c r="F395" s="104"/>
      <c r="G395" s="89"/>
      <c r="H395" s="3" t="s">
        <v>327</v>
      </c>
      <c r="I395" s="8">
        <v>663</v>
      </c>
      <c r="J395" s="7">
        <v>7</v>
      </c>
      <c r="K395" s="7">
        <v>2</v>
      </c>
      <c r="L395" s="95" t="s">
        <v>588</v>
      </c>
      <c r="M395" s="96" t="s">
        <v>556</v>
      </c>
      <c r="N395" s="96" t="s">
        <v>586</v>
      </c>
      <c r="O395" s="96" t="s">
        <v>316</v>
      </c>
      <c r="P395" s="6"/>
      <c r="Q395" s="216">
        <f>Q396</f>
        <v>18.9</v>
      </c>
      <c r="R395" s="216"/>
      <c r="S395" s="216"/>
    </row>
    <row r="396" spans="1:19" ht="24" customHeight="1">
      <c r="A396" s="99"/>
      <c r="B396" s="98"/>
      <c r="C396" s="103"/>
      <c r="D396" s="101"/>
      <c r="E396" s="104"/>
      <c r="F396" s="104"/>
      <c r="G396" s="89"/>
      <c r="H396" s="3" t="s">
        <v>714</v>
      </c>
      <c r="I396" s="8">
        <v>663</v>
      </c>
      <c r="J396" s="7">
        <v>7</v>
      </c>
      <c r="K396" s="7">
        <v>2</v>
      </c>
      <c r="L396" s="95" t="s">
        <v>588</v>
      </c>
      <c r="M396" s="96" t="s">
        <v>556</v>
      </c>
      <c r="N396" s="96" t="s">
        <v>586</v>
      </c>
      <c r="O396" s="96" t="s">
        <v>316</v>
      </c>
      <c r="P396" s="6">
        <v>610</v>
      </c>
      <c r="Q396" s="216">
        <f>'Приложение 9'!Q520</f>
        <v>18.9</v>
      </c>
      <c r="R396" s="216"/>
      <c r="S396" s="216"/>
    </row>
    <row r="397" spans="1:19" ht="29.25" customHeight="1">
      <c r="A397" s="99"/>
      <c r="B397" s="98"/>
      <c r="C397" s="103"/>
      <c r="D397" s="101"/>
      <c r="E397" s="104"/>
      <c r="F397" s="104"/>
      <c r="G397" s="89"/>
      <c r="H397" s="3" t="s">
        <v>785</v>
      </c>
      <c r="I397" s="8">
        <v>663</v>
      </c>
      <c r="J397" s="7">
        <v>7</v>
      </c>
      <c r="K397" s="7">
        <v>2</v>
      </c>
      <c r="L397" s="95" t="s">
        <v>588</v>
      </c>
      <c r="M397" s="96" t="s">
        <v>556</v>
      </c>
      <c r="N397" s="96" t="s">
        <v>559</v>
      </c>
      <c r="O397" s="96" t="s">
        <v>613</v>
      </c>
      <c r="P397" s="6"/>
      <c r="Q397" s="216">
        <f>Q398+Q402+Q405+Q400</f>
        <v>28936.3</v>
      </c>
      <c r="R397" s="216"/>
      <c r="S397" s="216"/>
    </row>
    <row r="398" spans="1:19" ht="22.5" customHeight="1">
      <c r="A398" s="99"/>
      <c r="B398" s="98"/>
      <c r="C398" s="103"/>
      <c r="D398" s="101"/>
      <c r="E398" s="104"/>
      <c r="F398" s="104"/>
      <c r="G398" s="89"/>
      <c r="H398" s="3" t="s">
        <v>327</v>
      </c>
      <c r="I398" s="8">
        <v>663</v>
      </c>
      <c r="J398" s="7">
        <v>7</v>
      </c>
      <c r="K398" s="7">
        <v>2</v>
      </c>
      <c r="L398" s="95" t="s">
        <v>588</v>
      </c>
      <c r="M398" s="96" t="s">
        <v>556</v>
      </c>
      <c r="N398" s="96" t="s">
        <v>559</v>
      </c>
      <c r="O398" s="96" t="s">
        <v>316</v>
      </c>
      <c r="P398" s="6"/>
      <c r="Q398" s="216">
        <f>Q399</f>
        <v>2196.9</v>
      </c>
      <c r="R398" s="216"/>
      <c r="S398" s="216"/>
    </row>
    <row r="399" spans="1:19" ht="27.75" customHeight="1">
      <c r="A399" s="99"/>
      <c r="B399" s="98"/>
      <c r="C399" s="103"/>
      <c r="D399" s="101"/>
      <c r="E399" s="104"/>
      <c r="F399" s="104"/>
      <c r="G399" s="89"/>
      <c r="H399" s="3" t="s">
        <v>714</v>
      </c>
      <c r="I399" s="8">
        <v>663</v>
      </c>
      <c r="J399" s="7">
        <v>7</v>
      </c>
      <c r="K399" s="7">
        <v>2</v>
      </c>
      <c r="L399" s="95" t="s">
        <v>588</v>
      </c>
      <c r="M399" s="96" t="s">
        <v>556</v>
      </c>
      <c r="N399" s="96" t="s">
        <v>559</v>
      </c>
      <c r="O399" s="96" t="s">
        <v>316</v>
      </c>
      <c r="P399" s="10">
        <v>610</v>
      </c>
      <c r="Q399" s="214">
        <f>'Приложение 9'!Q523</f>
        <v>2196.9</v>
      </c>
      <c r="R399" s="214"/>
      <c r="S399" s="214"/>
    </row>
    <row r="400" spans="1:19" ht="37.5" customHeight="1">
      <c r="A400" s="99"/>
      <c r="B400" s="98"/>
      <c r="C400" s="103"/>
      <c r="D400" s="101"/>
      <c r="E400" s="104"/>
      <c r="F400" s="104"/>
      <c r="G400" s="89"/>
      <c r="H400" s="3" t="str">
        <f>'Приложение 9'!H524</f>
        <v>Реализация мероприятий по соблюдению санитарно-эпидемиологических требований в условиях распространения новой коронавирусной инфекции (COVID-19) в общеобразовательных организациях области</v>
      </c>
      <c r="I400" s="8">
        <f>'Приложение 9'!I524</f>
        <v>663</v>
      </c>
      <c r="J400" s="7">
        <f>'Приложение 9'!J524</f>
        <v>7</v>
      </c>
      <c r="K400" s="7">
        <f>'Приложение 9'!K524</f>
        <v>2</v>
      </c>
      <c r="L400" s="95" t="str">
        <f>'Приложение 9'!L524</f>
        <v>06</v>
      </c>
      <c r="M400" s="96" t="str">
        <f>'Приложение 9'!M524</f>
        <v>0</v>
      </c>
      <c r="N400" s="96" t="str">
        <f>'Приложение 9'!N524</f>
        <v>05</v>
      </c>
      <c r="O400" s="96" t="str">
        <f>'Приложение 9'!O524</f>
        <v>S1070</v>
      </c>
      <c r="P400" s="10" t="s">
        <v>614</v>
      </c>
      <c r="Q400" s="214">
        <f>Q401</f>
        <v>1809.1000000000001</v>
      </c>
      <c r="R400" s="214"/>
      <c r="S400" s="214"/>
    </row>
    <row r="401" spans="1:19" ht="27.75" customHeight="1">
      <c r="A401" s="99"/>
      <c r="B401" s="98"/>
      <c r="C401" s="103"/>
      <c r="D401" s="101"/>
      <c r="E401" s="104"/>
      <c r="F401" s="104"/>
      <c r="G401" s="89"/>
      <c r="H401" s="3" t="str">
        <f>'Приложение 9'!H525</f>
        <v>Субсидии бюджетным учреждениям</v>
      </c>
      <c r="I401" s="8">
        <f>'Приложение 9'!I525</f>
        <v>663</v>
      </c>
      <c r="J401" s="7">
        <f>'Приложение 9'!J525</f>
        <v>7</v>
      </c>
      <c r="K401" s="7">
        <f>'Приложение 9'!K525</f>
        <v>2</v>
      </c>
      <c r="L401" s="95" t="str">
        <f>'Приложение 9'!L525</f>
        <v>06</v>
      </c>
      <c r="M401" s="96" t="str">
        <f>'Приложение 9'!M525</f>
        <v>0</v>
      </c>
      <c r="N401" s="96" t="str">
        <f>'Приложение 9'!N525</f>
        <v>05</v>
      </c>
      <c r="O401" s="96" t="str">
        <f>'Приложение 9'!O525</f>
        <v>S1070</v>
      </c>
      <c r="P401" s="10">
        <f>'Приложение 9'!P525</f>
        <v>610</v>
      </c>
      <c r="Q401" s="214">
        <f>'Приложение 9'!Q525</f>
        <v>1809.1000000000001</v>
      </c>
      <c r="R401" s="214"/>
      <c r="S401" s="214"/>
    </row>
    <row r="402" spans="1:19" ht="36" customHeight="1">
      <c r="A402" s="99"/>
      <c r="B402" s="98"/>
      <c r="C402" s="103"/>
      <c r="D402" s="101"/>
      <c r="E402" s="113"/>
      <c r="F402" s="113"/>
      <c r="G402" s="89"/>
      <c r="H402" s="5" t="s">
        <v>287</v>
      </c>
      <c r="I402" s="8">
        <v>663</v>
      </c>
      <c r="J402" s="7">
        <v>7</v>
      </c>
      <c r="K402" s="7">
        <v>2</v>
      </c>
      <c r="L402" s="16">
        <v>6</v>
      </c>
      <c r="M402" s="96" t="s">
        <v>556</v>
      </c>
      <c r="N402" s="96" t="s">
        <v>559</v>
      </c>
      <c r="O402" s="96" t="s">
        <v>288</v>
      </c>
      <c r="P402" s="10"/>
      <c r="Q402" s="214">
        <f>Q403</f>
        <v>24027</v>
      </c>
      <c r="R402" s="214"/>
      <c r="S402" s="214"/>
    </row>
    <row r="403" spans="1:19" ht="24.75" customHeight="1">
      <c r="A403" s="99"/>
      <c r="B403" s="98"/>
      <c r="C403" s="103"/>
      <c r="D403" s="101"/>
      <c r="E403" s="113"/>
      <c r="F403" s="113"/>
      <c r="G403" s="89"/>
      <c r="H403" s="5" t="s">
        <v>714</v>
      </c>
      <c r="I403" s="8">
        <v>663</v>
      </c>
      <c r="J403" s="7">
        <v>7</v>
      </c>
      <c r="K403" s="7">
        <v>2</v>
      </c>
      <c r="L403" s="16">
        <v>6</v>
      </c>
      <c r="M403" s="96" t="s">
        <v>556</v>
      </c>
      <c r="N403" s="96" t="s">
        <v>559</v>
      </c>
      <c r="O403" s="96" t="s">
        <v>288</v>
      </c>
      <c r="P403" s="10">
        <v>610</v>
      </c>
      <c r="Q403" s="214">
        <f>'Приложение 9'!Q527</f>
        <v>24027</v>
      </c>
      <c r="R403" s="214"/>
      <c r="S403" s="214"/>
    </row>
    <row r="404" spans="1:19" ht="24.75" customHeight="1">
      <c r="A404" s="99"/>
      <c r="B404" s="98"/>
      <c r="C404" s="103"/>
      <c r="D404" s="101"/>
      <c r="E404" s="104"/>
      <c r="F404" s="104"/>
      <c r="G404" s="89"/>
      <c r="H404" s="5" t="str">
        <f>'Приложение 9'!H528</f>
        <v>Создание условий по организации дошкольного и общего образования</v>
      </c>
      <c r="I404" s="13">
        <f>'Приложение 9'!I528</f>
        <v>663</v>
      </c>
      <c r="J404" s="7">
        <f>'Приложение 9'!J528</f>
        <v>7</v>
      </c>
      <c r="K404" s="7">
        <f>'Приложение 9'!K528</f>
        <v>2</v>
      </c>
      <c r="L404" s="16">
        <f>'Приложение 9'!L528</f>
        <v>6</v>
      </c>
      <c r="M404" s="96" t="str">
        <f>'Приложение 9'!M528</f>
        <v>0</v>
      </c>
      <c r="N404" s="96" t="str">
        <f>'Приложение 9'!N528</f>
        <v>05</v>
      </c>
      <c r="O404" s="96" t="str">
        <f>'Приложение 9'!O528</f>
        <v>S1330</v>
      </c>
      <c r="P404" s="10" t="s">
        <v>614</v>
      </c>
      <c r="Q404" s="214">
        <f>Q405</f>
        <v>903.3000000000001</v>
      </c>
      <c r="R404" s="214"/>
      <c r="S404" s="214"/>
    </row>
    <row r="405" spans="1:19" ht="24.75" customHeight="1">
      <c r="A405" s="99"/>
      <c r="B405" s="98"/>
      <c r="C405" s="103"/>
      <c r="D405" s="101"/>
      <c r="E405" s="104"/>
      <c r="F405" s="104"/>
      <c r="G405" s="89"/>
      <c r="H405" s="5" t="str">
        <f>'Приложение 9'!H529</f>
        <v>Субсидии бюджетным учреждениям</v>
      </c>
      <c r="I405" s="13">
        <f>'Приложение 9'!I529</f>
        <v>663</v>
      </c>
      <c r="J405" s="7">
        <f>'Приложение 9'!J529</f>
        <v>7</v>
      </c>
      <c r="K405" s="7">
        <f>'Приложение 9'!K529</f>
        <v>2</v>
      </c>
      <c r="L405" s="16">
        <f>'Приложение 9'!L529</f>
        <v>6</v>
      </c>
      <c r="M405" s="96" t="str">
        <f>'Приложение 9'!M529</f>
        <v>0</v>
      </c>
      <c r="N405" s="96" t="str">
        <f>'Приложение 9'!N529</f>
        <v>05</v>
      </c>
      <c r="O405" s="96" t="str">
        <f>'Приложение 9'!O529</f>
        <v>S1330</v>
      </c>
      <c r="P405" s="10">
        <f>'Приложение 9'!P529</f>
        <v>610</v>
      </c>
      <c r="Q405" s="214">
        <f>'Приложение 9'!Q529</f>
        <v>903.3000000000001</v>
      </c>
      <c r="R405" s="214"/>
      <c r="S405" s="214"/>
    </row>
    <row r="406" spans="1:19" ht="24.75" customHeight="1">
      <c r="A406" s="99"/>
      <c r="B406" s="98"/>
      <c r="C406" s="103"/>
      <c r="D406" s="101"/>
      <c r="E406" s="104"/>
      <c r="F406" s="104"/>
      <c r="G406" s="89"/>
      <c r="H406" s="5" t="str">
        <f>'Приложение 9'!H530</f>
        <v>Основное мероприятие "Реализация регионального проекта "Современная школа"</v>
      </c>
      <c r="I406" s="13">
        <f>'Приложение 9'!I530</f>
        <v>663</v>
      </c>
      <c r="J406" s="7">
        <f>'Приложение 9'!J530</f>
        <v>7</v>
      </c>
      <c r="K406" s="7">
        <f>'Приложение 9'!K530</f>
        <v>2</v>
      </c>
      <c r="L406" s="16">
        <f>'Приложение 9'!L530</f>
        <v>6</v>
      </c>
      <c r="M406" s="96" t="str">
        <f>'Приложение 9'!M530</f>
        <v>0</v>
      </c>
      <c r="N406" s="96" t="str">
        <f>'Приложение 9'!N530</f>
        <v>E1</v>
      </c>
      <c r="O406" s="96" t="str">
        <f>'Приложение 9'!O530</f>
        <v>00000</v>
      </c>
      <c r="P406" s="10" t="s">
        <v>614</v>
      </c>
      <c r="Q406" s="214">
        <f>'Приложение 9'!Q530</f>
        <v>3024.0000000000005</v>
      </c>
      <c r="R406" s="214"/>
      <c r="S406" s="214"/>
    </row>
    <row r="407" spans="1:19" ht="48.75" customHeight="1">
      <c r="A407" s="99"/>
      <c r="B407" s="98"/>
      <c r="C407" s="103"/>
      <c r="D407" s="101"/>
      <c r="E407" s="104"/>
      <c r="F407" s="104"/>
      <c r="G407" s="89"/>
      <c r="H407" s="5" t="str">
        <f>'Приложение 9'!H531</f>
        <v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v>
      </c>
      <c r="I407" s="13">
        <f>'Приложение 9'!I531</f>
        <v>663</v>
      </c>
      <c r="J407" s="7">
        <f>'Приложение 9'!J531</f>
        <v>7</v>
      </c>
      <c r="K407" s="7">
        <f>'Приложение 9'!K531</f>
        <v>2</v>
      </c>
      <c r="L407" s="16">
        <f>'Приложение 9'!L531</f>
        <v>6</v>
      </c>
      <c r="M407" s="96" t="str">
        <f>'Приложение 9'!M531</f>
        <v>0</v>
      </c>
      <c r="N407" s="96" t="str">
        <f>'Приложение 9'!N531</f>
        <v>E1</v>
      </c>
      <c r="O407" s="96" t="str">
        <f>'Приложение 9'!O531</f>
        <v>51690</v>
      </c>
      <c r="P407" s="10" t="s">
        <v>614</v>
      </c>
      <c r="Q407" s="214">
        <f>'Приложение 9'!Q531</f>
        <v>3024.0000000000005</v>
      </c>
      <c r="R407" s="214"/>
      <c r="S407" s="214"/>
    </row>
    <row r="408" spans="1:19" ht="24.75" customHeight="1">
      <c r="A408" s="99"/>
      <c r="B408" s="98"/>
      <c r="C408" s="103"/>
      <c r="D408" s="101"/>
      <c r="E408" s="104"/>
      <c r="F408" s="104"/>
      <c r="G408" s="89"/>
      <c r="H408" s="5" t="str">
        <f>'Приложение 9'!H532</f>
        <v>Субсидии бюджетным учреждениям</v>
      </c>
      <c r="I408" s="13">
        <f>'Приложение 9'!I532</f>
        <v>663</v>
      </c>
      <c r="J408" s="7">
        <f>'Приложение 9'!J532</f>
        <v>7</v>
      </c>
      <c r="K408" s="7">
        <f>'Приложение 9'!K532</f>
        <v>2</v>
      </c>
      <c r="L408" s="16">
        <f>'Приложение 9'!L532</f>
        <v>6</v>
      </c>
      <c r="M408" s="96" t="str">
        <f>'Приложение 9'!M532</f>
        <v>0</v>
      </c>
      <c r="N408" s="96" t="str">
        <f>'Приложение 9'!N532</f>
        <v>E1</v>
      </c>
      <c r="O408" s="96" t="str">
        <f>'Приложение 9'!O532</f>
        <v>51690</v>
      </c>
      <c r="P408" s="10">
        <v>610</v>
      </c>
      <c r="Q408" s="214">
        <f>'Приложение 9'!Q532</f>
        <v>3024.0000000000005</v>
      </c>
      <c r="R408" s="214"/>
      <c r="S408" s="214"/>
    </row>
    <row r="409" spans="1:19" ht="37.5" customHeight="1" hidden="1">
      <c r="A409" s="99"/>
      <c r="B409" s="98"/>
      <c r="C409" s="103"/>
      <c r="D409" s="101"/>
      <c r="E409" s="104"/>
      <c r="F409" s="104"/>
      <c r="G409" s="89"/>
      <c r="H409" s="5" t="str">
        <f>'Приложение 9'!H533</f>
        <v>Муниципальная  программа "Формирование законопослушного поведения участников дорожного движения в Белозерском муниципальном районе на 2019-2021 годы"</v>
      </c>
      <c r="I409" s="13">
        <f>'Приложение 9'!I533</f>
        <v>663</v>
      </c>
      <c r="J409" s="7">
        <f>'Приложение 9'!J533</f>
        <v>7</v>
      </c>
      <c r="K409" s="7">
        <f>'Приложение 9'!K533</f>
        <v>2</v>
      </c>
      <c r="L409" s="16" t="str">
        <f>'Приложение 9'!L533</f>
        <v>09</v>
      </c>
      <c r="M409" s="96" t="str">
        <f>'Приложение 9'!M533</f>
        <v>0</v>
      </c>
      <c r="N409" s="96" t="str">
        <f>'Приложение 9'!N533</f>
        <v>00</v>
      </c>
      <c r="O409" s="96" t="str">
        <f>'Приложение 9'!O533</f>
        <v>00000</v>
      </c>
      <c r="P409" s="10" t="s">
        <v>614</v>
      </c>
      <c r="Q409" s="214">
        <f>'Приложение 9'!Q533</f>
        <v>0</v>
      </c>
      <c r="R409" s="214"/>
      <c r="S409" s="214"/>
    </row>
    <row r="410" spans="1:19" ht="36" customHeight="1" hidden="1">
      <c r="A410" s="99"/>
      <c r="B410" s="98"/>
      <c r="C410" s="103"/>
      <c r="D410" s="101"/>
      <c r="E410" s="104"/>
      <c r="F410" s="104"/>
      <c r="G410" s="89"/>
      <c r="H410" s="5" t="str">
        <f>'Приложение 9'!H534</f>
        <v>Основное мероприятие "Разработка проекта, приобретение, размещение социальной рекламы по обеспечению безопасности дорожного движения"</v>
      </c>
      <c r="I410" s="13">
        <f>'Приложение 9'!I534</f>
        <v>663</v>
      </c>
      <c r="J410" s="7">
        <f>'Приложение 9'!J534</f>
        <v>7</v>
      </c>
      <c r="K410" s="7">
        <f>'Приложение 9'!K534</f>
        <v>2</v>
      </c>
      <c r="L410" s="16" t="str">
        <f>'Приложение 9'!L534</f>
        <v>09</v>
      </c>
      <c r="M410" s="96" t="str">
        <f>'Приложение 9'!M534</f>
        <v>0</v>
      </c>
      <c r="N410" s="96" t="str">
        <f>'Приложение 9'!N534</f>
        <v>01</v>
      </c>
      <c r="O410" s="96" t="str">
        <f>'Приложение 9'!O534</f>
        <v>00000</v>
      </c>
      <c r="P410" s="10" t="s">
        <v>614</v>
      </c>
      <c r="Q410" s="214">
        <f>'Приложение 9'!Q534</f>
        <v>0</v>
      </c>
      <c r="R410" s="214"/>
      <c r="S410" s="214"/>
    </row>
    <row r="411" spans="1:19" ht="24.75" customHeight="1" hidden="1">
      <c r="A411" s="99"/>
      <c r="B411" s="98"/>
      <c r="C411" s="103"/>
      <c r="D411" s="101"/>
      <c r="E411" s="104"/>
      <c r="F411" s="104"/>
      <c r="G411" s="89"/>
      <c r="H411" s="5" t="str">
        <f>'Приложение 9'!H535</f>
        <v>Реализация мероприятий, направленных на обеспечение безопасности дорожного движения</v>
      </c>
      <c r="I411" s="13">
        <f>'Приложение 9'!I535</f>
        <v>663</v>
      </c>
      <c r="J411" s="7">
        <f>'Приложение 9'!J535</f>
        <v>7</v>
      </c>
      <c r="K411" s="7">
        <f>'Приложение 9'!K535</f>
        <v>2</v>
      </c>
      <c r="L411" s="16" t="str">
        <f>'Приложение 9'!L535</f>
        <v>09</v>
      </c>
      <c r="M411" s="96" t="str">
        <f>'Приложение 9'!M535</f>
        <v>0</v>
      </c>
      <c r="N411" s="96" t="str">
        <f>'Приложение 9'!N535</f>
        <v>01</v>
      </c>
      <c r="O411" s="96" t="str">
        <f>'Приложение 9'!O535</f>
        <v>20440</v>
      </c>
      <c r="P411" s="10" t="s">
        <v>614</v>
      </c>
      <c r="Q411" s="214">
        <f>'Приложение 9'!Q535</f>
        <v>0</v>
      </c>
      <c r="R411" s="214"/>
      <c r="S411" s="214"/>
    </row>
    <row r="412" spans="1:19" ht="24.75" customHeight="1" hidden="1">
      <c r="A412" s="99"/>
      <c r="B412" s="98"/>
      <c r="C412" s="103"/>
      <c r="D412" s="101"/>
      <c r="E412" s="104"/>
      <c r="F412" s="104"/>
      <c r="G412" s="89"/>
      <c r="H412" s="5" t="str">
        <f>'Приложение 9'!H536</f>
        <v>Субсидии бюджетным учреждениям</v>
      </c>
      <c r="I412" s="13">
        <f>'Приложение 9'!I536</f>
        <v>663</v>
      </c>
      <c r="J412" s="7">
        <f>'Приложение 9'!J536</f>
        <v>7</v>
      </c>
      <c r="K412" s="7">
        <f>'Приложение 9'!K536</f>
        <v>2</v>
      </c>
      <c r="L412" s="16" t="str">
        <f>'Приложение 9'!L536</f>
        <v>09</v>
      </c>
      <c r="M412" s="96" t="str">
        <f>'Приложение 9'!M536</f>
        <v>0</v>
      </c>
      <c r="N412" s="96" t="str">
        <f>'Приложение 9'!N536</f>
        <v>01</v>
      </c>
      <c r="O412" s="96" t="str">
        <f>'Приложение 9'!O536</f>
        <v>20440</v>
      </c>
      <c r="P412" s="10">
        <f>'Приложение 9'!P536</f>
        <v>610</v>
      </c>
      <c r="Q412" s="214">
        <f>'Приложение 9'!Q536</f>
        <v>0</v>
      </c>
      <c r="R412" s="214"/>
      <c r="S412" s="214"/>
    </row>
    <row r="413" spans="1:19" ht="37.5" customHeight="1" hidden="1">
      <c r="A413" s="99"/>
      <c r="B413" s="98"/>
      <c r="C413" s="103"/>
      <c r="D413" s="101"/>
      <c r="E413" s="104"/>
      <c r="F413" s="104"/>
      <c r="G413" s="89"/>
      <c r="H413" s="5" t="str">
        <f>'Приложение 9'!H537</f>
        <v>Основное мероприятие "Проведение соревнований, игр, конкурсов творческих работ среди детей по безопасности дорожного движения, конкурсы и викторины по ПДД в летних детских оздоровительных лагерях"</v>
      </c>
      <c r="I413" s="13">
        <f>'Приложение 9'!I537</f>
        <v>663</v>
      </c>
      <c r="J413" s="7">
        <f>'Приложение 9'!J537</f>
        <v>7</v>
      </c>
      <c r="K413" s="7">
        <f>'Приложение 9'!K537</f>
        <v>2</v>
      </c>
      <c r="L413" s="16" t="str">
        <f>'Приложение 9'!L537</f>
        <v>09</v>
      </c>
      <c r="M413" s="96" t="str">
        <f>'Приложение 9'!M537</f>
        <v>0</v>
      </c>
      <c r="N413" s="96" t="str">
        <f>'Приложение 9'!N537</f>
        <v>02</v>
      </c>
      <c r="O413" s="96" t="str">
        <f>'Приложение 9'!O537</f>
        <v>00000</v>
      </c>
      <c r="P413" s="10" t="s">
        <v>614</v>
      </c>
      <c r="Q413" s="214">
        <f>'Приложение 9'!Q537</f>
        <v>0</v>
      </c>
      <c r="R413" s="214"/>
      <c r="S413" s="214"/>
    </row>
    <row r="414" spans="1:19" ht="24.75" customHeight="1" hidden="1">
      <c r="A414" s="99"/>
      <c r="B414" s="98"/>
      <c r="C414" s="103"/>
      <c r="D414" s="101"/>
      <c r="E414" s="104"/>
      <c r="F414" s="104"/>
      <c r="G414" s="89"/>
      <c r="H414" s="5" t="str">
        <f>'Приложение 9'!H538</f>
        <v>Реализация мероприятий, направленных на обеспечение безопасности дорожного движения</v>
      </c>
      <c r="I414" s="13">
        <f>'Приложение 9'!I538</f>
        <v>663</v>
      </c>
      <c r="J414" s="7">
        <f>'Приложение 9'!J538</f>
        <v>7</v>
      </c>
      <c r="K414" s="7">
        <f>'Приложение 9'!K538</f>
        <v>2</v>
      </c>
      <c r="L414" s="16" t="str">
        <f>'Приложение 9'!L538</f>
        <v>09</v>
      </c>
      <c r="M414" s="96" t="str">
        <f>'Приложение 9'!M538</f>
        <v>0</v>
      </c>
      <c r="N414" s="96" t="str">
        <f>'Приложение 9'!N538</f>
        <v>02</v>
      </c>
      <c r="O414" s="96" t="str">
        <f>'Приложение 9'!O538</f>
        <v>20440</v>
      </c>
      <c r="P414" s="10" t="s">
        <v>614</v>
      </c>
      <c r="Q414" s="214">
        <f>'Приложение 9'!Q538</f>
        <v>0</v>
      </c>
      <c r="R414" s="214"/>
      <c r="S414" s="214"/>
    </row>
    <row r="415" spans="1:19" ht="24.75" customHeight="1" hidden="1">
      <c r="A415" s="99"/>
      <c r="B415" s="98"/>
      <c r="C415" s="103"/>
      <c r="D415" s="101"/>
      <c r="E415" s="104"/>
      <c r="F415" s="104"/>
      <c r="G415" s="89"/>
      <c r="H415" s="5" t="str">
        <f>'Приложение 9'!H539</f>
        <v>Субсидии бюджетным учреждениям</v>
      </c>
      <c r="I415" s="13">
        <f>'Приложение 9'!I539</f>
        <v>663</v>
      </c>
      <c r="J415" s="7">
        <f>'Приложение 9'!J539</f>
        <v>7</v>
      </c>
      <c r="K415" s="7">
        <f>'Приложение 9'!K539</f>
        <v>2</v>
      </c>
      <c r="L415" s="16" t="str">
        <f>'Приложение 9'!L539</f>
        <v>09</v>
      </c>
      <c r="M415" s="96" t="str">
        <f>'Приложение 9'!M539</f>
        <v>0</v>
      </c>
      <c r="N415" s="96" t="str">
        <f>'Приложение 9'!N539</f>
        <v>02</v>
      </c>
      <c r="O415" s="96" t="str">
        <f>'Приложение 9'!O539</f>
        <v>20440</v>
      </c>
      <c r="P415" s="10">
        <f>'Приложение 9'!P539</f>
        <v>610</v>
      </c>
      <c r="Q415" s="214">
        <f>'Приложение 9'!Q539</f>
        <v>0</v>
      </c>
      <c r="R415" s="214"/>
      <c r="S415" s="214"/>
    </row>
    <row r="416" spans="1:19" ht="30.75" customHeight="1">
      <c r="A416" s="99"/>
      <c r="B416" s="98"/>
      <c r="C416" s="103"/>
      <c r="D416" s="101"/>
      <c r="E416" s="104"/>
      <c r="F416" s="104"/>
      <c r="G416" s="89"/>
      <c r="H416" s="5" t="s">
        <v>680</v>
      </c>
      <c r="I416" s="10">
        <v>663</v>
      </c>
      <c r="J416" s="7">
        <v>7</v>
      </c>
      <c r="K416" s="7">
        <v>2</v>
      </c>
      <c r="L416" s="95" t="s">
        <v>681</v>
      </c>
      <c r="M416" s="96" t="s">
        <v>556</v>
      </c>
      <c r="N416" s="96" t="s">
        <v>576</v>
      </c>
      <c r="O416" s="96" t="s">
        <v>613</v>
      </c>
      <c r="P416" s="10"/>
      <c r="Q416" s="214">
        <f>Q417+Q420+Q423+Q426</f>
        <v>57.8</v>
      </c>
      <c r="R416" s="214">
        <f>R417+R420+R423+R426</f>
        <v>239</v>
      </c>
      <c r="S416" s="214">
        <f>S417+S420+S423+S426</f>
        <v>239</v>
      </c>
    </row>
    <row r="417" spans="1:19" ht="34.5" customHeight="1" hidden="1">
      <c r="A417" s="99"/>
      <c r="B417" s="98"/>
      <c r="C417" s="103"/>
      <c r="D417" s="101"/>
      <c r="E417" s="104"/>
      <c r="F417" s="104"/>
      <c r="G417" s="89"/>
      <c r="H417" s="18" t="s">
        <v>317</v>
      </c>
      <c r="I417" s="10">
        <v>663</v>
      </c>
      <c r="J417" s="7">
        <v>7</v>
      </c>
      <c r="K417" s="7">
        <v>2</v>
      </c>
      <c r="L417" s="95" t="s">
        <v>681</v>
      </c>
      <c r="M417" s="96" t="s">
        <v>556</v>
      </c>
      <c r="N417" s="96" t="s">
        <v>585</v>
      </c>
      <c r="O417" s="96" t="s">
        <v>613</v>
      </c>
      <c r="P417" s="10"/>
      <c r="Q417" s="214">
        <f aca="true" t="shared" si="24" ref="Q417:S418">Q418</f>
        <v>0</v>
      </c>
      <c r="R417" s="214">
        <f t="shared" si="24"/>
        <v>9</v>
      </c>
      <c r="S417" s="214">
        <f t="shared" si="24"/>
        <v>9</v>
      </c>
    </row>
    <row r="418" spans="1:19" ht="24.75" customHeight="1" hidden="1">
      <c r="A418" s="99"/>
      <c r="B418" s="98"/>
      <c r="C418" s="103"/>
      <c r="D418" s="101"/>
      <c r="E418" s="104"/>
      <c r="F418" s="104"/>
      <c r="G418" s="89"/>
      <c r="H418" s="18" t="s">
        <v>318</v>
      </c>
      <c r="I418" s="10">
        <v>663</v>
      </c>
      <c r="J418" s="7">
        <v>7</v>
      </c>
      <c r="K418" s="7">
        <v>2</v>
      </c>
      <c r="L418" s="95" t="s">
        <v>681</v>
      </c>
      <c r="M418" s="96" t="s">
        <v>556</v>
      </c>
      <c r="N418" s="96" t="s">
        <v>585</v>
      </c>
      <c r="O418" s="96" t="s">
        <v>316</v>
      </c>
      <c r="P418" s="10"/>
      <c r="Q418" s="214">
        <f t="shared" si="24"/>
        <v>0</v>
      </c>
      <c r="R418" s="214">
        <f t="shared" si="24"/>
        <v>9</v>
      </c>
      <c r="S418" s="214">
        <f t="shared" si="24"/>
        <v>9</v>
      </c>
    </row>
    <row r="419" spans="1:19" ht="24.75" customHeight="1" hidden="1">
      <c r="A419" s="99"/>
      <c r="B419" s="98"/>
      <c r="C419" s="103"/>
      <c r="D419" s="101"/>
      <c r="E419" s="104"/>
      <c r="F419" s="104"/>
      <c r="G419" s="89"/>
      <c r="H419" s="18" t="s">
        <v>714</v>
      </c>
      <c r="I419" s="10">
        <v>663</v>
      </c>
      <c r="J419" s="7">
        <v>7</v>
      </c>
      <c r="K419" s="7">
        <v>2</v>
      </c>
      <c r="L419" s="95" t="s">
        <v>681</v>
      </c>
      <c r="M419" s="96" t="s">
        <v>556</v>
      </c>
      <c r="N419" s="96" t="s">
        <v>585</v>
      </c>
      <c r="O419" s="96" t="s">
        <v>316</v>
      </c>
      <c r="P419" s="10">
        <v>610</v>
      </c>
      <c r="Q419" s="214">
        <f>'Приложение 9'!Q543</f>
        <v>0</v>
      </c>
      <c r="R419" s="214">
        <v>9</v>
      </c>
      <c r="S419" s="214">
        <v>9</v>
      </c>
    </row>
    <row r="420" spans="1:19" ht="30" customHeight="1" hidden="1">
      <c r="A420" s="99"/>
      <c r="B420" s="98"/>
      <c r="C420" s="103"/>
      <c r="D420" s="101"/>
      <c r="E420" s="104"/>
      <c r="F420" s="104"/>
      <c r="G420" s="89"/>
      <c r="H420" s="5" t="s">
        <v>319</v>
      </c>
      <c r="I420" s="10">
        <v>663</v>
      </c>
      <c r="J420" s="7">
        <v>7</v>
      </c>
      <c r="K420" s="7">
        <v>2</v>
      </c>
      <c r="L420" s="95" t="s">
        <v>681</v>
      </c>
      <c r="M420" s="96" t="s">
        <v>556</v>
      </c>
      <c r="N420" s="96" t="s">
        <v>586</v>
      </c>
      <c r="O420" s="96" t="s">
        <v>613</v>
      </c>
      <c r="P420" s="10"/>
      <c r="Q420" s="214">
        <f aca="true" t="shared" si="25" ref="Q420:S421">Q421</f>
        <v>0</v>
      </c>
      <c r="R420" s="214">
        <f t="shared" si="25"/>
        <v>25</v>
      </c>
      <c r="S420" s="214">
        <f t="shared" si="25"/>
        <v>25</v>
      </c>
    </row>
    <row r="421" spans="1:19" ht="30" customHeight="1" hidden="1">
      <c r="A421" s="99"/>
      <c r="B421" s="98"/>
      <c r="C421" s="103"/>
      <c r="D421" s="101"/>
      <c r="E421" s="104"/>
      <c r="F421" s="104"/>
      <c r="G421" s="89"/>
      <c r="H421" s="5" t="s">
        <v>318</v>
      </c>
      <c r="I421" s="10">
        <v>663</v>
      </c>
      <c r="J421" s="7">
        <v>7</v>
      </c>
      <c r="K421" s="7">
        <v>2</v>
      </c>
      <c r="L421" s="95" t="s">
        <v>681</v>
      </c>
      <c r="M421" s="96" t="s">
        <v>556</v>
      </c>
      <c r="N421" s="96" t="s">
        <v>586</v>
      </c>
      <c r="O421" s="96" t="s">
        <v>316</v>
      </c>
      <c r="P421" s="10"/>
      <c r="Q421" s="214">
        <f t="shared" si="25"/>
        <v>0</v>
      </c>
      <c r="R421" s="214">
        <f t="shared" si="25"/>
        <v>25</v>
      </c>
      <c r="S421" s="214">
        <f t="shared" si="25"/>
        <v>25</v>
      </c>
    </row>
    <row r="422" spans="1:19" ht="30" customHeight="1" hidden="1">
      <c r="A422" s="99"/>
      <c r="B422" s="98"/>
      <c r="C422" s="103"/>
      <c r="D422" s="101"/>
      <c r="E422" s="104"/>
      <c r="F422" s="104"/>
      <c r="G422" s="89"/>
      <c r="H422" s="5" t="s">
        <v>714</v>
      </c>
      <c r="I422" s="10">
        <v>663</v>
      </c>
      <c r="J422" s="7">
        <v>7</v>
      </c>
      <c r="K422" s="7">
        <v>2</v>
      </c>
      <c r="L422" s="95" t="s">
        <v>681</v>
      </c>
      <c r="M422" s="96" t="s">
        <v>556</v>
      </c>
      <c r="N422" s="96" t="s">
        <v>586</v>
      </c>
      <c r="O422" s="96" t="s">
        <v>316</v>
      </c>
      <c r="P422" s="10">
        <v>610</v>
      </c>
      <c r="Q422" s="214">
        <f>'Приложение 9'!Q546</f>
        <v>0</v>
      </c>
      <c r="R422" s="214">
        <v>25</v>
      </c>
      <c r="S422" s="214">
        <v>25</v>
      </c>
    </row>
    <row r="423" spans="1:19" ht="41.25" customHeight="1" hidden="1">
      <c r="A423" s="99"/>
      <c r="B423" s="98"/>
      <c r="C423" s="103"/>
      <c r="D423" s="101"/>
      <c r="E423" s="104"/>
      <c r="F423" s="104"/>
      <c r="G423" s="89"/>
      <c r="H423" s="5" t="s">
        <v>679</v>
      </c>
      <c r="I423" s="10">
        <v>663</v>
      </c>
      <c r="J423" s="7">
        <v>7</v>
      </c>
      <c r="K423" s="7">
        <v>2</v>
      </c>
      <c r="L423" s="95" t="s">
        <v>681</v>
      </c>
      <c r="M423" s="96" t="s">
        <v>556</v>
      </c>
      <c r="N423" s="96" t="s">
        <v>581</v>
      </c>
      <c r="O423" s="96" t="s">
        <v>613</v>
      </c>
      <c r="P423" s="10"/>
      <c r="Q423" s="214">
        <f aca="true" t="shared" si="26" ref="Q423:S424">Q424</f>
        <v>0</v>
      </c>
      <c r="R423" s="214">
        <f t="shared" si="26"/>
        <v>80</v>
      </c>
      <c r="S423" s="214">
        <f t="shared" si="26"/>
        <v>80</v>
      </c>
    </row>
    <row r="424" spans="1:19" ht="28.5" customHeight="1" hidden="1">
      <c r="A424" s="99"/>
      <c r="B424" s="98"/>
      <c r="C424" s="103"/>
      <c r="D424" s="101"/>
      <c r="E424" s="104"/>
      <c r="F424" s="104"/>
      <c r="G424" s="89"/>
      <c r="H424" s="5" t="s">
        <v>318</v>
      </c>
      <c r="I424" s="10">
        <v>663</v>
      </c>
      <c r="J424" s="7">
        <v>7</v>
      </c>
      <c r="K424" s="7">
        <v>2</v>
      </c>
      <c r="L424" s="95" t="s">
        <v>681</v>
      </c>
      <c r="M424" s="96" t="s">
        <v>556</v>
      </c>
      <c r="N424" s="96" t="s">
        <v>581</v>
      </c>
      <c r="O424" s="96" t="s">
        <v>316</v>
      </c>
      <c r="P424" s="10"/>
      <c r="Q424" s="214">
        <f t="shared" si="26"/>
        <v>0</v>
      </c>
      <c r="R424" s="214">
        <f t="shared" si="26"/>
        <v>80</v>
      </c>
      <c r="S424" s="214">
        <f t="shared" si="26"/>
        <v>80</v>
      </c>
    </row>
    <row r="425" spans="1:19" ht="30" customHeight="1" hidden="1">
      <c r="A425" s="99"/>
      <c r="B425" s="98"/>
      <c r="C425" s="103"/>
      <c r="D425" s="101"/>
      <c r="E425" s="104"/>
      <c r="F425" s="104"/>
      <c r="G425" s="89"/>
      <c r="H425" s="5" t="s">
        <v>714</v>
      </c>
      <c r="I425" s="10">
        <v>663</v>
      </c>
      <c r="J425" s="7">
        <v>7</v>
      </c>
      <c r="K425" s="7">
        <v>2</v>
      </c>
      <c r="L425" s="95" t="s">
        <v>681</v>
      </c>
      <c r="M425" s="96" t="s">
        <v>556</v>
      </c>
      <c r="N425" s="96" t="s">
        <v>581</v>
      </c>
      <c r="O425" s="96" t="s">
        <v>316</v>
      </c>
      <c r="P425" s="10">
        <v>610</v>
      </c>
      <c r="Q425" s="214">
        <f>'Приложение 9'!Q549</f>
        <v>0</v>
      </c>
      <c r="R425" s="214">
        <v>80</v>
      </c>
      <c r="S425" s="214">
        <v>80</v>
      </c>
    </row>
    <row r="426" spans="1:19" ht="41.25" customHeight="1">
      <c r="A426" s="99"/>
      <c r="B426" s="98"/>
      <c r="C426" s="103"/>
      <c r="D426" s="101"/>
      <c r="E426" s="104"/>
      <c r="F426" s="104"/>
      <c r="G426" s="89"/>
      <c r="H426" s="117" t="s">
        <v>246</v>
      </c>
      <c r="I426" s="10">
        <v>663</v>
      </c>
      <c r="J426" s="7">
        <v>7</v>
      </c>
      <c r="K426" s="7">
        <v>2</v>
      </c>
      <c r="L426" s="95" t="s">
        <v>681</v>
      </c>
      <c r="M426" s="96" t="s">
        <v>556</v>
      </c>
      <c r="N426" s="96" t="s">
        <v>559</v>
      </c>
      <c r="O426" s="96" t="s">
        <v>613</v>
      </c>
      <c r="P426" s="10"/>
      <c r="Q426" s="214">
        <f aca="true" t="shared" si="27" ref="Q426:S427">Q427</f>
        <v>57.8</v>
      </c>
      <c r="R426" s="214">
        <f t="shared" si="27"/>
        <v>125</v>
      </c>
      <c r="S426" s="214">
        <f t="shared" si="27"/>
        <v>125</v>
      </c>
    </row>
    <row r="427" spans="1:19" ht="25.5" customHeight="1">
      <c r="A427" s="99"/>
      <c r="B427" s="98"/>
      <c r="C427" s="103"/>
      <c r="D427" s="101"/>
      <c r="E427" s="104"/>
      <c r="F427" s="104"/>
      <c r="G427" s="89"/>
      <c r="H427" s="5" t="s">
        <v>318</v>
      </c>
      <c r="I427" s="10">
        <v>663</v>
      </c>
      <c r="J427" s="7">
        <v>7</v>
      </c>
      <c r="K427" s="7">
        <v>2</v>
      </c>
      <c r="L427" s="95" t="s">
        <v>681</v>
      </c>
      <c r="M427" s="96" t="s">
        <v>556</v>
      </c>
      <c r="N427" s="96" t="s">
        <v>559</v>
      </c>
      <c r="O427" s="96" t="s">
        <v>316</v>
      </c>
      <c r="P427" s="10"/>
      <c r="Q427" s="214">
        <f t="shared" si="27"/>
        <v>57.8</v>
      </c>
      <c r="R427" s="214">
        <f t="shared" si="27"/>
        <v>125</v>
      </c>
      <c r="S427" s="214">
        <f t="shared" si="27"/>
        <v>125</v>
      </c>
    </row>
    <row r="428" spans="1:19" ht="27" customHeight="1">
      <c r="A428" s="99"/>
      <c r="B428" s="98"/>
      <c r="C428" s="103"/>
      <c r="D428" s="101"/>
      <c r="E428" s="104"/>
      <c r="F428" s="104"/>
      <c r="G428" s="89"/>
      <c r="H428" s="5" t="s">
        <v>714</v>
      </c>
      <c r="I428" s="10">
        <v>663</v>
      </c>
      <c r="J428" s="7">
        <v>7</v>
      </c>
      <c r="K428" s="7">
        <v>2</v>
      </c>
      <c r="L428" s="95" t="s">
        <v>681</v>
      </c>
      <c r="M428" s="96" t="s">
        <v>556</v>
      </c>
      <c r="N428" s="96" t="s">
        <v>559</v>
      </c>
      <c r="O428" s="96" t="s">
        <v>316</v>
      </c>
      <c r="P428" s="10">
        <v>610</v>
      </c>
      <c r="Q428" s="214">
        <f>'Приложение 9'!Q552</f>
        <v>57.8</v>
      </c>
      <c r="R428" s="214">
        <v>125</v>
      </c>
      <c r="S428" s="214">
        <v>125</v>
      </c>
    </row>
    <row r="429" spans="1:19" s="179" customFormat="1" ht="25.5" customHeight="1">
      <c r="A429" s="142"/>
      <c r="B429" s="143"/>
      <c r="C429" s="153"/>
      <c r="D429" s="150"/>
      <c r="E429" s="154"/>
      <c r="F429" s="154"/>
      <c r="G429" s="136"/>
      <c r="H429" s="149" t="s">
        <v>340</v>
      </c>
      <c r="I429" s="152">
        <v>663</v>
      </c>
      <c r="J429" s="148">
        <v>7</v>
      </c>
      <c r="K429" s="148">
        <v>3</v>
      </c>
      <c r="L429" s="139"/>
      <c r="M429" s="141"/>
      <c r="N429" s="141"/>
      <c r="O429" s="141"/>
      <c r="P429" s="138"/>
      <c r="Q429" s="213">
        <f>Q430+Q444</f>
        <v>11869.099999999999</v>
      </c>
      <c r="R429" s="213" t="e">
        <f>R430+#REF!+R444</f>
        <v>#REF!</v>
      </c>
      <c r="S429" s="213" t="e">
        <f>S430+#REF!+S444</f>
        <v>#REF!</v>
      </c>
    </row>
    <row r="430" spans="1:19" ht="30.75" customHeight="1">
      <c r="A430" s="97"/>
      <c r="B430" s="98"/>
      <c r="C430" s="103"/>
      <c r="D430" s="101"/>
      <c r="E430" s="113"/>
      <c r="F430" s="113"/>
      <c r="G430" s="89"/>
      <c r="H430" s="5" t="s">
        <v>264</v>
      </c>
      <c r="I430" s="8">
        <v>663</v>
      </c>
      <c r="J430" s="7">
        <v>7</v>
      </c>
      <c r="K430" s="7">
        <v>3</v>
      </c>
      <c r="L430" s="16">
        <v>6</v>
      </c>
      <c r="M430" s="96" t="s">
        <v>556</v>
      </c>
      <c r="N430" s="96" t="s">
        <v>576</v>
      </c>
      <c r="O430" s="96" t="s">
        <v>613</v>
      </c>
      <c r="P430" s="10"/>
      <c r="Q430" s="214">
        <f>Q431+Q441+Q438</f>
        <v>4340.099999999999</v>
      </c>
      <c r="R430" s="214"/>
      <c r="S430" s="214"/>
    </row>
    <row r="431" spans="1:19" ht="25.5" customHeight="1">
      <c r="A431" s="99"/>
      <c r="B431" s="98"/>
      <c r="C431" s="103"/>
      <c r="D431" s="101"/>
      <c r="E431" s="113"/>
      <c r="F431" s="113"/>
      <c r="G431" s="89"/>
      <c r="H431" s="5" t="s">
        <v>784</v>
      </c>
      <c r="I431" s="8">
        <v>663</v>
      </c>
      <c r="J431" s="7">
        <v>7</v>
      </c>
      <c r="K431" s="7">
        <v>3</v>
      </c>
      <c r="L431" s="16">
        <v>6</v>
      </c>
      <c r="M431" s="96" t="s">
        <v>556</v>
      </c>
      <c r="N431" s="96" t="s">
        <v>586</v>
      </c>
      <c r="O431" s="96" t="s">
        <v>613</v>
      </c>
      <c r="P431" s="10"/>
      <c r="Q431" s="214">
        <f>Q432+Q434+Q436</f>
        <v>3561.2999999999997</v>
      </c>
      <c r="R431" s="214"/>
      <c r="S431" s="214"/>
    </row>
    <row r="432" spans="1:19" ht="25.5" customHeight="1">
      <c r="A432" s="99"/>
      <c r="B432" s="98"/>
      <c r="C432" s="103"/>
      <c r="D432" s="101"/>
      <c r="E432" s="113"/>
      <c r="F432" s="113"/>
      <c r="G432" s="89"/>
      <c r="H432" s="5" t="s">
        <v>328</v>
      </c>
      <c r="I432" s="8">
        <v>663</v>
      </c>
      <c r="J432" s="7">
        <v>7</v>
      </c>
      <c r="K432" s="7">
        <v>3</v>
      </c>
      <c r="L432" s="16">
        <v>6</v>
      </c>
      <c r="M432" s="96" t="s">
        <v>556</v>
      </c>
      <c r="N432" s="96" t="s">
        <v>586</v>
      </c>
      <c r="O432" s="96" t="s">
        <v>263</v>
      </c>
      <c r="P432" s="10"/>
      <c r="Q432" s="214">
        <f>Q433</f>
        <v>2468.2999999999997</v>
      </c>
      <c r="R432" s="214"/>
      <c r="S432" s="214"/>
    </row>
    <row r="433" spans="1:19" ht="25.5" customHeight="1">
      <c r="A433" s="99"/>
      <c r="B433" s="98"/>
      <c r="C433" s="103"/>
      <c r="D433" s="101"/>
      <c r="E433" s="113"/>
      <c r="F433" s="113"/>
      <c r="G433" s="89"/>
      <c r="H433" s="5" t="s">
        <v>714</v>
      </c>
      <c r="I433" s="8">
        <v>663</v>
      </c>
      <c r="J433" s="7">
        <v>7</v>
      </c>
      <c r="K433" s="7">
        <v>3</v>
      </c>
      <c r="L433" s="16">
        <v>6</v>
      </c>
      <c r="M433" s="96" t="s">
        <v>556</v>
      </c>
      <c r="N433" s="96" t="s">
        <v>586</v>
      </c>
      <c r="O433" s="96" t="s">
        <v>263</v>
      </c>
      <c r="P433" s="10">
        <v>610</v>
      </c>
      <c r="Q433" s="214">
        <f>'Приложение 9'!Q563</f>
        <v>2468.2999999999997</v>
      </c>
      <c r="R433" s="214"/>
      <c r="S433" s="214"/>
    </row>
    <row r="434" spans="1:19" ht="34.5" customHeight="1">
      <c r="A434" s="99"/>
      <c r="B434" s="98"/>
      <c r="C434" s="103"/>
      <c r="D434" s="107"/>
      <c r="E434" s="104"/>
      <c r="F434" s="104"/>
      <c r="G434" s="89"/>
      <c r="H434" s="257" t="str">
        <f>'Приложение 9'!H564</f>
        <v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v>
      </c>
      <c r="I434" s="13">
        <f>'Приложение 9'!I564</f>
        <v>663</v>
      </c>
      <c r="J434" s="7">
        <f>'Приложение 9'!J564</f>
        <v>7</v>
      </c>
      <c r="K434" s="7">
        <f>'Приложение 9'!K564</f>
        <v>3</v>
      </c>
      <c r="L434" s="16">
        <f>'Приложение 9'!L564</f>
        <v>6</v>
      </c>
      <c r="M434" s="96" t="str">
        <f>'Приложение 9'!M564</f>
        <v>0</v>
      </c>
      <c r="N434" s="96" t="str">
        <f>'Приложение 9'!N564</f>
        <v>03</v>
      </c>
      <c r="O434" s="96" t="str">
        <f>'Приложение 9'!O564</f>
        <v>70030</v>
      </c>
      <c r="P434" s="10" t="s">
        <v>614</v>
      </c>
      <c r="Q434" s="214">
        <f>'Приложение 9'!Q564</f>
        <v>1093</v>
      </c>
      <c r="R434" s="216"/>
      <c r="S434" s="216"/>
    </row>
    <row r="435" spans="1:19" ht="25.5" customHeight="1">
      <c r="A435" s="99"/>
      <c r="B435" s="98"/>
      <c r="C435" s="103"/>
      <c r="D435" s="107"/>
      <c r="E435" s="104"/>
      <c r="F435" s="104"/>
      <c r="G435" s="89"/>
      <c r="H435" s="257" t="str">
        <f>'Приложение 9'!H565</f>
        <v>Субсидии бюджетным учреждениям</v>
      </c>
      <c r="I435" s="13">
        <f>'Приложение 9'!I565</f>
        <v>663</v>
      </c>
      <c r="J435" s="7">
        <f>'Приложение 9'!J565</f>
        <v>7</v>
      </c>
      <c r="K435" s="7">
        <f>'Приложение 9'!K565</f>
        <v>3</v>
      </c>
      <c r="L435" s="16">
        <f>'Приложение 9'!L565</f>
        <v>6</v>
      </c>
      <c r="M435" s="96" t="str">
        <f>'Приложение 9'!M565</f>
        <v>0</v>
      </c>
      <c r="N435" s="96" t="str">
        <f>'Приложение 9'!N565</f>
        <v>03</v>
      </c>
      <c r="O435" s="96" t="str">
        <f>'Приложение 9'!O565</f>
        <v>70030</v>
      </c>
      <c r="P435" s="10">
        <f>'Приложение 9'!P565</f>
        <v>610</v>
      </c>
      <c r="Q435" s="214">
        <f>'Приложение 9'!Q565</f>
        <v>1093</v>
      </c>
      <c r="R435" s="216"/>
      <c r="S435" s="216"/>
    </row>
    <row r="436" spans="1:19" ht="25.5" customHeight="1" hidden="1">
      <c r="A436" s="99"/>
      <c r="B436" s="98"/>
      <c r="C436" s="97"/>
      <c r="D436" s="107"/>
      <c r="E436" s="104"/>
      <c r="F436" s="104"/>
      <c r="G436" s="89"/>
      <c r="H436" s="257" t="str">
        <f>'Приложение 9'!H566</f>
        <v>Создание в муниципальных общеобразовательных организациях кружков по развитию предпринимательства</v>
      </c>
      <c r="I436" s="13">
        <f>'Приложение 9'!I566</f>
        <v>663</v>
      </c>
      <c r="J436" s="7">
        <f>'Приложение 9'!J566</f>
        <v>7</v>
      </c>
      <c r="K436" s="7">
        <f>'Приложение 9'!K566</f>
        <v>3</v>
      </c>
      <c r="L436" s="16">
        <f>'Приложение 9'!L566</f>
        <v>6</v>
      </c>
      <c r="M436" s="96" t="str">
        <f>'Приложение 9'!M566</f>
        <v>0</v>
      </c>
      <c r="N436" s="96" t="str">
        <f>'Приложение 9'!N566</f>
        <v>03</v>
      </c>
      <c r="O436" s="96" t="str">
        <f>'Приложение 9'!O566</f>
        <v>S1420</v>
      </c>
      <c r="P436" s="10" t="s">
        <v>614</v>
      </c>
      <c r="Q436" s="214">
        <f>Q437</f>
        <v>0</v>
      </c>
      <c r="R436" s="216"/>
      <c r="S436" s="216"/>
    </row>
    <row r="437" spans="1:19" ht="25.5" customHeight="1" hidden="1">
      <c r="A437" s="99"/>
      <c r="B437" s="98"/>
      <c r="C437" s="97"/>
      <c r="D437" s="107"/>
      <c r="E437" s="104"/>
      <c r="F437" s="104"/>
      <c r="G437" s="89"/>
      <c r="H437" s="257" t="str">
        <f>'Приложение 9'!H567</f>
        <v>Субсидии бюджетным учреждениям</v>
      </c>
      <c r="I437" s="13">
        <f>'Приложение 9'!I567</f>
        <v>663</v>
      </c>
      <c r="J437" s="7">
        <f>'Приложение 9'!J567</f>
        <v>7</v>
      </c>
      <c r="K437" s="7">
        <f>'Приложение 9'!K567</f>
        <v>3</v>
      </c>
      <c r="L437" s="16">
        <f>'Приложение 9'!L567</f>
        <v>6</v>
      </c>
      <c r="M437" s="96" t="str">
        <f>'Приложение 9'!M567</f>
        <v>0</v>
      </c>
      <c r="N437" s="96" t="str">
        <f>'Приложение 9'!N567</f>
        <v>03</v>
      </c>
      <c r="O437" s="96" t="str">
        <f>'Приложение 9'!O567</f>
        <v>S1420</v>
      </c>
      <c r="P437" s="10">
        <f>'Приложение 9'!P567</f>
        <v>610</v>
      </c>
      <c r="Q437" s="214">
        <f>'Приложение 9'!Q567</f>
        <v>0</v>
      </c>
      <c r="R437" s="216"/>
      <c r="S437" s="216"/>
    </row>
    <row r="438" spans="1:19" ht="25.5" customHeight="1">
      <c r="A438" s="99"/>
      <c r="B438" s="98"/>
      <c r="C438" s="97"/>
      <c r="D438" s="107"/>
      <c r="E438" s="104"/>
      <c r="F438" s="104"/>
      <c r="G438" s="89"/>
      <c r="H438" s="257" t="str">
        <f>'Приложение 9'!H568</f>
        <v>Основное мероприятие "Модернизация сети муниципальных образовательных учреждений"</v>
      </c>
      <c r="I438" s="13">
        <f>'Приложение 9'!I568</f>
        <v>663</v>
      </c>
      <c r="J438" s="7">
        <f>'Приложение 9'!J568</f>
        <v>7</v>
      </c>
      <c r="K438" s="7">
        <f>'Приложение 9'!K568</f>
        <v>3</v>
      </c>
      <c r="L438" s="16">
        <f>'Приложение 9'!L568</f>
        <v>6</v>
      </c>
      <c r="M438" s="96" t="str">
        <f>'Приложение 9'!M568</f>
        <v>0</v>
      </c>
      <c r="N438" s="96" t="str">
        <f>'Приложение 9'!N568</f>
        <v>05</v>
      </c>
      <c r="O438" s="96" t="str">
        <f>'Приложение 9'!O568</f>
        <v>00000</v>
      </c>
      <c r="P438" s="10" t="s">
        <v>614</v>
      </c>
      <c r="Q438" s="214">
        <f>Q439</f>
        <v>50</v>
      </c>
      <c r="R438" s="216"/>
      <c r="S438" s="216"/>
    </row>
    <row r="439" spans="1:19" ht="25.5" customHeight="1">
      <c r="A439" s="99"/>
      <c r="B439" s="98"/>
      <c r="C439" s="97"/>
      <c r="D439" s="107"/>
      <c r="E439" s="104"/>
      <c r="F439" s="104"/>
      <c r="G439" s="89"/>
      <c r="H439" s="257" t="str">
        <f>'Приложение 9'!H569</f>
        <v>Учреждения по внешкольной работе с детьми</v>
      </c>
      <c r="I439" s="13">
        <f>'Приложение 9'!I569</f>
        <v>663</v>
      </c>
      <c r="J439" s="7">
        <f>'Приложение 9'!J569</f>
        <v>7</v>
      </c>
      <c r="K439" s="7">
        <f>'Приложение 9'!K569</f>
        <v>3</v>
      </c>
      <c r="L439" s="16">
        <f>'Приложение 9'!L569</f>
        <v>6</v>
      </c>
      <c r="M439" s="96" t="str">
        <f>'Приложение 9'!M569</f>
        <v>0</v>
      </c>
      <c r="N439" s="96" t="str">
        <f>'Приложение 9'!N569</f>
        <v>05</v>
      </c>
      <c r="O439" s="96" t="str">
        <f>'Приложение 9'!O569</f>
        <v>15590</v>
      </c>
      <c r="P439" s="10" t="s">
        <v>614</v>
      </c>
      <c r="Q439" s="214">
        <f>Q440</f>
        <v>50</v>
      </c>
      <c r="R439" s="216"/>
      <c r="S439" s="216"/>
    </row>
    <row r="440" spans="1:19" ht="25.5" customHeight="1">
      <c r="A440" s="99"/>
      <c r="B440" s="98"/>
      <c r="C440" s="97"/>
      <c r="D440" s="107"/>
      <c r="E440" s="104"/>
      <c r="F440" s="104"/>
      <c r="G440" s="89"/>
      <c r="H440" s="257" t="str">
        <f>'Приложение 9'!H570</f>
        <v>Субсидии бюджетным учреждениям</v>
      </c>
      <c r="I440" s="13">
        <f>'Приложение 9'!I570</f>
        <v>663</v>
      </c>
      <c r="J440" s="7">
        <f>'Приложение 9'!J570</f>
        <v>7</v>
      </c>
      <c r="K440" s="7">
        <f>'Приложение 9'!K570</f>
        <v>3</v>
      </c>
      <c r="L440" s="16">
        <f>'Приложение 9'!L570</f>
        <v>6</v>
      </c>
      <c r="M440" s="96" t="str">
        <f>'Приложение 9'!M570</f>
        <v>0</v>
      </c>
      <c r="N440" s="96" t="str">
        <f>'Приложение 9'!N570</f>
        <v>05</v>
      </c>
      <c r="O440" s="96" t="str">
        <f>'Приложение 9'!O570</f>
        <v>15590</v>
      </c>
      <c r="P440" s="10">
        <f>'Приложение 9'!P570</f>
        <v>610</v>
      </c>
      <c r="Q440" s="214">
        <f>'Приложение 9'!Q570</f>
        <v>50</v>
      </c>
      <c r="R440" s="216"/>
      <c r="S440" s="216"/>
    </row>
    <row r="441" spans="1:19" ht="25.5" customHeight="1">
      <c r="A441" s="99"/>
      <c r="B441" s="98"/>
      <c r="C441" s="97"/>
      <c r="D441" s="107"/>
      <c r="E441" s="104"/>
      <c r="F441" s="104"/>
      <c r="G441" s="89"/>
      <c r="H441" s="257" t="str">
        <f>'Приложение 9'!H571</f>
        <v>Основное мероприятие "Реализация регионального проекта "Успех каждого ребенка"</v>
      </c>
      <c r="I441" s="13">
        <f>'Приложение 9'!I571</f>
        <v>663</v>
      </c>
      <c r="J441" s="7">
        <f>'Приложение 9'!J571</f>
        <v>7</v>
      </c>
      <c r="K441" s="7">
        <f>'Приложение 9'!K571</f>
        <v>3</v>
      </c>
      <c r="L441" s="16">
        <f>'Приложение 9'!L571</f>
        <v>6</v>
      </c>
      <c r="M441" s="96" t="str">
        <f>'Приложение 9'!M571</f>
        <v>0</v>
      </c>
      <c r="N441" s="96" t="str">
        <f>'Приложение 9'!N571</f>
        <v>E2</v>
      </c>
      <c r="O441" s="96" t="str">
        <f>'Приложение 9'!O571</f>
        <v>00000</v>
      </c>
      <c r="P441" s="10" t="s">
        <v>614</v>
      </c>
      <c r="Q441" s="214">
        <f>Q442</f>
        <v>728.8</v>
      </c>
      <c r="R441" s="216"/>
      <c r="S441" s="216"/>
    </row>
    <row r="442" spans="1:19" s="179" customFormat="1" ht="30" customHeight="1">
      <c r="A442" s="142"/>
      <c r="B442" s="143"/>
      <c r="C442" s="142"/>
      <c r="D442" s="235"/>
      <c r="E442" s="166"/>
      <c r="F442" s="166"/>
      <c r="G442" s="136"/>
      <c r="H442" s="257" t="s">
        <v>129</v>
      </c>
      <c r="I442" s="13"/>
      <c r="J442" s="7">
        <v>7</v>
      </c>
      <c r="K442" s="7">
        <v>3</v>
      </c>
      <c r="L442" s="95" t="s">
        <v>588</v>
      </c>
      <c r="M442" s="96" t="s">
        <v>556</v>
      </c>
      <c r="N442" s="96" t="s">
        <v>79</v>
      </c>
      <c r="O442" s="96" t="s">
        <v>80</v>
      </c>
      <c r="P442" s="10"/>
      <c r="Q442" s="214">
        <v>728.8</v>
      </c>
      <c r="R442" s="216"/>
      <c r="S442" s="216"/>
    </row>
    <row r="443" spans="1:19" s="179" customFormat="1" ht="20.25" customHeight="1">
      <c r="A443" s="142"/>
      <c r="B443" s="143"/>
      <c r="C443" s="142"/>
      <c r="D443" s="235"/>
      <c r="E443" s="166"/>
      <c r="F443" s="166"/>
      <c r="G443" s="136"/>
      <c r="H443" s="257" t="s">
        <v>714</v>
      </c>
      <c r="I443" s="13"/>
      <c r="J443" s="7">
        <v>7</v>
      </c>
      <c r="K443" s="7">
        <v>3</v>
      </c>
      <c r="L443" s="95" t="s">
        <v>588</v>
      </c>
      <c r="M443" s="96" t="s">
        <v>556</v>
      </c>
      <c r="N443" s="96" t="s">
        <v>79</v>
      </c>
      <c r="O443" s="96" t="s">
        <v>80</v>
      </c>
      <c r="P443" s="10">
        <v>610</v>
      </c>
      <c r="Q443" s="214">
        <v>728.8</v>
      </c>
      <c r="R443" s="216"/>
      <c r="S443" s="216"/>
    </row>
    <row r="444" spans="1:19" s="179" customFormat="1" ht="29.25" customHeight="1">
      <c r="A444" s="142"/>
      <c r="B444" s="143"/>
      <c r="C444" s="153"/>
      <c r="D444" s="235"/>
      <c r="E444" s="166"/>
      <c r="F444" s="166"/>
      <c r="G444" s="136"/>
      <c r="H444" s="257" t="s">
        <v>658</v>
      </c>
      <c r="I444" s="10">
        <v>27</v>
      </c>
      <c r="J444" s="7">
        <v>7</v>
      </c>
      <c r="K444" s="7">
        <v>3</v>
      </c>
      <c r="L444" s="95" t="s">
        <v>659</v>
      </c>
      <c r="M444" s="96" t="s">
        <v>556</v>
      </c>
      <c r="N444" s="96" t="s">
        <v>576</v>
      </c>
      <c r="O444" s="96" t="s">
        <v>613</v>
      </c>
      <c r="P444" s="6"/>
      <c r="Q444" s="216">
        <f aca="true" t="shared" si="28" ref="Q444:S446">Q445</f>
        <v>7529</v>
      </c>
      <c r="R444" s="216">
        <f t="shared" si="28"/>
        <v>8000</v>
      </c>
      <c r="S444" s="216">
        <f t="shared" si="28"/>
        <v>8000</v>
      </c>
    </row>
    <row r="445" spans="1:19" s="179" customFormat="1" ht="35.25" customHeight="1">
      <c r="A445" s="142"/>
      <c r="B445" s="143"/>
      <c r="C445" s="153"/>
      <c r="D445" s="235"/>
      <c r="E445" s="166"/>
      <c r="F445" s="166"/>
      <c r="G445" s="136"/>
      <c r="H445" s="257" t="s">
        <v>660</v>
      </c>
      <c r="I445" s="10">
        <v>27</v>
      </c>
      <c r="J445" s="7">
        <v>7</v>
      </c>
      <c r="K445" s="7">
        <v>3</v>
      </c>
      <c r="L445" s="95" t="s">
        <v>659</v>
      </c>
      <c r="M445" s="96" t="s">
        <v>556</v>
      </c>
      <c r="N445" s="96" t="s">
        <v>581</v>
      </c>
      <c r="O445" s="96" t="s">
        <v>613</v>
      </c>
      <c r="P445" s="6"/>
      <c r="Q445" s="216">
        <f>Q446+Q448</f>
        <v>7529</v>
      </c>
      <c r="R445" s="216">
        <f t="shared" si="28"/>
        <v>8000</v>
      </c>
      <c r="S445" s="216">
        <f t="shared" si="28"/>
        <v>8000</v>
      </c>
    </row>
    <row r="446" spans="1:19" s="179" customFormat="1" ht="20.25" customHeight="1">
      <c r="A446" s="142"/>
      <c r="B446" s="143"/>
      <c r="C446" s="153"/>
      <c r="D446" s="235"/>
      <c r="E446" s="166"/>
      <c r="F446" s="166"/>
      <c r="G446" s="136"/>
      <c r="H446" s="257" t="s">
        <v>328</v>
      </c>
      <c r="I446" s="10">
        <v>27</v>
      </c>
      <c r="J446" s="7">
        <v>7</v>
      </c>
      <c r="K446" s="7">
        <v>3</v>
      </c>
      <c r="L446" s="95" t="s">
        <v>659</v>
      </c>
      <c r="M446" s="96" t="s">
        <v>556</v>
      </c>
      <c r="N446" s="96" t="s">
        <v>581</v>
      </c>
      <c r="O446" s="96" t="s">
        <v>263</v>
      </c>
      <c r="P446" s="6"/>
      <c r="Q446" s="216">
        <f t="shared" si="28"/>
        <v>5758.1</v>
      </c>
      <c r="R446" s="216">
        <f t="shared" si="28"/>
        <v>8000</v>
      </c>
      <c r="S446" s="216">
        <f t="shared" si="28"/>
        <v>8000</v>
      </c>
    </row>
    <row r="447" spans="1:19" s="179" customFormat="1" ht="20.25" customHeight="1">
      <c r="A447" s="142"/>
      <c r="B447" s="143"/>
      <c r="C447" s="153"/>
      <c r="D447" s="235"/>
      <c r="E447" s="166"/>
      <c r="F447" s="166"/>
      <c r="G447" s="136"/>
      <c r="H447" s="257" t="s">
        <v>714</v>
      </c>
      <c r="I447" s="10">
        <v>27</v>
      </c>
      <c r="J447" s="7">
        <v>7</v>
      </c>
      <c r="K447" s="7">
        <v>3</v>
      </c>
      <c r="L447" s="95" t="s">
        <v>659</v>
      </c>
      <c r="M447" s="96" t="s">
        <v>556</v>
      </c>
      <c r="N447" s="96" t="s">
        <v>581</v>
      </c>
      <c r="O447" s="96" t="s">
        <v>263</v>
      </c>
      <c r="P447" s="6">
        <v>610</v>
      </c>
      <c r="Q447" s="216">
        <f>'Приложение 9'!Q246</f>
        <v>5758.1</v>
      </c>
      <c r="R447" s="216">
        <v>8000</v>
      </c>
      <c r="S447" s="216">
        <v>8000</v>
      </c>
    </row>
    <row r="448" spans="1:19" s="179" customFormat="1" ht="20.25" customHeight="1">
      <c r="A448" s="142"/>
      <c r="B448" s="143"/>
      <c r="C448" s="142"/>
      <c r="D448" s="235"/>
      <c r="E448" s="166"/>
      <c r="F448" s="166"/>
      <c r="G448" s="136"/>
      <c r="H448" s="257" t="str">
        <f>'Приложение 9'!H247</f>
        <v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v>
      </c>
      <c r="I448" s="13">
        <f>'Приложение 9'!I247</f>
        <v>27</v>
      </c>
      <c r="J448" s="7">
        <f>'Приложение 9'!J247</f>
        <v>7</v>
      </c>
      <c r="K448" s="7">
        <f>'Приложение 9'!K247</f>
        <v>3</v>
      </c>
      <c r="L448" s="95" t="str">
        <f>'Приложение 9'!L247</f>
        <v>34</v>
      </c>
      <c r="M448" s="96" t="str">
        <f>'Приложение 9'!M247</f>
        <v>0</v>
      </c>
      <c r="N448" s="96" t="str">
        <f>'Приложение 9'!N247</f>
        <v>04</v>
      </c>
      <c r="O448" s="96" t="str">
        <f>'Приложение 9'!O247</f>
        <v>70030</v>
      </c>
      <c r="P448" s="10" t="s">
        <v>614</v>
      </c>
      <c r="Q448" s="214">
        <f>'Приложение 9'!Q247</f>
        <v>1770.9</v>
      </c>
      <c r="R448" s="216"/>
      <c r="S448" s="216"/>
    </row>
    <row r="449" spans="1:19" s="179" customFormat="1" ht="20.25" customHeight="1">
      <c r="A449" s="142"/>
      <c r="B449" s="143"/>
      <c r="C449" s="142"/>
      <c r="D449" s="235"/>
      <c r="E449" s="166"/>
      <c r="F449" s="166"/>
      <c r="G449" s="136"/>
      <c r="H449" s="257" t="str">
        <f>'Приложение 9'!H248</f>
        <v>Субсидии бюджетным учреждениям</v>
      </c>
      <c r="I449" s="13">
        <f>'Приложение 9'!I248</f>
        <v>27</v>
      </c>
      <c r="J449" s="7">
        <f>'Приложение 9'!J248</f>
        <v>7</v>
      </c>
      <c r="K449" s="7">
        <f>'Приложение 9'!K248</f>
        <v>3</v>
      </c>
      <c r="L449" s="95" t="str">
        <f>'Приложение 9'!L248</f>
        <v>34</v>
      </c>
      <c r="M449" s="96" t="str">
        <f>'Приложение 9'!M248</f>
        <v>0</v>
      </c>
      <c r="N449" s="96" t="str">
        <f>'Приложение 9'!N248</f>
        <v>04</v>
      </c>
      <c r="O449" s="96" t="str">
        <f>'Приложение 9'!O248</f>
        <v>70030</v>
      </c>
      <c r="P449" s="10">
        <f>'Приложение 9'!P248</f>
        <v>610</v>
      </c>
      <c r="Q449" s="214">
        <f>'Приложение 9'!Q248</f>
        <v>1770.9</v>
      </c>
      <c r="R449" s="216"/>
      <c r="S449" s="216"/>
    </row>
    <row r="450" spans="1:19" ht="21" customHeight="1">
      <c r="A450" s="99"/>
      <c r="B450" s="98"/>
      <c r="C450" s="97"/>
      <c r="D450" s="107"/>
      <c r="E450" s="104"/>
      <c r="F450" s="104"/>
      <c r="G450" s="89"/>
      <c r="H450" s="149" t="s">
        <v>331</v>
      </c>
      <c r="I450" s="152"/>
      <c r="J450" s="148">
        <v>7</v>
      </c>
      <c r="K450" s="148">
        <v>7</v>
      </c>
      <c r="L450" s="139"/>
      <c r="M450" s="141"/>
      <c r="N450" s="141"/>
      <c r="O450" s="141"/>
      <c r="P450" s="138"/>
      <c r="Q450" s="213">
        <f>Q451</f>
        <v>124.7</v>
      </c>
      <c r="R450" s="217">
        <f>R451</f>
        <v>550</v>
      </c>
      <c r="S450" s="217">
        <f>S451</f>
        <v>550</v>
      </c>
    </row>
    <row r="451" spans="1:19" ht="18.75" customHeight="1">
      <c r="A451" s="99"/>
      <c r="B451" s="98"/>
      <c r="C451" s="97"/>
      <c r="D451" s="94"/>
      <c r="E451" s="94"/>
      <c r="F451" s="94"/>
      <c r="G451" s="89"/>
      <c r="H451" s="5" t="s">
        <v>662</v>
      </c>
      <c r="I451" s="6">
        <v>27</v>
      </c>
      <c r="J451" s="7">
        <v>7</v>
      </c>
      <c r="K451" s="7">
        <v>7</v>
      </c>
      <c r="L451" s="95" t="s">
        <v>661</v>
      </c>
      <c r="M451" s="96" t="s">
        <v>556</v>
      </c>
      <c r="N451" s="96" t="s">
        <v>576</v>
      </c>
      <c r="O451" s="96" t="s">
        <v>613</v>
      </c>
      <c r="P451" s="10"/>
      <c r="Q451" s="214">
        <f>Q452+Q459+Q462</f>
        <v>124.7</v>
      </c>
      <c r="R451" s="214">
        <f>R452+R459+R462</f>
        <v>550</v>
      </c>
      <c r="S451" s="214">
        <f>S452+S459+S462</f>
        <v>550</v>
      </c>
    </row>
    <row r="452" spans="1:19" ht="38.25" customHeight="1">
      <c r="A452" s="99"/>
      <c r="B452" s="98"/>
      <c r="C452" s="97"/>
      <c r="D452" s="368">
        <v>4270000</v>
      </c>
      <c r="E452" s="368"/>
      <c r="F452" s="368"/>
      <c r="G452" s="89">
        <v>622</v>
      </c>
      <c r="H452" s="18" t="s">
        <v>664</v>
      </c>
      <c r="I452" s="6">
        <v>27</v>
      </c>
      <c r="J452" s="7">
        <v>7</v>
      </c>
      <c r="K452" s="7">
        <v>7</v>
      </c>
      <c r="L452" s="95" t="s">
        <v>661</v>
      </c>
      <c r="M452" s="96" t="s">
        <v>556</v>
      </c>
      <c r="N452" s="96" t="s">
        <v>557</v>
      </c>
      <c r="O452" s="96" t="s">
        <v>613</v>
      </c>
      <c r="P452" s="10"/>
      <c r="Q452" s="214">
        <f>Q453+Q457+Q455</f>
        <v>102.7</v>
      </c>
      <c r="R452" s="214">
        <f>R453+R457</f>
        <v>200</v>
      </c>
      <c r="S452" s="214">
        <f>S453+S457</f>
        <v>200</v>
      </c>
    </row>
    <row r="453" spans="1:19" ht="28.5" customHeight="1">
      <c r="A453" s="99"/>
      <c r="B453" s="98"/>
      <c r="C453" s="97"/>
      <c r="D453" s="101"/>
      <c r="E453" s="115"/>
      <c r="F453" s="115"/>
      <c r="G453" s="89"/>
      <c r="H453" s="18" t="s">
        <v>255</v>
      </c>
      <c r="I453" s="6">
        <v>27</v>
      </c>
      <c r="J453" s="7">
        <v>7</v>
      </c>
      <c r="K453" s="7">
        <v>7</v>
      </c>
      <c r="L453" s="95" t="s">
        <v>661</v>
      </c>
      <c r="M453" s="96" t="s">
        <v>556</v>
      </c>
      <c r="N453" s="96" t="s">
        <v>557</v>
      </c>
      <c r="O453" s="96" t="s">
        <v>256</v>
      </c>
      <c r="P453" s="6"/>
      <c r="Q453" s="216">
        <f>Q454</f>
        <v>22.700000000000003</v>
      </c>
      <c r="R453" s="216">
        <f>R454</f>
        <v>200</v>
      </c>
      <c r="S453" s="216">
        <f>S454</f>
        <v>200</v>
      </c>
    </row>
    <row r="454" spans="1:19" ht="21.75" customHeight="1">
      <c r="A454" s="99"/>
      <c r="B454" s="98"/>
      <c r="C454" s="97"/>
      <c r="D454" s="101"/>
      <c r="E454" s="115"/>
      <c r="F454" s="115"/>
      <c r="G454" s="89"/>
      <c r="H454" s="257" t="s">
        <v>714</v>
      </c>
      <c r="I454" s="6">
        <v>27</v>
      </c>
      <c r="J454" s="7">
        <v>7</v>
      </c>
      <c r="K454" s="7">
        <v>7</v>
      </c>
      <c r="L454" s="95" t="s">
        <v>661</v>
      </c>
      <c r="M454" s="96" t="s">
        <v>556</v>
      </c>
      <c r="N454" s="96" t="s">
        <v>557</v>
      </c>
      <c r="O454" s="96" t="s">
        <v>256</v>
      </c>
      <c r="P454" s="6">
        <v>610</v>
      </c>
      <c r="Q454" s="216">
        <f>'Приложение 9'!Q253</f>
        <v>22.700000000000003</v>
      </c>
      <c r="R454" s="216">
        <v>200</v>
      </c>
      <c r="S454" s="216">
        <v>200</v>
      </c>
    </row>
    <row r="455" spans="1:19" ht="21.75" customHeight="1">
      <c r="A455" s="99"/>
      <c r="B455" s="98"/>
      <c r="C455" s="97"/>
      <c r="D455" s="101"/>
      <c r="E455" s="115"/>
      <c r="F455" s="115"/>
      <c r="G455" s="89"/>
      <c r="H455" s="257" t="str">
        <f>'Приложение 9'!H254</f>
        <v>Проведение мероприятий для детей и молодежи</v>
      </c>
      <c r="I455" s="6">
        <f>'Приложение 9'!I254</f>
        <v>27</v>
      </c>
      <c r="J455" s="7">
        <f>'Приложение 9'!J254</f>
        <v>7</v>
      </c>
      <c r="K455" s="7">
        <f>'Приложение 9'!K254</f>
        <v>7</v>
      </c>
      <c r="L455" s="95" t="str">
        <f>'Приложение 9'!L254</f>
        <v>36</v>
      </c>
      <c r="M455" s="96" t="str">
        <f>'Приложение 9'!M254</f>
        <v>0</v>
      </c>
      <c r="N455" s="96" t="str">
        <f>'Приложение 9'!N254</f>
        <v>01</v>
      </c>
      <c r="O455" s="96" t="str">
        <f>'Приложение 9'!O254</f>
        <v>20590</v>
      </c>
      <c r="P455" s="6"/>
      <c r="Q455" s="216">
        <f>Q456</f>
        <v>40</v>
      </c>
      <c r="R455" s="216"/>
      <c r="S455" s="216"/>
    </row>
    <row r="456" spans="1:19" ht="21.75" customHeight="1">
      <c r="A456" s="99"/>
      <c r="B456" s="98"/>
      <c r="C456" s="97"/>
      <c r="D456" s="101"/>
      <c r="E456" s="115"/>
      <c r="F456" s="115"/>
      <c r="G456" s="89"/>
      <c r="H456" s="257" t="str">
        <f>'Приложение 9'!H255</f>
        <v>Иные закупки товаров, работ и услуг для обеспечения государственных (муниципальных) нужд</v>
      </c>
      <c r="I456" s="6">
        <f>'Приложение 9'!I255</f>
        <v>27</v>
      </c>
      <c r="J456" s="7">
        <f>'Приложение 9'!J255</f>
        <v>7</v>
      </c>
      <c r="K456" s="7">
        <f>'Приложение 9'!K255</f>
        <v>7</v>
      </c>
      <c r="L456" s="95" t="str">
        <f>'Приложение 9'!L255</f>
        <v>36</v>
      </c>
      <c r="M456" s="96" t="str">
        <f>'Приложение 9'!M255</f>
        <v>0</v>
      </c>
      <c r="N456" s="96" t="str">
        <f>'Приложение 9'!N255</f>
        <v>01</v>
      </c>
      <c r="O456" s="96" t="str">
        <f>'Приложение 9'!O255</f>
        <v>20590</v>
      </c>
      <c r="P456" s="6">
        <f>'Приложение 9'!P255</f>
        <v>240</v>
      </c>
      <c r="Q456" s="216">
        <f>'Приложение 9'!Q255</f>
        <v>40</v>
      </c>
      <c r="R456" s="216"/>
      <c r="S456" s="216"/>
    </row>
    <row r="457" spans="1:19" ht="36.75" customHeight="1">
      <c r="A457" s="99"/>
      <c r="B457" s="98"/>
      <c r="C457" s="97"/>
      <c r="D457" s="101"/>
      <c r="E457" s="115"/>
      <c r="F457" s="115"/>
      <c r="G457" s="89"/>
      <c r="H457" s="5" t="s">
        <v>663</v>
      </c>
      <c r="I457" s="6">
        <v>27</v>
      </c>
      <c r="J457" s="7">
        <v>7</v>
      </c>
      <c r="K457" s="7">
        <v>7</v>
      </c>
      <c r="L457" s="95" t="s">
        <v>661</v>
      </c>
      <c r="M457" s="96" t="s">
        <v>556</v>
      </c>
      <c r="N457" s="96" t="s">
        <v>557</v>
      </c>
      <c r="O457" s="96" t="s">
        <v>234</v>
      </c>
      <c r="P457" s="6"/>
      <c r="Q457" s="216">
        <f>Q458</f>
        <v>40</v>
      </c>
      <c r="R457" s="216">
        <f>R458</f>
        <v>0</v>
      </c>
      <c r="S457" s="216">
        <f>S458</f>
        <v>0</v>
      </c>
    </row>
    <row r="458" spans="1:19" ht="27" customHeight="1">
      <c r="A458" s="99"/>
      <c r="B458" s="98"/>
      <c r="C458" s="103"/>
      <c r="D458" s="101"/>
      <c r="E458" s="113"/>
      <c r="F458" s="113"/>
      <c r="G458" s="105"/>
      <c r="H458" s="257" t="s">
        <v>714</v>
      </c>
      <c r="I458" s="6">
        <v>27</v>
      </c>
      <c r="J458" s="7">
        <v>7</v>
      </c>
      <c r="K458" s="7">
        <v>7</v>
      </c>
      <c r="L458" s="95" t="s">
        <v>661</v>
      </c>
      <c r="M458" s="96" t="s">
        <v>556</v>
      </c>
      <c r="N458" s="96" t="s">
        <v>557</v>
      </c>
      <c r="O458" s="96" t="s">
        <v>234</v>
      </c>
      <c r="P458" s="6">
        <v>610</v>
      </c>
      <c r="Q458" s="216">
        <v>40</v>
      </c>
      <c r="R458" s="216">
        <v>0</v>
      </c>
      <c r="S458" s="216">
        <v>0</v>
      </c>
    </row>
    <row r="459" spans="1:19" ht="33.75" customHeight="1">
      <c r="A459" s="99"/>
      <c r="B459" s="98"/>
      <c r="C459" s="103"/>
      <c r="D459" s="101"/>
      <c r="E459" s="113"/>
      <c r="F459" s="113"/>
      <c r="G459" s="105"/>
      <c r="H459" s="129" t="s">
        <v>665</v>
      </c>
      <c r="I459" s="6">
        <v>27</v>
      </c>
      <c r="J459" s="7">
        <v>7</v>
      </c>
      <c r="K459" s="7">
        <v>7</v>
      </c>
      <c r="L459" s="95" t="s">
        <v>661</v>
      </c>
      <c r="M459" s="96" t="s">
        <v>556</v>
      </c>
      <c r="N459" s="96" t="s">
        <v>585</v>
      </c>
      <c r="O459" s="96" t="s">
        <v>613</v>
      </c>
      <c r="P459" s="6"/>
      <c r="Q459" s="216">
        <f aca="true" t="shared" si="29" ref="Q459:S460">Q460</f>
        <v>12.5</v>
      </c>
      <c r="R459" s="216">
        <f t="shared" si="29"/>
        <v>200</v>
      </c>
      <c r="S459" s="216">
        <f t="shared" si="29"/>
        <v>200</v>
      </c>
    </row>
    <row r="460" spans="1:19" ht="27" customHeight="1">
      <c r="A460" s="99"/>
      <c r="B460" s="98"/>
      <c r="C460" s="103"/>
      <c r="D460" s="101"/>
      <c r="E460" s="113"/>
      <c r="F460" s="113"/>
      <c r="G460" s="105"/>
      <c r="H460" s="129" t="s">
        <v>255</v>
      </c>
      <c r="I460" s="6">
        <v>27</v>
      </c>
      <c r="J460" s="7">
        <v>7</v>
      </c>
      <c r="K460" s="7">
        <v>7</v>
      </c>
      <c r="L460" s="95" t="s">
        <v>661</v>
      </c>
      <c r="M460" s="96" t="s">
        <v>556</v>
      </c>
      <c r="N460" s="96" t="s">
        <v>585</v>
      </c>
      <c r="O460" s="96" t="s">
        <v>256</v>
      </c>
      <c r="P460" s="6"/>
      <c r="Q460" s="216">
        <f t="shared" si="29"/>
        <v>12.5</v>
      </c>
      <c r="R460" s="216">
        <f t="shared" si="29"/>
        <v>200</v>
      </c>
      <c r="S460" s="216">
        <f t="shared" si="29"/>
        <v>200</v>
      </c>
    </row>
    <row r="461" spans="1:19" ht="27" customHeight="1">
      <c r="A461" s="99"/>
      <c r="B461" s="98"/>
      <c r="C461" s="103"/>
      <c r="D461" s="101"/>
      <c r="E461" s="113"/>
      <c r="F461" s="113"/>
      <c r="G461" s="105"/>
      <c r="H461" s="257" t="s">
        <v>714</v>
      </c>
      <c r="I461" s="6">
        <v>27</v>
      </c>
      <c r="J461" s="7">
        <v>7</v>
      </c>
      <c r="K461" s="7">
        <v>7</v>
      </c>
      <c r="L461" s="95" t="s">
        <v>661</v>
      </c>
      <c r="M461" s="96" t="s">
        <v>556</v>
      </c>
      <c r="N461" s="96" t="s">
        <v>585</v>
      </c>
      <c r="O461" s="96" t="s">
        <v>256</v>
      </c>
      <c r="P461" s="6">
        <v>610</v>
      </c>
      <c r="Q461" s="216">
        <f>'Приложение 9'!Q260</f>
        <v>12.5</v>
      </c>
      <c r="R461" s="216">
        <v>200</v>
      </c>
      <c r="S461" s="216">
        <v>200</v>
      </c>
    </row>
    <row r="462" spans="1:19" ht="33" customHeight="1">
      <c r="A462" s="99"/>
      <c r="B462" s="98"/>
      <c r="C462" s="103"/>
      <c r="D462" s="101"/>
      <c r="E462" s="113"/>
      <c r="F462" s="113"/>
      <c r="G462" s="105"/>
      <c r="H462" s="129" t="s">
        <v>666</v>
      </c>
      <c r="I462" s="6">
        <v>27</v>
      </c>
      <c r="J462" s="7">
        <v>7</v>
      </c>
      <c r="K462" s="7">
        <v>7</v>
      </c>
      <c r="L462" s="95" t="s">
        <v>661</v>
      </c>
      <c r="M462" s="96" t="s">
        <v>556</v>
      </c>
      <c r="N462" s="96" t="s">
        <v>586</v>
      </c>
      <c r="O462" s="96" t="s">
        <v>613</v>
      </c>
      <c r="P462" s="6"/>
      <c r="Q462" s="216">
        <f aca="true" t="shared" si="30" ref="Q462:S463">Q463</f>
        <v>9.5</v>
      </c>
      <c r="R462" s="216">
        <f t="shared" si="30"/>
        <v>150</v>
      </c>
      <c r="S462" s="216">
        <f t="shared" si="30"/>
        <v>150</v>
      </c>
    </row>
    <row r="463" spans="1:19" ht="27" customHeight="1">
      <c r="A463" s="99"/>
      <c r="B463" s="98"/>
      <c r="C463" s="103"/>
      <c r="D463" s="101"/>
      <c r="E463" s="113"/>
      <c r="F463" s="113"/>
      <c r="G463" s="105"/>
      <c r="H463" s="129" t="s">
        <v>255</v>
      </c>
      <c r="I463" s="6">
        <v>27</v>
      </c>
      <c r="J463" s="7">
        <v>7</v>
      </c>
      <c r="K463" s="7">
        <v>7</v>
      </c>
      <c r="L463" s="95" t="s">
        <v>661</v>
      </c>
      <c r="M463" s="96" t="s">
        <v>556</v>
      </c>
      <c r="N463" s="96" t="s">
        <v>586</v>
      </c>
      <c r="O463" s="96" t="s">
        <v>256</v>
      </c>
      <c r="P463" s="6"/>
      <c r="Q463" s="216">
        <f t="shared" si="30"/>
        <v>9.5</v>
      </c>
      <c r="R463" s="216">
        <f t="shared" si="30"/>
        <v>150</v>
      </c>
      <c r="S463" s="216">
        <f t="shared" si="30"/>
        <v>150</v>
      </c>
    </row>
    <row r="464" spans="1:19" ht="27" customHeight="1">
      <c r="A464" s="99"/>
      <c r="B464" s="98"/>
      <c r="C464" s="103"/>
      <c r="D464" s="101"/>
      <c r="E464" s="113"/>
      <c r="F464" s="113"/>
      <c r="G464" s="105"/>
      <c r="H464" s="257" t="s">
        <v>714</v>
      </c>
      <c r="I464" s="6">
        <v>27</v>
      </c>
      <c r="J464" s="7">
        <v>7</v>
      </c>
      <c r="K464" s="7">
        <v>7</v>
      </c>
      <c r="L464" s="95" t="s">
        <v>661</v>
      </c>
      <c r="M464" s="96" t="s">
        <v>556</v>
      </c>
      <c r="N464" s="96" t="s">
        <v>586</v>
      </c>
      <c r="O464" s="96" t="s">
        <v>256</v>
      </c>
      <c r="P464" s="6">
        <v>610</v>
      </c>
      <c r="Q464" s="216">
        <f>'Приложение 9'!Q263</f>
        <v>9.5</v>
      </c>
      <c r="R464" s="216">
        <v>150</v>
      </c>
      <c r="S464" s="216">
        <v>150</v>
      </c>
    </row>
    <row r="465" spans="1:19" s="179" customFormat="1" ht="24.75" customHeight="1">
      <c r="A465" s="142"/>
      <c r="B465" s="143"/>
      <c r="C465" s="153"/>
      <c r="D465" s="150"/>
      <c r="E465" s="154"/>
      <c r="F465" s="154"/>
      <c r="G465" s="136"/>
      <c r="H465" s="149" t="s">
        <v>536</v>
      </c>
      <c r="I465" s="152">
        <v>663</v>
      </c>
      <c r="J465" s="148">
        <v>7</v>
      </c>
      <c r="K465" s="148">
        <v>9</v>
      </c>
      <c r="L465" s="140"/>
      <c r="M465" s="141"/>
      <c r="N465" s="141"/>
      <c r="O465" s="141"/>
      <c r="P465" s="146"/>
      <c r="Q465" s="217">
        <f>Q466+Q517+Q505+Q510</f>
        <v>13355.1</v>
      </c>
      <c r="R465" s="217" t="e">
        <f>R466+R517+#REF!</f>
        <v>#REF!</v>
      </c>
      <c r="S465" s="217" t="e">
        <f>S466+S517+#REF!</f>
        <v>#REF!</v>
      </c>
    </row>
    <row r="466" spans="1:19" ht="30.75" customHeight="1">
      <c r="A466" s="99"/>
      <c r="B466" s="98"/>
      <c r="C466" s="103"/>
      <c r="D466" s="101"/>
      <c r="E466" s="104"/>
      <c r="F466" s="104"/>
      <c r="G466" s="89"/>
      <c r="H466" s="253" t="s">
        <v>264</v>
      </c>
      <c r="I466" s="10">
        <v>663</v>
      </c>
      <c r="J466" s="7">
        <v>7</v>
      </c>
      <c r="K466" s="7">
        <v>9</v>
      </c>
      <c r="L466" s="95" t="s">
        <v>588</v>
      </c>
      <c r="M466" s="96" t="s">
        <v>556</v>
      </c>
      <c r="N466" s="96" t="s">
        <v>576</v>
      </c>
      <c r="O466" s="96" t="s">
        <v>613</v>
      </c>
      <c r="P466" s="10"/>
      <c r="Q466" s="214">
        <f>Q467+Q472+Q480+Q486+Q491</f>
        <v>13239.7</v>
      </c>
      <c r="R466" s="214"/>
      <c r="S466" s="214"/>
    </row>
    <row r="467" spans="1:19" ht="21" customHeight="1">
      <c r="A467" s="99"/>
      <c r="B467" s="98"/>
      <c r="C467" s="103"/>
      <c r="D467" s="101"/>
      <c r="E467" s="104"/>
      <c r="F467" s="104"/>
      <c r="G467" s="89"/>
      <c r="H467" s="254" t="s">
        <v>649</v>
      </c>
      <c r="I467" s="10">
        <v>663</v>
      </c>
      <c r="J467" s="7">
        <v>7</v>
      </c>
      <c r="K467" s="7">
        <v>9</v>
      </c>
      <c r="L467" s="95" t="s">
        <v>588</v>
      </c>
      <c r="M467" s="96" t="s">
        <v>556</v>
      </c>
      <c r="N467" s="96" t="s">
        <v>557</v>
      </c>
      <c r="O467" s="96" t="s">
        <v>613</v>
      </c>
      <c r="P467" s="10" t="s">
        <v>614</v>
      </c>
      <c r="Q467" s="214">
        <f>Q468+Q470</f>
        <v>102.3</v>
      </c>
      <c r="R467" s="214"/>
      <c r="S467" s="214"/>
    </row>
    <row r="468" spans="1:19" ht="32.25" customHeight="1" hidden="1">
      <c r="A468" s="99"/>
      <c r="B468" s="98"/>
      <c r="C468" s="103"/>
      <c r="D468" s="101"/>
      <c r="E468" s="104"/>
      <c r="F468" s="104"/>
      <c r="G468" s="89"/>
      <c r="H468" s="258" t="s">
        <v>335</v>
      </c>
      <c r="I468" s="10">
        <v>663</v>
      </c>
      <c r="J468" s="7">
        <v>7</v>
      </c>
      <c r="K468" s="7">
        <v>9</v>
      </c>
      <c r="L468" s="95" t="s">
        <v>588</v>
      </c>
      <c r="M468" s="96" t="s">
        <v>556</v>
      </c>
      <c r="N468" s="96" t="s">
        <v>557</v>
      </c>
      <c r="O468" s="96" t="s">
        <v>641</v>
      </c>
      <c r="P468" s="10"/>
      <c r="Q468" s="214">
        <f>Q469</f>
        <v>0</v>
      </c>
      <c r="R468" s="214"/>
      <c r="S468" s="214"/>
    </row>
    <row r="469" spans="1:19" ht="32.25" customHeight="1" hidden="1">
      <c r="A469" s="99"/>
      <c r="B469" s="98"/>
      <c r="C469" s="103"/>
      <c r="D469" s="101"/>
      <c r="E469" s="104"/>
      <c r="F469" s="104"/>
      <c r="G469" s="89"/>
      <c r="H469" s="258" t="s">
        <v>712</v>
      </c>
      <c r="I469" s="10">
        <v>663</v>
      </c>
      <c r="J469" s="7">
        <v>7</v>
      </c>
      <c r="K469" s="7">
        <v>9</v>
      </c>
      <c r="L469" s="95" t="s">
        <v>588</v>
      </c>
      <c r="M469" s="96" t="s">
        <v>556</v>
      </c>
      <c r="N469" s="96" t="s">
        <v>557</v>
      </c>
      <c r="O469" s="96" t="s">
        <v>641</v>
      </c>
      <c r="P469" s="10">
        <v>240</v>
      </c>
      <c r="Q469" s="214">
        <v>0</v>
      </c>
      <c r="R469" s="214"/>
      <c r="S469" s="214"/>
    </row>
    <row r="470" spans="1:19" ht="39" customHeight="1">
      <c r="A470" s="99"/>
      <c r="B470" s="98"/>
      <c r="C470" s="103"/>
      <c r="D470" s="101"/>
      <c r="E470" s="104"/>
      <c r="F470" s="104"/>
      <c r="G470" s="89"/>
      <c r="H470" s="22" t="s">
        <v>323</v>
      </c>
      <c r="I470" s="10">
        <v>663</v>
      </c>
      <c r="J470" s="7">
        <v>7</v>
      </c>
      <c r="K470" s="7">
        <v>9</v>
      </c>
      <c r="L470" s="95" t="s">
        <v>588</v>
      </c>
      <c r="M470" s="96" t="s">
        <v>556</v>
      </c>
      <c r="N470" s="96" t="s">
        <v>557</v>
      </c>
      <c r="O470" s="96" t="s">
        <v>322</v>
      </c>
      <c r="P470" s="10"/>
      <c r="Q470" s="214">
        <f>Q471</f>
        <v>102.3</v>
      </c>
      <c r="R470" s="214"/>
      <c r="S470" s="214"/>
    </row>
    <row r="471" spans="1:19" ht="33" customHeight="1">
      <c r="A471" s="99"/>
      <c r="B471" s="98"/>
      <c r="C471" s="103"/>
      <c r="D471" s="101"/>
      <c r="E471" s="104"/>
      <c r="F471" s="104"/>
      <c r="G471" s="89"/>
      <c r="H471" s="5" t="s">
        <v>714</v>
      </c>
      <c r="I471" s="10">
        <v>663</v>
      </c>
      <c r="J471" s="7">
        <v>7</v>
      </c>
      <c r="K471" s="7">
        <v>9</v>
      </c>
      <c r="L471" s="95" t="s">
        <v>588</v>
      </c>
      <c r="M471" s="96" t="s">
        <v>556</v>
      </c>
      <c r="N471" s="96" t="s">
        <v>557</v>
      </c>
      <c r="O471" s="96" t="s">
        <v>322</v>
      </c>
      <c r="P471" s="10">
        <v>610</v>
      </c>
      <c r="Q471" s="214">
        <v>102.3</v>
      </c>
      <c r="R471" s="214"/>
      <c r="S471" s="214"/>
    </row>
    <row r="472" spans="1:19" ht="29.25" customHeight="1">
      <c r="A472" s="99"/>
      <c r="B472" s="98"/>
      <c r="C472" s="103"/>
      <c r="D472" s="101"/>
      <c r="E472" s="104"/>
      <c r="F472" s="104"/>
      <c r="G472" s="89"/>
      <c r="H472" s="18" t="s">
        <v>650</v>
      </c>
      <c r="I472" s="10">
        <v>663</v>
      </c>
      <c r="J472" s="7">
        <v>7</v>
      </c>
      <c r="K472" s="7">
        <v>9</v>
      </c>
      <c r="L472" s="95" t="s">
        <v>588</v>
      </c>
      <c r="M472" s="96" t="s">
        <v>556</v>
      </c>
      <c r="N472" s="96" t="s">
        <v>585</v>
      </c>
      <c r="O472" s="96" t="s">
        <v>613</v>
      </c>
      <c r="P472" s="10" t="s">
        <v>614</v>
      </c>
      <c r="Q472" s="214">
        <f>Q473+Q477+Q475</f>
        <v>6694.5</v>
      </c>
      <c r="R472" s="214"/>
      <c r="S472" s="214"/>
    </row>
    <row r="473" spans="1:19" ht="29.25" customHeight="1">
      <c r="A473" s="99"/>
      <c r="B473" s="98"/>
      <c r="C473" s="103"/>
      <c r="D473" s="101"/>
      <c r="E473" s="104"/>
      <c r="F473" s="104"/>
      <c r="G473" s="89"/>
      <c r="H473" s="22" t="s">
        <v>335</v>
      </c>
      <c r="I473" s="10">
        <v>663</v>
      </c>
      <c r="J473" s="7">
        <v>7</v>
      </c>
      <c r="K473" s="7">
        <v>9</v>
      </c>
      <c r="L473" s="95" t="s">
        <v>588</v>
      </c>
      <c r="M473" s="96" t="s">
        <v>556</v>
      </c>
      <c r="N473" s="96" t="s">
        <v>585</v>
      </c>
      <c r="O473" s="96" t="s">
        <v>641</v>
      </c>
      <c r="P473" s="10"/>
      <c r="Q473" s="214">
        <f>Q474</f>
        <v>21.299999999999997</v>
      </c>
      <c r="R473" s="214"/>
      <c r="S473" s="214"/>
    </row>
    <row r="474" spans="1:19" ht="29.25" customHeight="1">
      <c r="A474" s="99"/>
      <c r="B474" s="98"/>
      <c r="C474" s="103"/>
      <c r="D474" s="101"/>
      <c r="E474" s="104"/>
      <c r="F474" s="104"/>
      <c r="G474" s="89"/>
      <c r="H474" s="22" t="s">
        <v>712</v>
      </c>
      <c r="I474" s="10">
        <v>663</v>
      </c>
      <c r="J474" s="7">
        <v>7</v>
      </c>
      <c r="K474" s="7">
        <v>9</v>
      </c>
      <c r="L474" s="95" t="s">
        <v>588</v>
      </c>
      <c r="M474" s="96" t="s">
        <v>556</v>
      </c>
      <c r="N474" s="96" t="s">
        <v>585</v>
      </c>
      <c r="O474" s="96" t="s">
        <v>641</v>
      </c>
      <c r="P474" s="10">
        <v>240</v>
      </c>
      <c r="Q474" s="214">
        <f>'Приложение 9'!Q583</f>
        <v>21.299999999999997</v>
      </c>
      <c r="R474" s="214"/>
      <c r="S474" s="214"/>
    </row>
    <row r="475" spans="1:19" ht="29.25" customHeight="1">
      <c r="A475" s="99"/>
      <c r="B475" s="98"/>
      <c r="C475" s="103"/>
      <c r="D475" s="101"/>
      <c r="E475" s="104"/>
      <c r="F475" s="104"/>
      <c r="G475" s="89"/>
      <c r="H475" s="22" t="str">
        <f>'Приложение 9'!H584</f>
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</c>
      <c r="I475" s="10">
        <f>'Приложение 9'!I584</f>
        <v>663</v>
      </c>
      <c r="J475" s="7">
        <f>'Приложение 9'!J584</f>
        <v>7</v>
      </c>
      <c r="K475" s="7">
        <f>'Приложение 9'!K584</f>
        <v>9</v>
      </c>
      <c r="L475" s="95" t="str">
        <f>'Приложение 9'!L584</f>
        <v>06</v>
      </c>
      <c r="M475" s="96" t="str">
        <f>'Приложение 9'!M584</f>
        <v>0</v>
      </c>
      <c r="N475" s="96" t="str">
        <f>'Приложение 9'!N584</f>
        <v>02</v>
      </c>
      <c r="O475" s="96" t="str">
        <f>'Приложение 9'!O584</f>
        <v>14590</v>
      </c>
      <c r="P475" s="10" t="s">
        <v>614</v>
      </c>
      <c r="Q475" s="214">
        <f>Q476</f>
        <v>6</v>
      </c>
      <c r="R475" s="214"/>
      <c r="S475" s="214"/>
    </row>
    <row r="476" spans="1:19" ht="29.25" customHeight="1">
      <c r="A476" s="99"/>
      <c r="B476" s="98"/>
      <c r="C476" s="103"/>
      <c r="D476" s="101"/>
      <c r="E476" s="104"/>
      <c r="F476" s="104"/>
      <c r="G476" s="89"/>
      <c r="H476" s="22" t="str">
        <f>'Приложение 9'!H585</f>
        <v>Расходы на выплаты персоналу казенных учреждений</v>
      </c>
      <c r="I476" s="10">
        <f>'Приложение 9'!I585</f>
        <v>663</v>
      </c>
      <c r="J476" s="7">
        <f>'Приложение 9'!J585</f>
        <v>7</v>
      </c>
      <c r="K476" s="7">
        <f>'Приложение 9'!K585</f>
        <v>9</v>
      </c>
      <c r="L476" s="95" t="str">
        <f>'Приложение 9'!L585</f>
        <v>06</v>
      </c>
      <c r="M476" s="96" t="str">
        <f>'Приложение 9'!M585</f>
        <v>0</v>
      </c>
      <c r="N476" s="96" t="str">
        <f>'Приложение 9'!N585</f>
        <v>02</v>
      </c>
      <c r="O476" s="96" t="str">
        <f>'Приложение 9'!O585</f>
        <v>14590</v>
      </c>
      <c r="P476" s="10">
        <f>'Приложение 9'!P585</f>
        <v>110</v>
      </c>
      <c r="Q476" s="214">
        <f>'Приложение 9'!Q585</f>
        <v>6</v>
      </c>
      <c r="R476" s="214"/>
      <c r="S476" s="214"/>
    </row>
    <row r="477" spans="1:19" ht="39" customHeight="1">
      <c r="A477" s="99"/>
      <c r="B477" s="98"/>
      <c r="C477" s="103"/>
      <c r="D477" s="101"/>
      <c r="E477" s="104"/>
      <c r="F477" s="104"/>
      <c r="G477" s="89"/>
      <c r="H477" s="22" t="s">
        <v>323</v>
      </c>
      <c r="I477" s="10">
        <v>663</v>
      </c>
      <c r="J477" s="7">
        <v>7</v>
      </c>
      <c r="K477" s="7">
        <v>9</v>
      </c>
      <c r="L477" s="95" t="s">
        <v>588</v>
      </c>
      <c r="M477" s="96" t="s">
        <v>556</v>
      </c>
      <c r="N477" s="96" t="s">
        <v>585</v>
      </c>
      <c r="O477" s="96" t="s">
        <v>322</v>
      </c>
      <c r="P477" s="10"/>
      <c r="Q477" s="214">
        <f>Q478+Q479</f>
        <v>6667.2</v>
      </c>
      <c r="R477" s="214"/>
      <c r="S477" s="214"/>
    </row>
    <row r="478" spans="1:19" ht="33" customHeight="1">
      <c r="A478" s="99"/>
      <c r="B478" s="98"/>
      <c r="C478" s="103"/>
      <c r="D478" s="101"/>
      <c r="E478" s="104"/>
      <c r="F478" s="104"/>
      <c r="G478" s="89"/>
      <c r="H478" s="22" t="s">
        <v>717</v>
      </c>
      <c r="I478" s="10">
        <v>663</v>
      </c>
      <c r="J478" s="7">
        <v>7</v>
      </c>
      <c r="K478" s="7">
        <v>9</v>
      </c>
      <c r="L478" s="95" t="s">
        <v>588</v>
      </c>
      <c r="M478" s="96" t="s">
        <v>556</v>
      </c>
      <c r="N478" s="96" t="s">
        <v>585</v>
      </c>
      <c r="O478" s="96" t="s">
        <v>322</v>
      </c>
      <c r="P478" s="10">
        <v>320</v>
      </c>
      <c r="Q478" s="214">
        <f>'Приложение 9'!Q587</f>
        <v>1948.8</v>
      </c>
      <c r="R478" s="214"/>
      <c r="S478" s="214"/>
    </row>
    <row r="479" spans="1:19" ht="33" customHeight="1">
      <c r="A479" s="99"/>
      <c r="B479" s="98"/>
      <c r="C479" s="103"/>
      <c r="D479" s="101"/>
      <c r="E479" s="104"/>
      <c r="F479" s="104"/>
      <c r="G479" s="89"/>
      <c r="H479" s="5" t="s">
        <v>714</v>
      </c>
      <c r="I479" s="10">
        <v>663</v>
      </c>
      <c r="J479" s="7">
        <v>7</v>
      </c>
      <c r="K479" s="7">
        <v>9</v>
      </c>
      <c r="L479" s="95" t="s">
        <v>588</v>
      </c>
      <c r="M479" s="96" t="s">
        <v>556</v>
      </c>
      <c r="N479" s="96" t="s">
        <v>585</v>
      </c>
      <c r="O479" s="96" t="s">
        <v>322</v>
      </c>
      <c r="P479" s="10">
        <v>610</v>
      </c>
      <c r="Q479" s="214">
        <f>'Приложение 9'!Q588</f>
        <v>4718.4</v>
      </c>
      <c r="R479" s="214"/>
      <c r="S479" s="214"/>
    </row>
    <row r="480" spans="1:19" ht="27" customHeight="1">
      <c r="A480" s="99"/>
      <c r="B480" s="98"/>
      <c r="C480" s="103"/>
      <c r="D480" s="101"/>
      <c r="E480" s="104"/>
      <c r="F480" s="104"/>
      <c r="G480" s="89"/>
      <c r="H480" s="11" t="s">
        <v>784</v>
      </c>
      <c r="I480" s="10">
        <v>663</v>
      </c>
      <c r="J480" s="7">
        <v>7</v>
      </c>
      <c r="K480" s="7">
        <v>9</v>
      </c>
      <c r="L480" s="95" t="s">
        <v>588</v>
      </c>
      <c r="M480" s="96" t="s">
        <v>556</v>
      </c>
      <c r="N480" s="96" t="s">
        <v>586</v>
      </c>
      <c r="O480" s="96" t="s">
        <v>613</v>
      </c>
      <c r="P480" s="10"/>
      <c r="Q480" s="214">
        <f>Q481+Q484</f>
        <v>2073.1</v>
      </c>
      <c r="R480" s="214"/>
      <c r="S480" s="214"/>
    </row>
    <row r="481" spans="1:19" ht="18" customHeight="1">
      <c r="A481" s="99"/>
      <c r="B481" s="98"/>
      <c r="C481" s="103"/>
      <c r="D481" s="101"/>
      <c r="E481" s="104"/>
      <c r="F481" s="104"/>
      <c r="G481" s="89"/>
      <c r="H481" s="11" t="s">
        <v>335</v>
      </c>
      <c r="I481" s="10">
        <v>663</v>
      </c>
      <c r="J481" s="7">
        <v>7</v>
      </c>
      <c r="K481" s="7">
        <v>9</v>
      </c>
      <c r="L481" s="95" t="s">
        <v>588</v>
      </c>
      <c r="M481" s="96" t="s">
        <v>556</v>
      </c>
      <c r="N481" s="96" t="s">
        <v>586</v>
      </c>
      <c r="O481" s="96" t="s">
        <v>641</v>
      </c>
      <c r="P481" s="10"/>
      <c r="Q481" s="214">
        <f>Q483+Q482</f>
        <v>2068.1</v>
      </c>
      <c r="R481" s="214"/>
      <c r="S481" s="214"/>
    </row>
    <row r="482" spans="1:19" ht="18" customHeight="1" hidden="1">
      <c r="A482" s="99"/>
      <c r="B482" s="98"/>
      <c r="C482" s="103"/>
      <c r="D482" s="101"/>
      <c r="E482" s="104"/>
      <c r="F482" s="104"/>
      <c r="G482" s="89"/>
      <c r="H482" s="11" t="str">
        <f>'Приложение 9'!H591</f>
        <v>Иные закупки товаров, работ и услуг для обеспечения государственных (муниципальных) нужд</v>
      </c>
      <c r="I482" s="10">
        <f>'Приложение 9'!I591</f>
        <v>663</v>
      </c>
      <c r="J482" s="7">
        <f>'Приложение 9'!J591</f>
        <v>7</v>
      </c>
      <c r="K482" s="7">
        <f>'Приложение 9'!K591</f>
        <v>9</v>
      </c>
      <c r="L482" s="95" t="str">
        <f>'Приложение 9'!L591</f>
        <v>06</v>
      </c>
      <c r="M482" s="96" t="str">
        <f>'Приложение 9'!M591</f>
        <v>0</v>
      </c>
      <c r="N482" s="96" t="str">
        <f>'Приложение 9'!N591</f>
        <v>03</v>
      </c>
      <c r="O482" s="96" t="str">
        <f>'Приложение 9'!O591</f>
        <v>00190</v>
      </c>
      <c r="P482" s="10">
        <f>'Приложение 9'!P591</f>
        <v>240</v>
      </c>
      <c r="Q482" s="214">
        <f>'Приложение 9'!Q591</f>
        <v>0</v>
      </c>
      <c r="R482" s="214"/>
      <c r="S482" s="214"/>
    </row>
    <row r="483" spans="1:19" ht="33.75" customHeight="1">
      <c r="A483" s="99"/>
      <c r="B483" s="98"/>
      <c r="C483" s="103"/>
      <c r="D483" s="101"/>
      <c r="E483" s="104"/>
      <c r="F483" s="104"/>
      <c r="G483" s="89"/>
      <c r="H483" s="11" t="s">
        <v>205</v>
      </c>
      <c r="I483" s="10">
        <v>663</v>
      </c>
      <c r="J483" s="7">
        <v>7</v>
      </c>
      <c r="K483" s="7">
        <v>9</v>
      </c>
      <c r="L483" s="95" t="s">
        <v>588</v>
      </c>
      <c r="M483" s="96" t="s">
        <v>556</v>
      </c>
      <c r="N483" s="96" t="s">
        <v>586</v>
      </c>
      <c r="O483" s="96" t="s">
        <v>641</v>
      </c>
      <c r="P483" s="10">
        <v>630</v>
      </c>
      <c r="Q483" s="214">
        <f>'Приложение 9'!Q592</f>
        <v>2068.1</v>
      </c>
      <c r="R483" s="214"/>
      <c r="S483" s="214"/>
    </row>
    <row r="484" spans="1:19" ht="39" customHeight="1">
      <c r="A484" s="99"/>
      <c r="B484" s="98"/>
      <c r="C484" s="103"/>
      <c r="D484" s="101"/>
      <c r="E484" s="104"/>
      <c r="F484" s="104"/>
      <c r="G484" s="89"/>
      <c r="H484" s="11" t="s">
        <v>320</v>
      </c>
      <c r="I484" s="10">
        <v>663</v>
      </c>
      <c r="J484" s="7">
        <v>7</v>
      </c>
      <c r="K484" s="7">
        <v>9</v>
      </c>
      <c r="L484" s="95" t="s">
        <v>588</v>
      </c>
      <c r="M484" s="96" t="s">
        <v>556</v>
      </c>
      <c r="N484" s="96" t="s">
        <v>586</v>
      </c>
      <c r="O484" s="96" t="s">
        <v>293</v>
      </c>
      <c r="P484" s="10"/>
      <c r="Q484" s="214">
        <f>Q485</f>
        <v>5</v>
      </c>
      <c r="R484" s="214"/>
      <c r="S484" s="214"/>
    </row>
    <row r="485" spans="1:19" ht="24.75" customHeight="1">
      <c r="A485" s="99"/>
      <c r="B485" s="98"/>
      <c r="C485" s="103"/>
      <c r="D485" s="101"/>
      <c r="E485" s="104"/>
      <c r="F485" s="104"/>
      <c r="G485" s="89"/>
      <c r="H485" s="11" t="s">
        <v>712</v>
      </c>
      <c r="I485" s="10">
        <v>663</v>
      </c>
      <c r="J485" s="7">
        <v>7</v>
      </c>
      <c r="K485" s="7">
        <v>9</v>
      </c>
      <c r="L485" s="95" t="s">
        <v>588</v>
      </c>
      <c r="M485" s="96" t="s">
        <v>556</v>
      </c>
      <c r="N485" s="96" t="s">
        <v>586</v>
      </c>
      <c r="O485" s="96" t="s">
        <v>293</v>
      </c>
      <c r="P485" s="10">
        <v>240</v>
      </c>
      <c r="Q485" s="214">
        <f>'Приложение 9'!Q594</f>
        <v>5</v>
      </c>
      <c r="R485" s="214"/>
      <c r="S485" s="214"/>
    </row>
    <row r="486" spans="1:19" ht="28.5" customHeight="1" hidden="1">
      <c r="A486" s="99"/>
      <c r="B486" s="98"/>
      <c r="C486" s="103"/>
      <c r="D486" s="101"/>
      <c r="E486" s="104"/>
      <c r="F486" s="104"/>
      <c r="G486" s="89"/>
      <c r="H486" s="22" t="s">
        <v>651</v>
      </c>
      <c r="I486" s="10">
        <v>663</v>
      </c>
      <c r="J486" s="7">
        <v>7</v>
      </c>
      <c r="K486" s="7">
        <v>9</v>
      </c>
      <c r="L486" s="95" t="s">
        <v>588</v>
      </c>
      <c r="M486" s="96" t="s">
        <v>556</v>
      </c>
      <c r="N486" s="96" t="s">
        <v>581</v>
      </c>
      <c r="O486" s="96" t="s">
        <v>613</v>
      </c>
      <c r="P486" s="10"/>
      <c r="Q486" s="214">
        <f>Q487+Q489</f>
        <v>0</v>
      </c>
      <c r="R486" s="214"/>
      <c r="S486" s="214"/>
    </row>
    <row r="487" spans="1:19" ht="28.5" customHeight="1" hidden="1">
      <c r="A487" s="99"/>
      <c r="B487" s="98"/>
      <c r="C487" s="103"/>
      <c r="D487" s="101"/>
      <c r="E487" s="104"/>
      <c r="F487" s="104"/>
      <c r="G487" s="89"/>
      <c r="H487" s="22" t="s">
        <v>335</v>
      </c>
      <c r="I487" s="10">
        <v>663</v>
      </c>
      <c r="J487" s="7">
        <v>7</v>
      </c>
      <c r="K487" s="7">
        <v>9</v>
      </c>
      <c r="L487" s="95" t="s">
        <v>588</v>
      </c>
      <c r="M487" s="96" t="s">
        <v>556</v>
      </c>
      <c r="N487" s="96" t="s">
        <v>581</v>
      </c>
      <c r="O487" s="96" t="s">
        <v>641</v>
      </c>
      <c r="P487" s="10"/>
      <c r="Q487" s="214">
        <f>Q488</f>
        <v>0</v>
      </c>
      <c r="R487" s="214"/>
      <c r="S487" s="214"/>
    </row>
    <row r="488" spans="1:19" ht="28.5" customHeight="1" hidden="1">
      <c r="A488" s="99"/>
      <c r="B488" s="98"/>
      <c r="C488" s="103"/>
      <c r="D488" s="101"/>
      <c r="E488" s="104"/>
      <c r="F488" s="104"/>
      <c r="G488" s="89"/>
      <c r="H488" s="22" t="s">
        <v>712</v>
      </c>
      <c r="I488" s="10">
        <v>663</v>
      </c>
      <c r="J488" s="7">
        <v>7</v>
      </c>
      <c r="K488" s="7">
        <v>9</v>
      </c>
      <c r="L488" s="95" t="s">
        <v>588</v>
      </c>
      <c r="M488" s="96" t="s">
        <v>556</v>
      </c>
      <c r="N488" s="96" t="s">
        <v>581</v>
      </c>
      <c r="O488" s="96" t="s">
        <v>641</v>
      </c>
      <c r="P488" s="10">
        <v>240</v>
      </c>
      <c r="Q488" s="214">
        <f>'Приложение 9'!Q597</f>
        <v>0</v>
      </c>
      <c r="R488" s="214"/>
      <c r="S488" s="214"/>
    </row>
    <row r="489" spans="1:19" ht="41.25" customHeight="1" hidden="1">
      <c r="A489" s="99"/>
      <c r="B489" s="98"/>
      <c r="C489" s="103"/>
      <c r="D489" s="101"/>
      <c r="E489" s="104"/>
      <c r="F489" s="104"/>
      <c r="G489" s="89"/>
      <c r="H489" s="22" t="s">
        <v>494</v>
      </c>
      <c r="I489" s="10">
        <v>663</v>
      </c>
      <c r="J489" s="7">
        <v>7</v>
      </c>
      <c r="K489" s="7">
        <v>9</v>
      </c>
      <c r="L489" s="95" t="s">
        <v>588</v>
      </c>
      <c r="M489" s="96" t="s">
        <v>556</v>
      </c>
      <c r="N489" s="96" t="s">
        <v>581</v>
      </c>
      <c r="O489" s="96" t="s">
        <v>293</v>
      </c>
      <c r="P489" s="10"/>
      <c r="Q489" s="214">
        <f>Q490</f>
        <v>0</v>
      </c>
      <c r="R489" s="214"/>
      <c r="S489" s="214"/>
    </row>
    <row r="490" spans="1:19" ht="30" customHeight="1" hidden="1">
      <c r="A490" s="99"/>
      <c r="B490" s="98"/>
      <c r="C490" s="103"/>
      <c r="D490" s="101"/>
      <c r="E490" s="104"/>
      <c r="F490" s="104"/>
      <c r="G490" s="89"/>
      <c r="H490" s="22" t="s">
        <v>712</v>
      </c>
      <c r="I490" s="10">
        <v>663</v>
      </c>
      <c r="J490" s="7">
        <v>7</v>
      </c>
      <c r="K490" s="7">
        <v>9</v>
      </c>
      <c r="L490" s="95" t="s">
        <v>588</v>
      </c>
      <c r="M490" s="96" t="s">
        <v>556</v>
      </c>
      <c r="N490" s="96" t="s">
        <v>581</v>
      </c>
      <c r="O490" s="96" t="s">
        <v>293</v>
      </c>
      <c r="P490" s="10">
        <v>240</v>
      </c>
      <c r="Q490" s="214">
        <f>'Приложение 9'!Q599</f>
        <v>0</v>
      </c>
      <c r="R490" s="214"/>
      <c r="S490" s="214"/>
    </row>
    <row r="491" spans="1:19" ht="29.25" customHeight="1">
      <c r="A491" s="99"/>
      <c r="B491" s="98"/>
      <c r="C491" s="103"/>
      <c r="D491" s="101"/>
      <c r="E491" s="104"/>
      <c r="F491" s="104"/>
      <c r="G491" s="89"/>
      <c r="H491" s="22" t="s">
        <v>14</v>
      </c>
      <c r="I491" s="10">
        <v>663</v>
      </c>
      <c r="J491" s="7">
        <v>7</v>
      </c>
      <c r="K491" s="7">
        <v>9</v>
      </c>
      <c r="L491" s="95" t="s">
        <v>588</v>
      </c>
      <c r="M491" s="96" t="s">
        <v>556</v>
      </c>
      <c r="N491" s="96" t="s">
        <v>588</v>
      </c>
      <c r="O491" s="96" t="s">
        <v>613</v>
      </c>
      <c r="P491" s="10"/>
      <c r="Q491" s="214">
        <f>Q492+Q501+Q499+Q497</f>
        <v>4369.8</v>
      </c>
      <c r="R491" s="214"/>
      <c r="S491" s="214"/>
    </row>
    <row r="492" spans="1:19" ht="27" customHeight="1">
      <c r="A492" s="99"/>
      <c r="B492" s="98"/>
      <c r="C492" s="103"/>
      <c r="D492" s="101"/>
      <c r="E492" s="104"/>
      <c r="F492" s="104"/>
      <c r="G492" s="89"/>
      <c r="H492" s="22" t="s">
        <v>335</v>
      </c>
      <c r="I492" s="10">
        <v>663</v>
      </c>
      <c r="J492" s="7">
        <v>7</v>
      </c>
      <c r="K492" s="7">
        <v>9</v>
      </c>
      <c r="L492" s="95" t="s">
        <v>588</v>
      </c>
      <c r="M492" s="96" t="s">
        <v>556</v>
      </c>
      <c r="N492" s="96" t="s">
        <v>588</v>
      </c>
      <c r="O492" s="96" t="s">
        <v>641</v>
      </c>
      <c r="P492" s="10"/>
      <c r="Q492" s="214">
        <f>SUM(Q493:S496)</f>
        <v>3094.7</v>
      </c>
      <c r="R492" s="214"/>
      <c r="S492" s="214"/>
    </row>
    <row r="493" spans="1:19" ht="27" customHeight="1">
      <c r="A493" s="99"/>
      <c r="B493" s="98"/>
      <c r="C493" s="103"/>
      <c r="D493" s="101"/>
      <c r="E493" s="104"/>
      <c r="F493" s="104"/>
      <c r="G493" s="89"/>
      <c r="H493" s="22" t="s">
        <v>526</v>
      </c>
      <c r="I493" s="10">
        <v>663</v>
      </c>
      <c r="J493" s="7">
        <v>7</v>
      </c>
      <c r="K493" s="7">
        <v>9</v>
      </c>
      <c r="L493" s="95" t="s">
        <v>588</v>
      </c>
      <c r="M493" s="96" t="s">
        <v>556</v>
      </c>
      <c r="N493" s="96" t="s">
        <v>588</v>
      </c>
      <c r="O493" s="96" t="s">
        <v>641</v>
      </c>
      <c r="P493" s="10">
        <v>120</v>
      </c>
      <c r="Q493" s="214">
        <f>'Приложение 9'!Q602</f>
        <v>2812.1</v>
      </c>
      <c r="R493" s="214"/>
      <c r="S493" s="214"/>
    </row>
    <row r="494" spans="1:19" ht="26.25" customHeight="1">
      <c r="A494" s="99"/>
      <c r="B494" s="98"/>
      <c r="C494" s="103"/>
      <c r="D494" s="101"/>
      <c r="E494" s="104"/>
      <c r="F494" s="104"/>
      <c r="G494" s="89"/>
      <c r="H494" s="22" t="s">
        <v>712</v>
      </c>
      <c r="I494" s="10">
        <v>663</v>
      </c>
      <c r="J494" s="7">
        <v>7</v>
      </c>
      <c r="K494" s="7">
        <v>9</v>
      </c>
      <c r="L494" s="95" t="s">
        <v>588</v>
      </c>
      <c r="M494" s="96" t="s">
        <v>556</v>
      </c>
      <c r="N494" s="96" t="s">
        <v>588</v>
      </c>
      <c r="O494" s="96" t="s">
        <v>641</v>
      </c>
      <c r="P494" s="10">
        <v>240</v>
      </c>
      <c r="Q494" s="214">
        <f>'Приложение 9'!Q603</f>
        <v>253.29999999999995</v>
      </c>
      <c r="R494" s="214"/>
      <c r="S494" s="214"/>
    </row>
    <row r="495" spans="1:19" ht="26.25" customHeight="1">
      <c r="A495" s="99"/>
      <c r="B495" s="98"/>
      <c r="C495" s="103"/>
      <c r="D495" s="101"/>
      <c r="E495" s="104"/>
      <c r="F495" s="104"/>
      <c r="G495" s="89"/>
      <c r="H495" s="259" t="str">
        <f>'Приложение 9'!H604</f>
        <v>Социальные выплаты гражданам, кроме публичных нормативных социальных выплат</v>
      </c>
      <c r="I495" s="10">
        <f>'Приложение 9'!I604</f>
        <v>663</v>
      </c>
      <c r="J495" s="7">
        <f>'Приложение 9'!J604</f>
        <v>7</v>
      </c>
      <c r="K495" s="7">
        <f>'Приложение 9'!K604</f>
        <v>9</v>
      </c>
      <c r="L495" s="95" t="str">
        <f>'Приложение 9'!L604</f>
        <v>06</v>
      </c>
      <c r="M495" s="96" t="str">
        <f>'Приложение 9'!M604</f>
        <v>0</v>
      </c>
      <c r="N495" s="96" t="str">
        <f>'Приложение 9'!N604</f>
        <v>06</v>
      </c>
      <c r="O495" s="96" t="str">
        <f>'Приложение 9'!O604</f>
        <v>00190</v>
      </c>
      <c r="P495" s="10">
        <f>'Приложение 9'!P604</f>
        <v>320</v>
      </c>
      <c r="Q495" s="214">
        <f>'Приложение 9'!Q604</f>
        <v>28.3</v>
      </c>
      <c r="R495" s="214"/>
      <c r="S495" s="214"/>
    </row>
    <row r="496" spans="1:19" ht="26.25" customHeight="1">
      <c r="A496" s="99"/>
      <c r="B496" s="98"/>
      <c r="C496" s="103"/>
      <c r="D496" s="101"/>
      <c r="E496" s="104"/>
      <c r="F496" s="104"/>
      <c r="G496" s="89"/>
      <c r="H496" s="259" t="str">
        <f>'Приложение 9'!H605</f>
        <v>Уплата налогов, сборов и иных платежей</v>
      </c>
      <c r="I496" s="10">
        <f>'Приложение 9'!I605</f>
        <v>663</v>
      </c>
      <c r="J496" s="7">
        <f>'Приложение 9'!J605</f>
        <v>7</v>
      </c>
      <c r="K496" s="7">
        <f>'Приложение 9'!K605</f>
        <v>9</v>
      </c>
      <c r="L496" s="95" t="str">
        <f>'Приложение 9'!L605</f>
        <v>06</v>
      </c>
      <c r="M496" s="96" t="str">
        <f>'Приложение 9'!M605</f>
        <v>0</v>
      </c>
      <c r="N496" s="96" t="str">
        <f>'Приложение 9'!N605</f>
        <v>06</v>
      </c>
      <c r="O496" s="96" t="str">
        <f>'Приложение 9'!O605</f>
        <v>00190</v>
      </c>
      <c r="P496" s="10">
        <f>'Приложение 9'!P605</f>
        <v>850</v>
      </c>
      <c r="Q496" s="214">
        <f>'Приложение 9'!Q605</f>
        <v>1</v>
      </c>
      <c r="R496" s="214"/>
      <c r="S496" s="214"/>
    </row>
    <row r="497" spans="1:19" ht="53.25" customHeight="1" hidden="1">
      <c r="A497" s="99"/>
      <c r="B497" s="98"/>
      <c r="C497" s="103"/>
      <c r="D497" s="101"/>
      <c r="E497" s="104"/>
      <c r="F497" s="104"/>
      <c r="G497" s="89"/>
      <c r="H497" s="259" t="str">
        <f>'Приложение 9'!H606</f>
        <v>Иные межбюджетные трансферты на поощрение за содействие достижению значений (уровней) показателей для оценки эффективности деятельности высших должностных лиц субъектов РФ и деятельности органов исполнительной власти субъектов РФ</v>
      </c>
      <c r="I497" s="10">
        <f>'Приложение 9'!I606</f>
        <v>663</v>
      </c>
      <c r="J497" s="7">
        <f>'Приложение 9'!J606</f>
        <v>7</v>
      </c>
      <c r="K497" s="7">
        <f>'Приложение 9'!K606</f>
        <v>9</v>
      </c>
      <c r="L497" s="95" t="str">
        <f>'Приложение 9'!L606</f>
        <v>06</v>
      </c>
      <c r="M497" s="96" t="str">
        <f>'Приложение 9'!M606</f>
        <v>0</v>
      </c>
      <c r="N497" s="96" t="str">
        <f>'Приложение 9'!N606</f>
        <v>06</v>
      </c>
      <c r="O497" s="96" t="str">
        <f>'Приложение 9'!O606</f>
        <v>5549F</v>
      </c>
      <c r="P497" s="10" t="s">
        <v>614</v>
      </c>
      <c r="Q497" s="214">
        <f>Q498</f>
        <v>0</v>
      </c>
      <c r="R497" s="214"/>
      <c r="S497" s="214"/>
    </row>
    <row r="498" spans="1:19" ht="26.25" customHeight="1" hidden="1">
      <c r="A498" s="99"/>
      <c r="B498" s="98"/>
      <c r="C498" s="103"/>
      <c r="D498" s="101"/>
      <c r="E498" s="104"/>
      <c r="F498" s="104"/>
      <c r="G498" s="89"/>
      <c r="H498" s="259" t="str">
        <f>'Приложение 9'!H607</f>
        <v>Расходы на выплаты персоналу государственных (муниципальных) органов</v>
      </c>
      <c r="I498" s="10">
        <f>'Приложение 9'!I607</f>
        <v>663</v>
      </c>
      <c r="J498" s="7">
        <f>'Приложение 9'!J607</f>
        <v>7</v>
      </c>
      <c r="K498" s="7">
        <f>'Приложение 9'!K607</f>
        <v>9</v>
      </c>
      <c r="L498" s="95" t="str">
        <f>'Приложение 9'!L607</f>
        <v>06</v>
      </c>
      <c r="M498" s="96" t="str">
        <f>'Приложение 9'!M607</f>
        <v>0</v>
      </c>
      <c r="N498" s="96" t="str">
        <f>'Приложение 9'!N607</f>
        <v>06</v>
      </c>
      <c r="O498" s="96" t="str">
        <f>'Приложение 9'!O607</f>
        <v>5549F</v>
      </c>
      <c r="P498" s="10">
        <f>'Приложение 9'!P607</f>
        <v>120</v>
      </c>
      <c r="Q498" s="214">
        <f>'Приложение 9'!Q607</f>
        <v>0</v>
      </c>
      <c r="R498" s="214"/>
      <c r="S498" s="214"/>
    </row>
    <row r="499" spans="1:19" ht="32.25" customHeight="1">
      <c r="A499" s="99"/>
      <c r="B499" s="98"/>
      <c r="C499" s="103"/>
      <c r="D499" s="101"/>
      <c r="E499" s="104"/>
      <c r="F499" s="104"/>
      <c r="G499" s="89"/>
      <c r="H499" s="259" t="str">
        <f>'Приложение 9'!H608</f>
        <v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v>
      </c>
      <c r="I499" s="10">
        <f>'Приложение 9'!I608</f>
        <v>663</v>
      </c>
      <c r="J499" s="7">
        <f>'Приложение 9'!J608</f>
        <v>7</v>
      </c>
      <c r="K499" s="7">
        <f>'Приложение 9'!K608</f>
        <v>9</v>
      </c>
      <c r="L499" s="95" t="str">
        <f>'Приложение 9'!L608</f>
        <v>06</v>
      </c>
      <c r="M499" s="96" t="str">
        <f>'Приложение 9'!M608</f>
        <v>0</v>
      </c>
      <c r="N499" s="96" t="str">
        <f>'Приложение 9'!N608</f>
        <v>06</v>
      </c>
      <c r="O499" s="96" t="str">
        <f>'Приложение 9'!O608</f>
        <v>70030</v>
      </c>
      <c r="P499" s="10" t="s">
        <v>614</v>
      </c>
      <c r="Q499" s="214">
        <f>Q500</f>
        <v>655.5</v>
      </c>
      <c r="R499" s="214"/>
      <c r="S499" s="214"/>
    </row>
    <row r="500" spans="1:19" ht="26.25" customHeight="1">
      <c r="A500" s="99"/>
      <c r="B500" s="98"/>
      <c r="C500" s="103"/>
      <c r="D500" s="101"/>
      <c r="E500" s="104"/>
      <c r="F500" s="104"/>
      <c r="G500" s="89"/>
      <c r="H500" s="259" t="str">
        <f>'Приложение 9'!H609</f>
        <v>Расходы на выплаты персоналу государственных (муниципальных) органов</v>
      </c>
      <c r="I500" s="10">
        <f>'Приложение 9'!I609</f>
        <v>663</v>
      </c>
      <c r="J500" s="7">
        <f>'Приложение 9'!J609</f>
        <v>7</v>
      </c>
      <c r="K500" s="7">
        <f>'Приложение 9'!K609</f>
        <v>9</v>
      </c>
      <c r="L500" s="95" t="str">
        <f>'Приложение 9'!L609</f>
        <v>06</v>
      </c>
      <c r="M500" s="96" t="str">
        <f>'Приложение 9'!M609</f>
        <v>0</v>
      </c>
      <c r="N500" s="96" t="str">
        <f>'Приложение 9'!N609</f>
        <v>06</v>
      </c>
      <c r="O500" s="96" t="str">
        <f>'Приложение 9'!O609</f>
        <v>70030</v>
      </c>
      <c r="P500" s="10">
        <f>'Приложение 9'!P609</f>
        <v>120</v>
      </c>
      <c r="Q500" s="214">
        <f>'Приложение 9'!Q609</f>
        <v>655.5</v>
      </c>
      <c r="R500" s="214"/>
      <c r="S500" s="214"/>
    </row>
    <row r="501" spans="1:19" ht="38.25" customHeight="1">
      <c r="A501" s="99"/>
      <c r="B501" s="98"/>
      <c r="C501" s="103"/>
      <c r="D501" s="101"/>
      <c r="E501" s="104"/>
      <c r="F501" s="104"/>
      <c r="G501" s="89"/>
      <c r="H501" s="259" t="s">
        <v>494</v>
      </c>
      <c r="I501" s="10">
        <v>663</v>
      </c>
      <c r="J501" s="7">
        <v>7</v>
      </c>
      <c r="K501" s="7">
        <v>9</v>
      </c>
      <c r="L501" s="95" t="s">
        <v>588</v>
      </c>
      <c r="M501" s="96" t="s">
        <v>556</v>
      </c>
      <c r="N501" s="96" t="s">
        <v>588</v>
      </c>
      <c r="O501" s="96" t="s">
        <v>293</v>
      </c>
      <c r="P501" s="10"/>
      <c r="Q501" s="214">
        <f>SUM(Q502:Q504)</f>
        <v>619.6000000000001</v>
      </c>
      <c r="R501" s="214"/>
      <c r="S501" s="214"/>
    </row>
    <row r="502" spans="1:19" ht="27" customHeight="1">
      <c r="A502" s="99"/>
      <c r="B502" s="98"/>
      <c r="C502" s="103"/>
      <c r="D502" s="101"/>
      <c r="E502" s="104"/>
      <c r="F502" s="104"/>
      <c r="G502" s="89"/>
      <c r="H502" s="259" t="s">
        <v>715</v>
      </c>
      <c r="I502" s="10">
        <v>663</v>
      </c>
      <c r="J502" s="7">
        <v>7</v>
      </c>
      <c r="K502" s="7">
        <v>9</v>
      </c>
      <c r="L502" s="95" t="s">
        <v>588</v>
      </c>
      <c r="M502" s="96" t="s">
        <v>556</v>
      </c>
      <c r="N502" s="96" t="s">
        <v>588</v>
      </c>
      <c r="O502" s="96" t="s">
        <v>293</v>
      </c>
      <c r="P502" s="10">
        <v>110</v>
      </c>
      <c r="Q502" s="214">
        <f>'Приложение 9'!Q611</f>
        <v>587.1000000000001</v>
      </c>
      <c r="R502" s="214"/>
      <c r="S502" s="214"/>
    </row>
    <row r="503" spans="1:19" ht="22.5" customHeight="1">
      <c r="A503" s="99"/>
      <c r="B503" s="98"/>
      <c r="C503" s="103"/>
      <c r="D503" s="101"/>
      <c r="E503" s="104"/>
      <c r="F503" s="104"/>
      <c r="G503" s="89"/>
      <c r="H503" s="259" t="s">
        <v>712</v>
      </c>
      <c r="I503" s="10">
        <v>663</v>
      </c>
      <c r="J503" s="7">
        <v>7</v>
      </c>
      <c r="K503" s="7">
        <v>9</v>
      </c>
      <c r="L503" s="95" t="s">
        <v>588</v>
      </c>
      <c r="M503" s="96" t="s">
        <v>556</v>
      </c>
      <c r="N503" s="96" t="s">
        <v>588</v>
      </c>
      <c r="O503" s="96" t="s">
        <v>293</v>
      </c>
      <c r="P503" s="10">
        <v>240</v>
      </c>
      <c r="Q503" s="214">
        <f>'Приложение 9'!Q612</f>
        <v>32.2</v>
      </c>
      <c r="R503" s="214"/>
      <c r="S503" s="214"/>
    </row>
    <row r="504" spans="1:19" ht="22.5" customHeight="1">
      <c r="A504" s="99"/>
      <c r="B504" s="98"/>
      <c r="C504" s="103"/>
      <c r="D504" s="101"/>
      <c r="E504" s="104"/>
      <c r="F504" s="104"/>
      <c r="G504" s="89"/>
      <c r="H504" s="259" t="str">
        <f>'Приложение 9'!H613</f>
        <v>Уплата налогов, сборов и иных платежей</v>
      </c>
      <c r="I504" s="10">
        <f>'Приложение 9'!I613</f>
        <v>663</v>
      </c>
      <c r="J504" s="7">
        <f>'Приложение 9'!J613</f>
        <v>7</v>
      </c>
      <c r="K504" s="7">
        <f>'Приложение 9'!K613</f>
        <v>9</v>
      </c>
      <c r="L504" s="95" t="str">
        <f>'Приложение 9'!L613</f>
        <v>06</v>
      </c>
      <c r="M504" s="96" t="str">
        <f>'Приложение 9'!M613</f>
        <v>0</v>
      </c>
      <c r="N504" s="96" t="str">
        <f>'Приложение 9'!N613</f>
        <v>06</v>
      </c>
      <c r="O504" s="96" t="str">
        <f>'Приложение 9'!O613</f>
        <v>14590</v>
      </c>
      <c r="P504" s="10">
        <f>'Приложение 9'!P613</f>
        <v>850</v>
      </c>
      <c r="Q504" s="214">
        <f>'Приложение 9'!Q613</f>
        <v>0.30000000000000004</v>
      </c>
      <c r="R504" s="214"/>
      <c r="S504" s="214"/>
    </row>
    <row r="505" spans="1:19" ht="29.25" customHeight="1">
      <c r="A505" s="99"/>
      <c r="B505" s="98"/>
      <c r="C505" s="103"/>
      <c r="D505" s="101"/>
      <c r="E505" s="104"/>
      <c r="F505" s="104"/>
      <c r="G505" s="89"/>
      <c r="H505" s="5" t="str">
        <f>'Приложение 9'!H621</f>
        <v>Муниципальная программа «Обеспечение законности, правопорядка и общественной безопасности в Белозерском районе на 2014 -2020 годы</v>
      </c>
      <c r="I505" s="10">
        <f>'Приложение 9'!I621</f>
        <v>663</v>
      </c>
      <c r="J505" s="7">
        <f>'Приложение 9'!J621</f>
        <v>7</v>
      </c>
      <c r="K505" s="7">
        <f>'Приложение 9'!K621</f>
        <v>9</v>
      </c>
      <c r="L505" s="95" t="str">
        <f>'Приложение 9'!L621</f>
        <v>13</v>
      </c>
      <c r="M505" s="96" t="str">
        <f>'Приложение 9'!M621</f>
        <v>0</v>
      </c>
      <c r="N505" s="96" t="str">
        <f>'Приложение 9'!N621</f>
        <v>00</v>
      </c>
      <c r="O505" s="96" t="str">
        <f>'Приложение 9'!O621</f>
        <v>00000</v>
      </c>
      <c r="P505" s="10" t="s">
        <v>614</v>
      </c>
      <c r="Q505" s="214">
        <f>Q506</f>
        <v>15</v>
      </c>
      <c r="R505" s="214"/>
      <c r="S505" s="214"/>
    </row>
    <row r="506" spans="1:19" ht="22.5" customHeight="1">
      <c r="A506" s="99"/>
      <c r="B506" s="98"/>
      <c r="C506" s="103"/>
      <c r="D506" s="101"/>
      <c r="E506" s="104"/>
      <c r="F506" s="104"/>
      <c r="G506" s="89"/>
      <c r="H506" s="5" t="str">
        <f>'Приложение 9'!H622</f>
        <v>Подпрограмма "Безопасность дорожного движения"</v>
      </c>
      <c r="I506" s="10">
        <f>'Приложение 9'!I622</f>
        <v>663</v>
      </c>
      <c r="J506" s="7">
        <f>'Приложение 9'!J622</f>
        <v>7</v>
      </c>
      <c r="K506" s="7">
        <f>'Приложение 9'!K622</f>
        <v>9</v>
      </c>
      <c r="L506" s="95" t="str">
        <f>'Приложение 9'!L622</f>
        <v>13</v>
      </c>
      <c r="M506" s="96" t="str">
        <f>'Приложение 9'!M622</f>
        <v>1</v>
      </c>
      <c r="N506" s="96" t="str">
        <f>'Приложение 9'!N622</f>
        <v>00</v>
      </c>
      <c r="O506" s="96" t="str">
        <f>'Приложение 9'!O622</f>
        <v>00000</v>
      </c>
      <c r="P506" s="10" t="s">
        <v>614</v>
      </c>
      <c r="Q506" s="214">
        <f>Q507</f>
        <v>15</v>
      </c>
      <c r="R506" s="214"/>
      <c r="S506" s="214"/>
    </row>
    <row r="507" spans="1:19" ht="31.5" customHeight="1">
      <c r="A507" s="99"/>
      <c r="B507" s="98"/>
      <c r="C507" s="103"/>
      <c r="D507" s="101"/>
      <c r="E507" s="104"/>
      <c r="F507" s="104"/>
      <c r="G507" s="89"/>
      <c r="H507" s="5" t="str">
        <f>'Приложение 9'!H623</f>
        <v>Основное мероприятие "Предупреждение опасного поведения участников дорожного движения путем организации и проведения профилактических мероприятий, и их информационно-пропагандистское сопровождение"</v>
      </c>
      <c r="I507" s="10">
        <f>'Приложение 9'!I623</f>
        <v>663</v>
      </c>
      <c r="J507" s="7">
        <f>'Приложение 9'!J623</f>
        <v>7</v>
      </c>
      <c r="K507" s="7">
        <f>'Приложение 9'!K623</f>
        <v>9</v>
      </c>
      <c r="L507" s="95" t="str">
        <f>'Приложение 9'!L623</f>
        <v>13</v>
      </c>
      <c r="M507" s="96" t="str">
        <f>'Приложение 9'!M623</f>
        <v>1</v>
      </c>
      <c r="N507" s="96" t="str">
        <f>'Приложение 9'!N623</f>
        <v>02</v>
      </c>
      <c r="O507" s="96" t="str">
        <f>'Приложение 9'!O623</f>
        <v>00000</v>
      </c>
      <c r="P507" s="10" t="s">
        <v>614</v>
      </c>
      <c r="Q507" s="214">
        <f>Q508</f>
        <v>15</v>
      </c>
      <c r="R507" s="214"/>
      <c r="S507" s="214"/>
    </row>
    <row r="508" spans="1:19" ht="22.5" customHeight="1">
      <c r="A508" s="99"/>
      <c r="B508" s="98"/>
      <c r="C508" s="103"/>
      <c r="D508" s="101"/>
      <c r="E508" s="104"/>
      <c r="F508" s="104"/>
      <c r="G508" s="89"/>
      <c r="H508" s="5" t="str">
        <f>'Приложение 9'!H624</f>
        <v>Реализация мероприятий, направленных на обеспечение безопасности дорожного движения</v>
      </c>
      <c r="I508" s="10">
        <f>'Приложение 9'!I624</f>
        <v>663</v>
      </c>
      <c r="J508" s="7">
        <f>'Приложение 9'!J624</f>
        <v>7</v>
      </c>
      <c r="K508" s="7">
        <f>'Приложение 9'!K624</f>
        <v>9</v>
      </c>
      <c r="L508" s="95" t="str">
        <f>'Приложение 9'!L624</f>
        <v>13</v>
      </c>
      <c r="M508" s="96" t="str">
        <f>'Приложение 9'!M624</f>
        <v>1</v>
      </c>
      <c r="N508" s="96" t="str">
        <f>'Приложение 9'!N624</f>
        <v>02</v>
      </c>
      <c r="O508" s="96" t="str">
        <f>'Приложение 9'!O624</f>
        <v>20440</v>
      </c>
      <c r="P508" s="10" t="s">
        <v>614</v>
      </c>
      <c r="Q508" s="214">
        <f>Q509</f>
        <v>15</v>
      </c>
      <c r="R508" s="214"/>
      <c r="S508" s="214"/>
    </row>
    <row r="509" spans="1:19" ht="22.5" customHeight="1">
      <c r="A509" s="99"/>
      <c r="B509" s="98"/>
      <c r="C509" s="103"/>
      <c r="D509" s="101"/>
      <c r="E509" s="104"/>
      <c r="F509" s="104"/>
      <c r="G509" s="89"/>
      <c r="H509" s="5" t="str">
        <f>'Приложение 9'!H625</f>
        <v>Иные закупки товаров, работ и услуг для обеспечения государственных (муниципальных) нужд</v>
      </c>
      <c r="I509" s="10">
        <f>'Приложение 9'!I625</f>
        <v>663</v>
      </c>
      <c r="J509" s="7">
        <f>'Приложение 9'!J625</f>
        <v>7</v>
      </c>
      <c r="K509" s="7">
        <f>'Приложение 9'!K625</f>
        <v>9</v>
      </c>
      <c r="L509" s="95" t="str">
        <f>'Приложение 9'!L625</f>
        <v>13</v>
      </c>
      <c r="M509" s="96" t="str">
        <f>'Приложение 9'!M625</f>
        <v>1</v>
      </c>
      <c r="N509" s="96" t="str">
        <f>'Приложение 9'!N625</f>
        <v>02</v>
      </c>
      <c r="O509" s="96" t="str">
        <f>'Приложение 9'!O625</f>
        <v>20440</v>
      </c>
      <c r="P509" s="10">
        <f>'Приложение 9'!P625</f>
        <v>240</v>
      </c>
      <c r="Q509" s="214">
        <f>'Приложение 9'!Q625</f>
        <v>15</v>
      </c>
      <c r="R509" s="214"/>
      <c r="S509" s="214"/>
    </row>
    <row r="510" spans="1:19" ht="22.5" customHeight="1">
      <c r="A510" s="99"/>
      <c r="B510" s="98"/>
      <c r="C510" s="103"/>
      <c r="D510" s="101"/>
      <c r="E510" s="104"/>
      <c r="F510" s="104"/>
      <c r="G510" s="89"/>
      <c r="H510" s="5" t="str">
        <f>'Приложение 9'!H614</f>
        <v>Муниципальная  программа "Формирование законопослушного поведения участников дорожного движения в Белозерском муниципальном районе на 2019-2021 годы"</v>
      </c>
      <c r="I510" s="10">
        <f>'Приложение 9'!I614</f>
        <v>663</v>
      </c>
      <c r="J510" s="7">
        <f>'Приложение 9'!J614</f>
        <v>7</v>
      </c>
      <c r="K510" s="7">
        <f>'Приложение 9'!K614</f>
        <v>9</v>
      </c>
      <c r="L510" s="95" t="str">
        <f>'Приложение 9'!L614</f>
        <v>09</v>
      </c>
      <c r="M510" s="96" t="str">
        <f>'Приложение 9'!M614</f>
        <v>0</v>
      </c>
      <c r="N510" s="96" t="str">
        <f>'Приложение 9'!N614</f>
        <v>00</v>
      </c>
      <c r="O510" s="96" t="str">
        <f>'Приложение 9'!O614</f>
        <v>00000</v>
      </c>
      <c r="P510" s="10" t="s">
        <v>614</v>
      </c>
      <c r="Q510" s="214">
        <f>'Приложение 9'!Q614</f>
        <v>30</v>
      </c>
      <c r="R510" s="214"/>
      <c r="S510" s="214"/>
    </row>
    <row r="511" spans="1:19" ht="22.5" customHeight="1">
      <c r="A511" s="99"/>
      <c r="B511" s="98"/>
      <c r="C511" s="103"/>
      <c r="D511" s="101"/>
      <c r="E511" s="104"/>
      <c r="F511" s="104"/>
      <c r="G511" s="89"/>
      <c r="H511" s="5" t="str">
        <f>'Приложение 9'!H615</f>
        <v>Основное мероприятие "Разработка проекта, приобретение, размещение социальной рекламы по обеспечению безопасности дорожного движения"</v>
      </c>
      <c r="I511" s="10">
        <f>'Приложение 9'!I615</f>
        <v>663</v>
      </c>
      <c r="J511" s="7">
        <f>'Приложение 9'!J615</f>
        <v>7</v>
      </c>
      <c r="K511" s="7">
        <f>'Приложение 9'!K615</f>
        <v>9</v>
      </c>
      <c r="L511" s="95" t="str">
        <f>'Приложение 9'!L615</f>
        <v>09</v>
      </c>
      <c r="M511" s="96" t="str">
        <f>'Приложение 9'!M615</f>
        <v>0</v>
      </c>
      <c r="N511" s="96" t="str">
        <f>'Приложение 9'!N615</f>
        <v>01</v>
      </c>
      <c r="O511" s="96" t="str">
        <f>'Приложение 9'!O615</f>
        <v>00000</v>
      </c>
      <c r="P511" s="10" t="s">
        <v>614</v>
      </c>
      <c r="Q511" s="214">
        <f>'Приложение 9'!Q615</f>
        <v>20</v>
      </c>
      <c r="R511" s="214"/>
      <c r="S511" s="214"/>
    </row>
    <row r="512" spans="1:19" ht="22.5" customHeight="1">
      <c r="A512" s="99"/>
      <c r="B512" s="98"/>
      <c r="C512" s="103"/>
      <c r="D512" s="101"/>
      <c r="E512" s="104"/>
      <c r="F512" s="104"/>
      <c r="G512" s="89"/>
      <c r="H512" s="5" t="str">
        <f>'Приложение 9'!H616</f>
        <v>Реализация мероприятий, направленных на обеспечение безопасности дорожного движения</v>
      </c>
      <c r="I512" s="10">
        <f>'Приложение 9'!I616</f>
        <v>663</v>
      </c>
      <c r="J512" s="7">
        <f>'Приложение 9'!J616</f>
        <v>7</v>
      </c>
      <c r="K512" s="7">
        <f>'Приложение 9'!K616</f>
        <v>9</v>
      </c>
      <c r="L512" s="95" t="str">
        <f>'Приложение 9'!L616</f>
        <v>09</v>
      </c>
      <c r="M512" s="96" t="str">
        <f>'Приложение 9'!M616</f>
        <v>0</v>
      </c>
      <c r="N512" s="96" t="str">
        <f>'Приложение 9'!N616</f>
        <v>01</v>
      </c>
      <c r="O512" s="96" t="str">
        <f>'Приложение 9'!O616</f>
        <v>20440</v>
      </c>
      <c r="P512" s="10" t="s">
        <v>614</v>
      </c>
      <c r="Q512" s="214">
        <f>'Приложение 9'!Q616</f>
        <v>20</v>
      </c>
      <c r="R512" s="214"/>
      <c r="S512" s="214"/>
    </row>
    <row r="513" spans="1:19" ht="22.5" customHeight="1">
      <c r="A513" s="99"/>
      <c r="B513" s="98"/>
      <c r="C513" s="103"/>
      <c r="D513" s="101"/>
      <c r="E513" s="104"/>
      <c r="F513" s="104"/>
      <c r="G513" s="89"/>
      <c r="H513" s="5" t="str">
        <f>'Приложение 9'!H617</f>
        <v>Иные закупки товаров, работ и услуг для обеспечения государственных (муниципальных) нужд</v>
      </c>
      <c r="I513" s="10">
        <f>'Приложение 9'!I617</f>
        <v>663</v>
      </c>
      <c r="J513" s="7">
        <f>'Приложение 9'!J617</f>
        <v>7</v>
      </c>
      <c r="K513" s="7">
        <f>'Приложение 9'!K617</f>
        <v>9</v>
      </c>
      <c r="L513" s="95" t="str">
        <f>'Приложение 9'!L617</f>
        <v>09</v>
      </c>
      <c r="M513" s="96" t="str">
        <f>'Приложение 9'!M617</f>
        <v>0</v>
      </c>
      <c r="N513" s="96" t="str">
        <f>'Приложение 9'!N617</f>
        <v>01</v>
      </c>
      <c r="O513" s="96" t="str">
        <f>'Приложение 9'!O617</f>
        <v>20440</v>
      </c>
      <c r="P513" s="10">
        <f>'Приложение 9'!P617</f>
        <v>240</v>
      </c>
      <c r="Q513" s="214">
        <f>'Приложение 9'!Q617</f>
        <v>20</v>
      </c>
      <c r="R513" s="214"/>
      <c r="S513" s="214"/>
    </row>
    <row r="514" spans="1:19" ht="22.5" customHeight="1">
      <c r="A514" s="99"/>
      <c r="B514" s="98"/>
      <c r="C514" s="103"/>
      <c r="D514" s="101"/>
      <c r="E514" s="104"/>
      <c r="F514" s="104"/>
      <c r="G514" s="89"/>
      <c r="H514" s="5" t="str">
        <f>'Приложение 9'!H618</f>
        <v>Основное мероприятие "Проведение соревнований, игр, конкурсов творческих работ среди детей по безопасности дорожного движения, конкурсы и викторины по ПДД в летних детских оздоровительных лагерях"</v>
      </c>
      <c r="I514" s="10">
        <f>'Приложение 9'!I618</f>
        <v>663</v>
      </c>
      <c r="J514" s="7">
        <f>'Приложение 9'!J618</f>
        <v>7</v>
      </c>
      <c r="K514" s="7">
        <f>'Приложение 9'!K618</f>
        <v>9</v>
      </c>
      <c r="L514" s="95" t="str">
        <f>'Приложение 9'!L618</f>
        <v>09</v>
      </c>
      <c r="M514" s="96" t="str">
        <f>'Приложение 9'!M618</f>
        <v>0</v>
      </c>
      <c r="N514" s="96" t="str">
        <f>'Приложение 9'!N618</f>
        <v>02</v>
      </c>
      <c r="O514" s="96" t="str">
        <f>'Приложение 9'!O618</f>
        <v>00000</v>
      </c>
      <c r="P514" s="10" t="s">
        <v>614</v>
      </c>
      <c r="Q514" s="214">
        <f>'Приложение 9'!Q618</f>
        <v>10</v>
      </c>
      <c r="R514" s="214"/>
      <c r="S514" s="214"/>
    </row>
    <row r="515" spans="1:19" ht="22.5" customHeight="1">
      <c r="A515" s="99"/>
      <c r="B515" s="98"/>
      <c r="C515" s="103"/>
      <c r="D515" s="101"/>
      <c r="E515" s="104"/>
      <c r="F515" s="104"/>
      <c r="G515" s="89"/>
      <c r="H515" s="5" t="str">
        <f>'Приложение 9'!H619</f>
        <v>Реализация мероприятий, направленных на обеспечение безопасности дорожного движения</v>
      </c>
      <c r="I515" s="10">
        <f>'Приложение 9'!I619</f>
        <v>663</v>
      </c>
      <c r="J515" s="7">
        <f>'Приложение 9'!J619</f>
        <v>7</v>
      </c>
      <c r="K515" s="7">
        <f>'Приложение 9'!K619</f>
        <v>9</v>
      </c>
      <c r="L515" s="95" t="str">
        <f>'Приложение 9'!L619</f>
        <v>09</v>
      </c>
      <c r="M515" s="96" t="str">
        <f>'Приложение 9'!M619</f>
        <v>0</v>
      </c>
      <c r="N515" s="96" t="str">
        <f>'Приложение 9'!N619</f>
        <v>02</v>
      </c>
      <c r="O515" s="96" t="str">
        <f>'Приложение 9'!O619</f>
        <v>20440</v>
      </c>
      <c r="P515" s="10" t="s">
        <v>614</v>
      </c>
      <c r="Q515" s="214">
        <f>'Приложение 9'!Q619</f>
        <v>10</v>
      </c>
      <c r="R515" s="214"/>
      <c r="S515" s="214"/>
    </row>
    <row r="516" spans="1:19" ht="22.5" customHeight="1">
      <c r="A516" s="99"/>
      <c r="B516" s="98"/>
      <c r="C516" s="103"/>
      <c r="D516" s="101"/>
      <c r="E516" s="104"/>
      <c r="F516" s="104"/>
      <c r="G516" s="89"/>
      <c r="H516" s="5" t="str">
        <f>'Приложение 9'!H620</f>
        <v>Иные закупки товаров, работ и услуг для обеспечения государственных (муниципальных) нужд</v>
      </c>
      <c r="I516" s="10">
        <f>'Приложение 9'!I620</f>
        <v>663</v>
      </c>
      <c r="J516" s="7">
        <f>'Приложение 9'!J620</f>
        <v>7</v>
      </c>
      <c r="K516" s="7">
        <f>'Приложение 9'!K620</f>
        <v>9</v>
      </c>
      <c r="L516" s="95" t="str">
        <f>'Приложение 9'!L620</f>
        <v>09</v>
      </c>
      <c r="M516" s="96" t="str">
        <f>'Приложение 9'!M620</f>
        <v>0</v>
      </c>
      <c r="N516" s="96" t="str">
        <f>'Приложение 9'!N620</f>
        <v>02</v>
      </c>
      <c r="O516" s="96" t="str">
        <f>'Приложение 9'!O620</f>
        <v>20440</v>
      </c>
      <c r="P516" s="10">
        <f>'Приложение 9'!P620</f>
        <v>240</v>
      </c>
      <c r="Q516" s="214">
        <f>'Приложение 9'!Q620</f>
        <v>10</v>
      </c>
      <c r="R516" s="214"/>
      <c r="S516" s="214"/>
    </row>
    <row r="517" spans="1:19" ht="39.75" customHeight="1">
      <c r="A517" s="99"/>
      <c r="B517" s="98"/>
      <c r="C517" s="103"/>
      <c r="D517" s="101"/>
      <c r="E517" s="104"/>
      <c r="F517" s="104"/>
      <c r="G517" s="89"/>
      <c r="H517" s="5" t="s">
        <v>680</v>
      </c>
      <c r="I517" s="10">
        <v>663</v>
      </c>
      <c r="J517" s="7">
        <v>7</v>
      </c>
      <c r="K517" s="7">
        <v>9</v>
      </c>
      <c r="L517" s="95" t="s">
        <v>681</v>
      </c>
      <c r="M517" s="96" t="s">
        <v>556</v>
      </c>
      <c r="N517" s="96" t="s">
        <v>576</v>
      </c>
      <c r="O517" s="96" t="s">
        <v>613</v>
      </c>
      <c r="P517" s="10"/>
      <c r="Q517" s="214">
        <f>Q518+Q521+Q525</f>
        <v>70.4</v>
      </c>
      <c r="R517" s="214">
        <f>R518+R521+R525</f>
        <v>162</v>
      </c>
      <c r="S517" s="214">
        <f>S518+S521+S525</f>
        <v>162</v>
      </c>
    </row>
    <row r="518" spans="1:19" ht="33.75" customHeight="1" hidden="1">
      <c r="A518" s="99"/>
      <c r="B518" s="98"/>
      <c r="C518" s="103"/>
      <c r="D518" s="101"/>
      <c r="E518" s="104"/>
      <c r="F518" s="104"/>
      <c r="G518" s="89"/>
      <c r="H518" s="5" t="s">
        <v>321</v>
      </c>
      <c r="I518" s="10">
        <v>663</v>
      </c>
      <c r="J518" s="7">
        <v>7</v>
      </c>
      <c r="K518" s="7">
        <v>9</v>
      </c>
      <c r="L518" s="95" t="s">
        <v>681</v>
      </c>
      <c r="M518" s="96" t="s">
        <v>556</v>
      </c>
      <c r="N518" s="96" t="s">
        <v>557</v>
      </c>
      <c r="O518" s="96" t="s">
        <v>613</v>
      </c>
      <c r="P518" s="10"/>
      <c r="Q518" s="214">
        <f aca="true" t="shared" si="31" ref="Q518:S519">Q519</f>
        <v>0</v>
      </c>
      <c r="R518" s="214">
        <f t="shared" si="31"/>
        <v>10</v>
      </c>
      <c r="S518" s="214">
        <f t="shared" si="31"/>
        <v>10</v>
      </c>
    </row>
    <row r="519" spans="1:19" ht="42" customHeight="1" hidden="1">
      <c r="A519" s="99"/>
      <c r="B519" s="98"/>
      <c r="C519" s="103"/>
      <c r="D519" s="101"/>
      <c r="E519" s="104"/>
      <c r="F519" s="104"/>
      <c r="G519" s="89"/>
      <c r="H519" s="5" t="s">
        <v>320</v>
      </c>
      <c r="I519" s="10">
        <v>663</v>
      </c>
      <c r="J519" s="7">
        <v>7</v>
      </c>
      <c r="K519" s="7">
        <v>9</v>
      </c>
      <c r="L519" s="95" t="s">
        <v>681</v>
      </c>
      <c r="M519" s="96" t="s">
        <v>556</v>
      </c>
      <c r="N519" s="96" t="s">
        <v>557</v>
      </c>
      <c r="O519" s="96" t="s">
        <v>293</v>
      </c>
      <c r="P519" s="10"/>
      <c r="Q519" s="214">
        <f t="shared" si="31"/>
        <v>0</v>
      </c>
      <c r="R519" s="214">
        <f t="shared" si="31"/>
        <v>10</v>
      </c>
      <c r="S519" s="214">
        <f t="shared" si="31"/>
        <v>10</v>
      </c>
    </row>
    <row r="520" spans="1:19" ht="28.5" customHeight="1" hidden="1">
      <c r="A520" s="99"/>
      <c r="B520" s="98"/>
      <c r="C520" s="103"/>
      <c r="D520" s="101"/>
      <c r="E520" s="104"/>
      <c r="F520" s="104"/>
      <c r="G520" s="89"/>
      <c r="H520" s="5" t="s">
        <v>712</v>
      </c>
      <c r="I520" s="10">
        <v>663</v>
      </c>
      <c r="J520" s="7">
        <v>7</v>
      </c>
      <c r="K520" s="7">
        <v>9</v>
      </c>
      <c r="L520" s="95" t="s">
        <v>681</v>
      </c>
      <c r="M520" s="96" t="s">
        <v>556</v>
      </c>
      <c r="N520" s="96" t="s">
        <v>557</v>
      </c>
      <c r="O520" s="96" t="s">
        <v>293</v>
      </c>
      <c r="P520" s="10">
        <v>240</v>
      </c>
      <c r="Q520" s="214">
        <f>'Приложение 9'!Q629</f>
        <v>0</v>
      </c>
      <c r="R520" s="214">
        <v>10</v>
      </c>
      <c r="S520" s="214">
        <v>10</v>
      </c>
    </row>
    <row r="521" spans="1:19" ht="37.5" customHeight="1" hidden="1">
      <c r="A521" s="99"/>
      <c r="B521" s="98"/>
      <c r="C521" s="103"/>
      <c r="D521" s="101"/>
      <c r="E521" s="104"/>
      <c r="F521" s="104"/>
      <c r="G521" s="89"/>
      <c r="H521" s="5" t="s">
        <v>679</v>
      </c>
      <c r="I521" s="10">
        <v>663</v>
      </c>
      <c r="J521" s="7">
        <v>7</v>
      </c>
      <c r="K521" s="7">
        <v>9</v>
      </c>
      <c r="L521" s="95" t="s">
        <v>681</v>
      </c>
      <c r="M521" s="96" t="s">
        <v>556</v>
      </c>
      <c r="N521" s="96" t="s">
        <v>581</v>
      </c>
      <c r="O521" s="96" t="s">
        <v>613</v>
      </c>
      <c r="P521" s="10"/>
      <c r="Q521" s="214">
        <f>Q522</f>
        <v>0</v>
      </c>
      <c r="R521" s="214">
        <f>R522</f>
        <v>77</v>
      </c>
      <c r="S521" s="214">
        <f>S522</f>
        <v>77</v>
      </c>
    </row>
    <row r="522" spans="1:19" ht="37.5" customHeight="1" hidden="1">
      <c r="A522" s="99"/>
      <c r="B522" s="98"/>
      <c r="C522" s="103"/>
      <c r="D522" s="101"/>
      <c r="E522" s="104"/>
      <c r="F522" s="104"/>
      <c r="G522" s="89"/>
      <c r="H522" s="5" t="s">
        <v>320</v>
      </c>
      <c r="I522" s="10">
        <v>663</v>
      </c>
      <c r="J522" s="7">
        <v>7</v>
      </c>
      <c r="K522" s="7">
        <v>9</v>
      </c>
      <c r="L522" s="95" t="s">
        <v>681</v>
      </c>
      <c r="M522" s="96" t="s">
        <v>556</v>
      </c>
      <c r="N522" s="96" t="s">
        <v>581</v>
      </c>
      <c r="O522" s="96" t="s">
        <v>293</v>
      </c>
      <c r="P522" s="10"/>
      <c r="Q522" s="214">
        <f>SUM(Q523:Q524)</f>
        <v>0</v>
      </c>
      <c r="R522" s="214">
        <f>SUM(R523:R524)</f>
        <v>77</v>
      </c>
      <c r="S522" s="214">
        <f>SUM(S523:S524)</f>
        <v>77</v>
      </c>
    </row>
    <row r="523" spans="1:19" ht="30" customHeight="1" hidden="1">
      <c r="A523" s="99"/>
      <c r="B523" s="98"/>
      <c r="C523" s="103"/>
      <c r="D523" s="101"/>
      <c r="E523" s="104"/>
      <c r="F523" s="104"/>
      <c r="G523" s="89"/>
      <c r="H523" s="5" t="s">
        <v>712</v>
      </c>
      <c r="I523" s="10">
        <v>663</v>
      </c>
      <c r="J523" s="7">
        <v>7</v>
      </c>
      <c r="K523" s="7">
        <v>9</v>
      </c>
      <c r="L523" s="95" t="s">
        <v>681</v>
      </c>
      <c r="M523" s="96" t="s">
        <v>556</v>
      </c>
      <c r="N523" s="96" t="s">
        <v>581</v>
      </c>
      <c r="O523" s="96" t="s">
        <v>293</v>
      </c>
      <c r="P523" s="10">
        <v>240</v>
      </c>
      <c r="Q523" s="214">
        <f>'Приложение 9'!Q632</f>
        <v>0</v>
      </c>
      <c r="R523" s="214">
        <v>7</v>
      </c>
      <c r="S523" s="214">
        <v>7</v>
      </c>
    </row>
    <row r="524" spans="1:19" ht="27" customHeight="1" hidden="1">
      <c r="A524" s="99"/>
      <c r="B524" s="98"/>
      <c r="C524" s="103"/>
      <c r="D524" s="101"/>
      <c r="E524" s="104"/>
      <c r="F524" s="104"/>
      <c r="G524" s="89"/>
      <c r="H524" s="5" t="s">
        <v>717</v>
      </c>
      <c r="I524" s="10">
        <v>663</v>
      </c>
      <c r="J524" s="7">
        <v>7</v>
      </c>
      <c r="K524" s="7">
        <v>9</v>
      </c>
      <c r="L524" s="95" t="s">
        <v>681</v>
      </c>
      <c r="M524" s="96" t="s">
        <v>556</v>
      </c>
      <c r="N524" s="96" t="s">
        <v>581</v>
      </c>
      <c r="O524" s="96" t="s">
        <v>293</v>
      </c>
      <c r="P524" s="10">
        <v>320</v>
      </c>
      <c r="Q524" s="214">
        <f>'Приложение 9'!Q633</f>
        <v>0</v>
      </c>
      <c r="R524" s="214">
        <v>70</v>
      </c>
      <c r="S524" s="214">
        <v>70</v>
      </c>
    </row>
    <row r="525" spans="1:19" ht="30" customHeight="1">
      <c r="A525" s="99"/>
      <c r="B525" s="98"/>
      <c r="C525" s="103"/>
      <c r="D525" s="101"/>
      <c r="E525" s="104"/>
      <c r="F525" s="104"/>
      <c r="G525" s="89"/>
      <c r="H525" s="5" t="s">
        <v>246</v>
      </c>
      <c r="I525" s="10">
        <v>663</v>
      </c>
      <c r="J525" s="7">
        <v>7</v>
      </c>
      <c r="K525" s="7">
        <v>9</v>
      </c>
      <c r="L525" s="95" t="s">
        <v>681</v>
      </c>
      <c r="M525" s="96" t="s">
        <v>556</v>
      </c>
      <c r="N525" s="96" t="s">
        <v>559</v>
      </c>
      <c r="O525" s="96" t="s">
        <v>613</v>
      </c>
      <c r="P525" s="10"/>
      <c r="Q525" s="214">
        <f aca="true" t="shared" si="32" ref="Q525:S526">Q526</f>
        <v>70.4</v>
      </c>
      <c r="R525" s="214">
        <f t="shared" si="32"/>
        <v>75</v>
      </c>
      <c r="S525" s="214">
        <f t="shared" si="32"/>
        <v>75</v>
      </c>
    </row>
    <row r="526" spans="1:19" ht="33" customHeight="1">
      <c r="A526" s="99"/>
      <c r="B526" s="98"/>
      <c r="C526" s="103"/>
      <c r="D526" s="101"/>
      <c r="E526" s="104"/>
      <c r="F526" s="104"/>
      <c r="G526" s="89"/>
      <c r="H526" s="5" t="s">
        <v>320</v>
      </c>
      <c r="I526" s="10">
        <v>663</v>
      </c>
      <c r="J526" s="7">
        <v>7</v>
      </c>
      <c r="K526" s="7">
        <v>9</v>
      </c>
      <c r="L526" s="95" t="s">
        <v>681</v>
      </c>
      <c r="M526" s="96" t="s">
        <v>556</v>
      </c>
      <c r="N526" s="96" t="s">
        <v>559</v>
      </c>
      <c r="O526" s="96" t="s">
        <v>293</v>
      </c>
      <c r="P526" s="10"/>
      <c r="Q526" s="214">
        <f t="shared" si="32"/>
        <v>70.4</v>
      </c>
      <c r="R526" s="214">
        <f t="shared" si="32"/>
        <v>75</v>
      </c>
      <c r="S526" s="214">
        <f t="shared" si="32"/>
        <v>75</v>
      </c>
    </row>
    <row r="527" spans="1:19" ht="30" customHeight="1">
      <c r="A527" s="99"/>
      <c r="B527" s="98"/>
      <c r="C527" s="103"/>
      <c r="D527" s="101"/>
      <c r="E527" s="104"/>
      <c r="F527" s="104"/>
      <c r="G527" s="89"/>
      <c r="H527" s="5" t="s">
        <v>717</v>
      </c>
      <c r="I527" s="10">
        <v>663</v>
      </c>
      <c r="J527" s="7">
        <v>7</v>
      </c>
      <c r="K527" s="7">
        <v>9</v>
      </c>
      <c r="L527" s="95" t="s">
        <v>681</v>
      </c>
      <c r="M527" s="96" t="s">
        <v>556</v>
      </c>
      <c r="N527" s="96" t="s">
        <v>559</v>
      </c>
      <c r="O527" s="96" t="s">
        <v>293</v>
      </c>
      <c r="P527" s="10">
        <v>320</v>
      </c>
      <c r="Q527" s="214">
        <f>'Приложение 9'!Q636</f>
        <v>70.4</v>
      </c>
      <c r="R527" s="214">
        <v>75</v>
      </c>
      <c r="S527" s="214">
        <v>75</v>
      </c>
    </row>
    <row r="528" spans="1:19" s="179" customFormat="1" ht="24.75" customHeight="1">
      <c r="A528" s="142"/>
      <c r="B528" s="143"/>
      <c r="C528" s="142"/>
      <c r="D528" s="385">
        <v>10000</v>
      </c>
      <c r="E528" s="386"/>
      <c r="F528" s="386"/>
      <c r="G528" s="136">
        <v>240</v>
      </c>
      <c r="H528" s="137" t="s">
        <v>535</v>
      </c>
      <c r="I528" s="138">
        <v>27</v>
      </c>
      <c r="J528" s="148">
        <v>8</v>
      </c>
      <c r="K528" s="148"/>
      <c r="L528" s="140"/>
      <c r="M528" s="141"/>
      <c r="N528" s="141"/>
      <c r="O528" s="141"/>
      <c r="P528" s="138"/>
      <c r="Q528" s="213">
        <f aca="true" t="shared" si="33" ref="Q528:S529">Q529</f>
        <v>40005.2</v>
      </c>
      <c r="R528" s="213">
        <f t="shared" si="33"/>
        <v>28683.5</v>
      </c>
      <c r="S528" s="213">
        <f t="shared" si="33"/>
        <v>26972.6</v>
      </c>
    </row>
    <row r="529" spans="1:19" s="179" customFormat="1" ht="25.5" customHeight="1">
      <c r="A529" s="142"/>
      <c r="B529" s="143"/>
      <c r="C529" s="153"/>
      <c r="D529" s="150"/>
      <c r="E529" s="384">
        <v>15200</v>
      </c>
      <c r="F529" s="384"/>
      <c r="G529" s="136">
        <v>240</v>
      </c>
      <c r="H529" s="137" t="s">
        <v>374</v>
      </c>
      <c r="I529" s="138">
        <v>27</v>
      </c>
      <c r="J529" s="148">
        <v>8</v>
      </c>
      <c r="K529" s="148">
        <v>1</v>
      </c>
      <c r="L529" s="140"/>
      <c r="M529" s="141"/>
      <c r="N529" s="141"/>
      <c r="O529" s="141"/>
      <c r="P529" s="138"/>
      <c r="Q529" s="213">
        <f t="shared" si="33"/>
        <v>40005.2</v>
      </c>
      <c r="R529" s="213">
        <f t="shared" si="33"/>
        <v>28683.5</v>
      </c>
      <c r="S529" s="213">
        <f t="shared" si="33"/>
        <v>26972.6</v>
      </c>
    </row>
    <row r="530" spans="1:19" ht="25.5" customHeight="1">
      <c r="A530" s="99"/>
      <c r="B530" s="98"/>
      <c r="C530" s="103"/>
      <c r="D530" s="101"/>
      <c r="E530" s="372">
        <v>20400</v>
      </c>
      <c r="F530" s="372"/>
      <c r="G530" s="89">
        <v>850</v>
      </c>
      <c r="H530" s="5" t="s">
        <v>658</v>
      </c>
      <c r="I530" s="10">
        <v>27</v>
      </c>
      <c r="J530" s="7">
        <v>8</v>
      </c>
      <c r="K530" s="7">
        <v>1</v>
      </c>
      <c r="L530" s="95" t="s">
        <v>659</v>
      </c>
      <c r="M530" s="96" t="s">
        <v>556</v>
      </c>
      <c r="N530" s="96" t="s">
        <v>576</v>
      </c>
      <c r="O530" s="96" t="s">
        <v>613</v>
      </c>
      <c r="P530" s="10"/>
      <c r="Q530" s="214">
        <f>Q531+Q542+Q547</f>
        <v>40005.2</v>
      </c>
      <c r="R530" s="214">
        <f>R531+R542+R547</f>
        <v>28683.5</v>
      </c>
      <c r="S530" s="214">
        <f>S531+S542+S547</f>
        <v>26972.6</v>
      </c>
    </row>
    <row r="531" spans="1:19" ht="39.75" customHeight="1">
      <c r="A531" s="99"/>
      <c r="B531" s="98"/>
      <c r="C531" s="103"/>
      <c r="D531" s="101"/>
      <c r="E531" s="113"/>
      <c r="F531" s="113"/>
      <c r="G531" s="105">
        <v>120</v>
      </c>
      <c r="H531" s="18" t="s">
        <v>294</v>
      </c>
      <c r="I531" s="6">
        <v>27</v>
      </c>
      <c r="J531" s="7">
        <v>8</v>
      </c>
      <c r="K531" s="7">
        <v>1</v>
      </c>
      <c r="L531" s="95" t="s">
        <v>659</v>
      </c>
      <c r="M531" s="96" t="s">
        <v>556</v>
      </c>
      <c r="N531" s="96" t="s">
        <v>557</v>
      </c>
      <c r="O531" s="96" t="s">
        <v>613</v>
      </c>
      <c r="P531" s="6"/>
      <c r="Q531" s="216">
        <f>Q532+Q538+Q540+Q536+Q534</f>
        <v>13174.1</v>
      </c>
      <c r="R531" s="216">
        <f>R532+R538+R540</f>
        <v>14682.6</v>
      </c>
      <c r="S531" s="216">
        <f>S532+S538+S540</f>
        <v>14521.6</v>
      </c>
    </row>
    <row r="532" spans="1:19" ht="25.5" customHeight="1">
      <c r="A532" s="99"/>
      <c r="B532" s="98"/>
      <c r="C532" s="103"/>
      <c r="D532" s="101"/>
      <c r="E532" s="113"/>
      <c r="F532" s="113"/>
      <c r="G532" s="105"/>
      <c r="H532" s="18" t="s">
        <v>296</v>
      </c>
      <c r="I532" s="10">
        <v>27</v>
      </c>
      <c r="J532" s="7">
        <v>8</v>
      </c>
      <c r="K532" s="7">
        <v>1</v>
      </c>
      <c r="L532" s="95" t="s">
        <v>659</v>
      </c>
      <c r="M532" s="96" t="s">
        <v>556</v>
      </c>
      <c r="N532" s="96" t="s">
        <v>557</v>
      </c>
      <c r="O532" s="96" t="s">
        <v>295</v>
      </c>
      <c r="P532" s="6"/>
      <c r="Q532" s="216">
        <f>Q533</f>
        <v>9865.6</v>
      </c>
      <c r="R532" s="216">
        <f>R533</f>
        <v>12161</v>
      </c>
      <c r="S532" s="216">
        <f>S533</f>
        <v>12000</v>
      </c>
    </row>
    <row r="533" spans="1:19" ht="24.75" customHeight="1">
      <c r="A533" s="99"/>
      <c r="B533" s="98"/>
      <c r="C533" s="103"/>
      <c r="D533" s="101"/>
      <c r="E533" s="113"/>
      <c r="F533" s="113"/>
      <c r="G533" s="105"/>
      <c r="H533" s="257" t="s">
        <v>714</v>
      </c>
      <c r="I533" s="10">
        <v>27</v>
      </c>
      <c r="J533" s="7">
        <v>8</v>
      </c>
      <c r="K533" s="7">
        <v>1</v>
      </c>
      <c r="L533" s="95" t="s">
        <v>659</v>
      </c>
      <c r="M533" s="96" t="s">
        <v>556</v>
      </c>
      <c r="N533" s="96" t="s">
        <v>557</v>
      </c>
      <c r="O533" s="96" t="s">
        <v>295</v>
      </c>
      <c r="P533" s="6">
        <v>610</v>
      </c>
      <c r="Q533" s="216">
        <f>'Приложение 9'!Q269</f>
        <v>9865.6</v>
      </c>
      <c r="R533" s="216">
        <v>12161</v>
      </c>
      <c r="S533" s="216">
        <v>12000</v>
      </c>
    </row>
    <row r="534" spans="1:19" ht="36.75" customHeight="1">
      <c r="A534" s="99"/>
      <c r="B534" s="98"/>
      <c r="C534" s="103"/>
      <c r="D534" s="101"/>
      <c r="E534" s="113"/>
      <c r="F534" s="113"/>
      <c r="G534" s="105"/>
      <c r="H534" s="257" t="str">
        <f>'Приложение 9'!H270</f>
        <v>Проведение мероприятий по подключению муниципальных общедоступных библиотек к информационно-телекоммуникационной сети "Интернет" и развитие системы библиотечного дела с учетом задачи расширения информационных технологий и оцифровки</v>
      </c>
      <c r="I534" s="10">
        <f>'Приложение 9'!I270</f>
        <v>27</v>
      </c>
      <c r="J534" s="7">
        <f>'Приложение 9'!J270</f>
        <v>8</v>
      </c>
      <c r="K534" s="7">
        <f>'Приложение 9'!K270</f>
        <v>1</v>
      </c>
      <c r="L534" s="95" t="str">
        <f>'Приложение 9'!L270</f>
        <v>34</v>
      </c>
      <c r="M534" s="96" t="str">
        <f>'Приложение 9'!M270</f>
        <v>0</v>
      </c>
      <c r="N534" s="96" t="str">
        <f>'Приложение 9'!N270</f>
        <v>01</v>
      </c>
      <c r="O534" s="96" t="str">
        <f>'Приложение 9'!O270</f>
        <v>L5192</v>
      </c>
      <c r="P534" s="6" t="s">
        <v>614</v>
      </c>
      <c r="Q534" s="216">
        <f>Q535</f>
        <v>41.900000000000006</v>
      </c>
      <c r="R534" s="216"/>
      <c r="S534" s="216"/>
    </row>
    <row r="535" spans="1:19" ht="24.75" customHeight="1">
      <c r="A535" s="99"/>
      <c r="B535" s="98"/>
      <c r="C535" s="103"/>
      <c r="D535" s="101"/>
      <c r="E535" s="113"/>
      <c r="F535" s="113"/>
      <c r="G535" s="105"/>
      <c r="H535" s="257" t="str">
        <f>'Приложение 9'!H271</f>
        <v>Субсидии бюджетным учреждениям</v>
      </c>
      <c r="I535" s="10">
        <f>'Приложение 9'!I271</f>
        <v>27</v>
      </c>
      <c r="J535" s="7">
        <f>'Приложение 9'!J271</f>
        <v>8</v>
      </c>
      <c r="K535" s="7">
        <f>'Приложение 9'!K271</f>
        <v>1</v>
      </c>
      <c r="L535" s="95" t="str">
        <f>'Приложение 9'!L271</f>
        <v>34</v>
      </c>
      <c r="M535" s="96" t="str">
        <f>'Приложение 9'!M271</f>
        <v>0</v>
      </c>
      <c r="N535" s="96" t="str">
        <f>'Приложение 9'!N271</f>
        <v>01</v>
      </c>
      <c r="O535" s="96" t="str">
        <f>'Приложение 9'!O271</f>
        <v>L5192</v>
      </c>
      <c r="P535" s="6">
        <f>'Приложение 9'!P271</f>
        <v>610</v>
      </c>
      <c r="Q535" s="216">
        <f>'Приложение 9'!Q271</f>
        <v>41.900000000000006</v>
      </c>
      <c r="R535" s="216"/>
      <c r="S535" s="216"/>
    </row>
    <row r="536" spans="1:19" ht="33" customHeight="1">
      <c r="A536" s="99"/>
      <c r="B536" s="98"/>
      <c r="C536" s="103"/>
      <c r="D536" s="101"/>
      <c r="E536" s="113"/>
      <c r="F536" s="113"/>
      <c r="G536" s="105"/>
      <c r="H536" s="257" t="str">
        <f>'Приложение 9'!H272</f>
        <v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v>
      </c>
      <c r="I536" s="10">
        <f>'Приложение 9'!I272</f>
        <v>27</v>
      </c>
      <c r="J536" s="7">
        <f>'Приложение 9'!J272</f>
        <v>8</v>
      </c>
      <c r="K536" s="7">
        <f>'Приложение 9'!K272</f>
        <v>1</v>
      </c>
      <c r="L536" s="95" t="str">
        <f>'Приложение 9'!L272</f>
        <v>34</v>
      </c>
      <c r="M536" s="96" t="str">
        <f>'Приложение 9'!M272</f>
        <v>0</v>
      </c>
      <c r="N536" s="96" t="str">
        <f>'Приложение 9'!N272</f>
        <v>01</v>
      </c>
      <c r="O536" s="96" t="str">
        <f>'Приложение 9'!O272</f>
        <v>70030</v>
      </c>
      <c r="P536" s="6" t="s">
        <v>614</v>
      </c>
      <c r="Q536" s="216">
        <f>'Приложение 9'!Q272</f>
        <v>1224.1</v>
      </c>
      <c r="R536" s="216"/>
      <c r="S536" s="216"/>
    </row>
    <row r="537" spans="1:19" ht="24.75" customHeight="1">
      <c r="A537" s="99"/>
      <c r="B537" s="98"/>
      <c r="C537" s="103"/>
      <c r="D537" s="101"/>
      <c r="E537" s="113"/>
      <c r="F537" s="113"/>
      <c r="G537" s="105"/>
      <c r="H537" s="257" t="str">
        <f>'Приложение 9'!H273</f>
        <v>Субсидии бюджетным учреждениям</v>
      </c>
      <c r="I537" s="10">
        <f>'Приложение 9'!I273</f>
        <v>27</v>
      </c>
      <c r="J537" s="7">
        <f>'Приложение 9'!J273</f>
        <v>8</v>
      </c>
      <c r="K537" s="7">
        <f>'Приложение 9'!K273</f>
        <v>1</v>
      </c>
      <c r="L537" s="95" t="str">
        <f>'Приложение 9'!L273</f>
        <v>34</v>
      </c>
      <c r="M537" s="96" t="str">
        <f>'Приложение 9'!M273</f>
        <v>0</v>
      </c>
      <c r="N537" s="96" t="str">
        <f>'Приложение 9'!N273</f>
        <v>01</v>
      </c>
      <c r="O537" s="96" t="str">
        <f>'Приложение 9'!O273</f>
        <v>70030</v>
      </c>
      <c r="P537" s="6">
        <f>'Приложение 9'!P273</f>
        <v>610</v>
      </c>
      <c r="Q537" s="216">
        <f>'Приложение 9'!Q273</f>
        <v>1224.1</v>
      </c>
      <c r="R537" s="216"/>
      <c r="S537" s="216"/>
    </row>
    <row r="538" spans="1:19" ht="24.75" customHeight="1">
      <c r="A538" s="99"/>
      <c r="B538" s="98"/>
      <c r="C538" s="103"/>
      <c r="D538" s="101"/>
      <c r="E538" s="113"/>
      <c r="F538" s="113"/>
      <c r="G538" s="105"/>
      <c r="H538" s="5" t="s">
        <v>805</v>
      </c>
      <c r="I538" s="10">
        <v>27</v>
      </c>
      <c r="J538" s="7">
        <v>8</v>
      </c>
      <c r="K538" s="7">
        <v>1</v>
      </c>
      <c r="L538" s="95" t="s">
        <v>659</v>
      </c>
      <c r="M538" s="96" t="s">
        <v>556</v>
      </c>
      <c r="N538" s="96" t="s">
        <v>557</v>
      </c>
      <c r="O538" s="96" t="s">
        <v>804</v>
      </c>
      <c r="P538" s="6"/>
      <c r="Q538" s="216">
        <f>Q539</f>
        <v>340</v>
      </c>
      <c r="R538" s="216">
        <f>R539</f>
        <v>340</v>
      </c>
      <c r="S538" s="216">
        <f>S539</f>
        <v>340</v>
      </c>
    </row>
    <row r="539" spans="1:19" ht="24" customHeight="1">
      <c r="A539" s="99"/>
      <c r="B539" s="98"/>
      <c r="C539" s="103"/>
      <c r="D539" s="101"/>
      <c r="E539" s="113"/>
      <c r="F539" s="113"/>
      <c r="G539" s="105"/>
      <c r="H539" s="257" t="s">
        <v>714</v>
      </c>
      <c r="I539" s="10">
        <v>27</v>
      </c>
      <c r="J539" s="7">
        <v>8</v>
      </c>
      <c r="K539" s="7">
        <v>1</v>
      </c>
      <c r="L539" s="95" t="s">
        <v>659</v>
      </c>
      <c r="M539" s="96" t="s">
        <v>556</v>
      </c>
      <c r="N539" s="96" t="s">
        <v>557</v>
      </c>
      <c r="O539" s="96" t="s">
        <v>804</v>
      </c>
      <c r="P539" s="6">
        <v>610</v>
      </c>
      <c r="Q539" s="216">
        <v>340</v>
      </c>
      <c r="R539" s="216">
        <v>340</v>
      </c>
      <c r="S539" s="216">
        <v>340</v>
      </c>
    </row>
    <row r="540" spans="1:19" ht="27" customHeight="1">
      <c r="A540" s="99"/>
      <c r="B540" s="98"/>
      <c r="C540" s="103"/>
      <c r="D540" s="101"/>
      <c r="E540" s="113"/>
      <c r="F540" s="113"/>
      <c r="G540" s="105"/>
      <c r="H540" s="5" t="s">
        <v>668</v>
      </c>
      <c r="I540" s="10">
        <v>27</v>
      </c>
      <c r="J540" s="7">
        <v>8</v>
      </c>
      <c r="K540" s="7">
        <v>1</v>
      </c>
      <c r="L540" s="95" t="s">
        <v>659</v>
      </c>
      <c r="M540" s="96" t="s">
        <v>556</v>
      </c>
      <c r="N540" s="96" t="s">
        <v>557</v>
      </c>
      <c r="O540" s="96" t="s">
        <v>6</v>
      </c>
      <c r="P540" s="6"/>
      <c r="Q540" s="216">
        <f>Q541</f>
        <v>1702.5</v>
      </c>
      <c r="R540" s="216">
        <f>R541</f>
        <v>2181.6</v>
      </c>
      <c r="S540" s="216">
        <f>S541</f>
        <v>2181.6</v>
      </c>
    </row>
    <row r="541" spans="1:19" ht="30" customHeight="1">
      <c r="A541" s="99"/>
      <c r="B541" s="98"/>
      <c r="C541" s="103"/>
      <c r="D541" s="101"/>
      <c r="E541" s="113"/>
      <c r="F541" s="113"/>
      <c r="G541" s="105"/>
      <c r="H541" s="257" t="s">
        <v>714</v>
      </c>
      <c r="I541" s="10">
        <v>27</v>
      </c>
      <c r="J541" s="7">
        <v>8</v>
      </c>
      <c r="K541" s="7">
        <v>1</v>
      </c>
      <c r="L541" s="95" t="s">
        <v>659</v>
      </c>
      <c r="M541" s="96" t="s">
        <v>556</v>
      </c>
      <c r="N541" s="96" t="s">
        <v>557</v>
      </c>
      <c r="O541" s="96" t="s">
        <v>6</v>
      </c>
      <c r="P541" s="6">
        <v>610</v>
      </c>
      <c r="Q541" s="216">
        <f>'Приложение 9'!Q277</f>
        <v>1702.5</v>
      </c>
      <c r="R541" s="216">
        <v>2181.6</v>
      </c>
      <c r="S541" s="216">
        <v>2181.6</v>
      </c>
    </row>
    <row r="542" spans="1:19" ht="32.25" customHeight="1">
      <c r="A542" s="99"/>
      <c r="B542" s="98"/>
      <c r="C542" s="103"/>
      <c r="D542" s="101"/>
      <c r="E542" s="113"/>
      <c r="F542" s="113"/>
      <c r="G542" s="105"/>
      <c r="H542" s="5" t="s">
        <v>669</v>
      </c>
      <c r="I542" s="10">
        <v>27</v>
      </c>
      <c r="J542" s="7">
        <v>8</v>
      </c>
      <c r="K542" s="7">
        <v>1</v>
      </c>
      <c r="L542" s="95" t="s">
        <v>659</v>
      </c>
      <c r="M542" s="96" t="s">
        <v>556</v>
      </c>
      <c r="N542" s="96" t="s">
        <v>585</v>
      </c>
      <c r="O542" s="96" t="s">
        <v>613</v>
      </c>
      <c r="P542" s="6"/>
      <c r="Q542" s="216">
        <f>Q543+Q545</f>
        <v>12142.6</v>
      </c>
      <c r="R542" s="216">
        <f aca="true" t="shared" si="34" ref="Q542:S543">R543</f>
        <v>14000.9</v>
      </c>
      <c r="S542" s="216">
        <f t="shared" si="34"/>
        <v>12451</v>
      </c>
    </row>
    <row r="543" spans="1:19" ht="33" customHeight="1">
      <c r="A543" s="99"/>
      <c r="B543" s="98"/>
      <c r="C543" s="103"/>
      <c r="D543" s="101"/>
      <c r="E543" s="113"/>
      <c r="F543" s="113"/>
      <c r="G543" s="105"/>
      <c r="H543" s="5" t="s">
        <v>255</v>
      </c>
      <c r="I543" s="10">
        <v>27</v>
      </c>
      <c r="J543" s="7">
        <v>8</v>
      </c>
      <c r="K543" s="7">
        <v>1</v>
      </c>
      <c r="L543" s="95" t="s">
        <v>659</v>
      </c>
      <c r="M543" s="96" t="s">
        <v>556</v>
      </c>
      <c r="N543" s="96" t="s">
        <v>585</v>
      </c>
      <c r="O543" s="96" t="s">
        <v>256</v>
      </c>
      <c r="P543" s="6"/>
      <c r="Q543" s="216">
        <f t="shared" si="34"/>
        <v>9469.6</v>
      </c>
      <c r="R543" s="216">
        <f t="shared" si="34"/>
        <v>14000.9</v>
      </c>
      <c r="S543" s="216">
        <f t="shared" si="34"/>
        <v>12451</v>
      </c>
    </row>
    <row r="544" spans="1:19" ht="27" customHeight="1">
      <c r="A544" s="99"/>
      <c r="B544" s="98"/>
      <c r="C544" s="103"/>
      <c r="D544" s="101"/>
      <c r="E544" s="113"/>
      <c r="F544" s="113"/>
      <c r="G544" s="105"/>
      <c r="H544" s="5" t="s">
        <v>714</v>
      </c>
      <c r="I544" s="10">
        <v>27</v>
      </c>
      <c r="J544" s="7">
        <v>8</v>
      </c>
      <c r="K544" s="7">
        <v>1</v>
      </c>
      <c r="L544" s="95" t="s">
        <v>659</v>
      </c>
      <c r="M544" s="96" t="s">
        <v>556</v>
      </c>
      <c r="N544" s="96" t="s">
        <v>585</v>
      </c>
      <c r="O544" s="96" t="s">
        <v>256</v>
      </c>
      <c r="P544" s="6">
        <v>610</v>
      </c>
      <c r="Q544" s="216">
        <f>'Приложение 9'!Q280</f>
        <v>9469.6</v>
      </c>
      <c r="R544" s="216">
        <v>14000.9</v>
      </c>
      <c r="S544" s="216">
        <v>12451</v>
      </c>
    </row>
    <row r="545" spans="1:19" ht="32.25" customHeight="1">
      <c r="A545" s="99"/>
      <c r="B545" s="98"/>
      <c r="C545" s="103"/>
      <c r="D545" s="101"/>
      <c r="E545" s="113"/>
      <c r="F545" s="113"/>
      <c r="G545" s="105"/>
      <c r="H545" s="5" t="str">
        <f>'Приложение 9'!H281</f>
        <v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v>
      </c>
      <c r="I545" s="10">
        <f>'Приложение 9'!I281</f>
        <v>27</v>
      </c>
      <c r="J545" s="7">
        <f>'Приложение 9'!J281</f>
        <v>8</v>
      </c>
      <c r="K545" s="7">
        <f>'Приложение 9'!K281</f>
        <v>1</v>
      </c>
      <c r="L545" s="95" t="str">
        <f>'Приложение 9'!L281</f>
        <v>34</v>
      </c>
      <c r="M545" s="96" t="str">
        <f>'Приложение 9'!M281</f>
        <v>0</v>
      </c>
      <c r="N545" s="96" t="str">
        <f>'Приложение 9'!N281</f>
        <v>02</v>
      </c>
      <c r="O545" s="96" t="str">
        <f>'Приложение 9'!O281</f>
        <v>70030</v>
      </c>
      <c r="P545" s="6" t="s">
        <v>614</v>
      </c>
      <c r="Q545" s="216">
        <f>'Приложение 9'!Q281</f>
        <v>2673</v>
      </c>
      <c r="R545" s="216"/>
      <c r="S545" s="216"/>
    </row>
    <row r="546" spans="1:19" ht="27" customHeight="1">
      <c r="A546" s="99"/>
      <c r="B546" s="98"/>
      <c r="C546" s="103"/>
      <c r="D546" s="101"/>
      <c r="E546" s="113"/>
      <c r="F546" s="113"/>
      <c r="G546" s="105"/>
      <c r="H546" s="5" t="str">
        <f>'Приложение 9'!H282</f>
        <v>Субсидии бюджетным учреждениям</v>
      </c>
      <c r="I546" s="10">
        <f>'Приложение 9'!I282</f>
        <v>27</v>
      </c>
      <c r="J546" s="7">
        <f>'Приложение 9'!J282</f>
        <v>8</v>
      </c>
      <c r="K546" s="7">
        <f>'Приложение 9'!K282</f>
        <v>1</v>
      </c>
      <c r="L546" s="95" t="str">
        <f>'Приложение 9'!L282</f>
        <v>34</v>
      </c>
      <c r="M546" s="96" t="str">
        <f>'Приложение 9'!M282</f>
        <v>0</v>
      </c>
      <c r="N546" s="96" t="str">
        <f>'Приложение 9'!N282</f>
        <v>02</v>
      </c>
      <c r="O546" s="96" t="str">
        <f>'Приложение 9'!O282</f>
        <v>70030</v>
      </c>
      <c r="P546" s="6">
        <f>'Приложение 9'!P282</f>
        <v>610</v>
      </c>
      <c r="Q546" s="216">
        <f>'Приложение 9'!Q282</f>
        <v>2673</v>
      </c>
      <c r="R546" s="216"/>
      <c r="S546" s="216"/>
    </row>
    <row r="547" spans="1:19" ht="42" customHeight="1">
      <c r="A547" s="99"/>
      <c r="B547" s="98"/>
      <c r="C547" s="103"/>
      <c r="D547" s="101"/>
      <c r="E547" s="113"/>
      <c r="F547" s="113"/>
      <c r="G547" s="105"/>
      <c r="H547" s="5" t="s">
        <v>361</v>
      </c>
      <c r="I547" s="10">
        <v>27</v>
      </c>
      <c r="J547" s="7">
        <v>8</v>
      </c>
      <c r="K547" s="7">
        <v>1</v>
      </c>
      <c r="L547" s="95" t="s">
        <v>659</v>
      </c>
      <c r="M547" s="96" t="s">
        <v>556</v>
      </c>
      <c r="N547" s="96" t="s">
        <v>586</v>
      </c>
      <c r="O547" s="96" t="s">
        <v>613</v>
      </c>
      <c r="P547" s="6"/>
      <c r="Q547" s="216">
        <f>Q550+Q553+Q555+Q548</f>
        <v>14688.5</v>
      </c>
      <c r="R547" s="216">
        <f>R550+R553+R556</f>
        <v>0</v>
      </c>
      <c r="S547" s="216">
        <f>S550+S553+S556</f>
        <v>0</v>
      </c>
    </row>
    <row r="548" spans="1:19" ht="27.75" customHeight="1">
      <c r="A548" s="99"/>
      <c r="B548" s="98"/>
      <c r="C548" s="103"/>
      <c r="D548" s="101"/>
      <c r="E548" s="113"/>
      <c r="F548" s="113"/>
      <c r="G548" s="105"/>
      <c r="H548" s="5" t="str">
        <f>'Приложение 9'!H284</f>
        <v>Учреждения культуры</v>
      </c>
      <c r="I548" s="10">
        <f>'Приложение 9'!I284</f>
        <v>27</v>
      </c>
      <c r="J548" s="7">
        <f>'Приложение 9'!J284</f>
        <v>8</v>
      </c>
      <c r="K548" s="7">
        <f>'Приложение 9'!K284</f>
        <v>1</v>
      </c>
      <c r="L548" s="95" t="str">
        <f>'Приложение 9'!L284</f>
        <v>34</v>
      </c>
      <c r="M548" s="96" t="str">
        <f>'Приложение 9'!M284</f>
        <v>0</v>
      </c>
      <c r="N548" s="96" t="str">
        <f>'Приложение 9'!N284</f>
        <v>03</v>
      </c>
      <c r="O548" s="96" t="str">
        <f>'Приложение 9'!O284</f>
        <v>01590</v>
      </c>
      <c r="P548" s="6" t="s">
        <v>614</v>
      </c>
      <c r="Q548" s="216">
        <f>Q549</f>
        <v>2010</v>
      </c>
      <c r="R548" s="216"/>
      <c r="S548" s="216"/>
    </row>
    <row r="549" spans="1:19" ht="29.25" customHeight="1">
      <c r="A549" s="99"/>
      <c r="B549" s="98"/>
      <c r="C549" s="103"/>
      <c r="D549" s="101"/>
      <c r="E549" s="113"/>
      <c r="F549" s="113"/>
      <c r="G549" s="105"/>
      <c r="H549" s="5" t="str">
        <f>'Приложение 9'!H285</f>
        <v>Субсидии бюджетным учреждениям</v>
      </c>
      <c r="I549" s="10">
        <f>'Приложение 9'!I285</f>
        <v>27</v>
      </c>
      <c r="J549" s="7">
        <f>'Приложение 9'!J285</f>
        <v>8</v>
      </c>
      <c r="K549" s="7">
        <f>'Приложение 9'!K285</f>
        <v>1</v>
      </c>
      <c r="L549" s="95" t="str">
        <f>'Приложение 9'!L285</f>
        <v>34</v>
      </c>
      <c r="M549" s="96" t="str">
        <f>'Приложение 9'!M285</f>
        <v>0</v>
      </c>
      <c r="N549" s="96" t="str">
        <f>'Приложение 9'!N285</f>
        <v>03</v>
      </c>
      <c r="O549" s="96" t="str">
        <f>'Приложение 9'!O285</f>
        <v>01590</v>
      </c>
      <c r="P549" s="6">
        <f>'Приложение 9'!P285</f>
        <v>610</v>
      </c>
      <c r="Q549" s="216">
        <f>'Приложение 9'!Q285</f>
        <v>2010</v>
      </c>
      <c r="R549" s="216"/>
      <c r="S549" s="216"/>
    </row>
    <row r="550" spans="1:19" ht="24" customHeight="1">
      <c r="A550" s="99"/>
      <c r="B550" s="98"/>
      <c r="C550" s="103"/>
      <c r="D550" s="101"/>
      <c r="E550" s="113"/>
      <c r="F550" s="113"/>
      <c r="G550" s="105"/>
      <c r="H550" s="5" t="s">
        <v>670</v>
      </c>
      <c r="I550" s="10">
        <v>27</v>
      </c>
      <c r="J550" s="7">
        <v>8</v>
      </c>
      <c r="K550" s="7">
        <v>1</v>
      </c>
      <c r="L550" s="95" t="s">
        <v>659</v>
      </c>
      <c r="M550" s="96" t="s">
        <v>556</v>
      </c>
      <c r="N550" s="96" t="s">
        <v>586</v>
      </c>
      <c r="O550" s="96" t="s">
        <v>667</v>
      </c>
      <c r="P550" s="6"/>
      <c r="Q550" s="216">
        <f>Q552+Q551</f>
        <v>105</v>
      </c>
      <c r="R550" s="216">
        <f>R552</f>
        <v>0</v>
      </c>
      <c r="S550" s="216">
        <f>S552</f>
        <v>0</v>
      </c>
    </row>
    <row r="551" spans="1:19" ht="24" customHeight="1">
      <c r="A551" s="99"/>
      <c r="B551" s="98"/>
      <c r="C551" s="103"/>
      <c r="D551" s="107"/>
      <c r="E551" s="104"/>
      <c r="F551" s="104"/>
      <c r="G551" s="105"/>
      <c r="H551" s="5" t="s">
        <v>849</v>
      </c>
      <c r="I551" s="10">
        <v>27</v>
      </c>
      <c r="J551" s="16">
        <v>8</v>
      </c>
      <c r="K551" s="16">
        <v>1</v>
      </c>
      <c r="L551" s="95" t="s">
        <v>659</v>
      </c>
      <c r="M551" s="96" t="s">
        <v>556</v>
      </c>
      <c r="N551" s="96" t="s">
        <v>586</v>
      </c>
      <c r="O551" s="96" t="s">
        <v>667</v>
      </c>
      <c r="P551" s="6">
        <v>350</v>
      </c>
      <c r="Q551" s="216">
        <v>35</v>
      </c>
      <c r="R551" s="216"/>
      <c r="S551" s="216"/>
    </row>
    <row r="552" spans="1:19" ht="27.75" customHeight="1">
      <c r="A552" s="99"/>
      <c r="B552" s="98"/>
      <c r="C552" s="103"/>
      <c r="D552" s="107"/>
      <c r="E552" s="104"/>
      <c r="F552" s="104"/>
      <c r="G552" s="105"/>
      <c r="H552" s="5" t="str">
        <f>'Приложение 9'!H288</f>
        <v>Субсидии бюджетным учреждениям</v>
      </c>
      <c r="I552" s="13">
        <v>27</v>
      </c>
      <c r="J552" s="7">
        <v>8</v>
      </c>
      <c r="K552" s="7">
        <v>1</v>
      </c>
      <c r="L552" s="95" t="s">
        <v>659</v>
      </c>
      <c r="M552" s="96" t="s">
        <v>556</v>
      </c>
      <c r="N552" s="96" t="s">
        <v>586</v>
      </c>
      <c r="O552" s="96" t="s">
        <v>667</v>
      </c>
      <c r="P552" s="6">
        <v>610</v>
      </c>
      <c r="Q552" s="216">
        <f>'Приложение 9'!Q288</f>
        <v>70</v>
      </c>
      <c r="R552" s="216">
        <v>0</v>
      </c>
      <c r="S552" s="216">
        <v>0</v>
      </c>
    </row>
    <row r="553" spans="1:19" ht="26.25" customHeight="1">
      <c r="A553" s="99"/>
      <c r="B553" s="98"/>
      <c r="C553" s="103"/>
      <c r="D553" s="107"/>
      <c r="E553" s="104"/>
      <c r="F553" s="104"/>
      <c r="G553" s="105"/>
      <c r="H553" s="5" t="s">
        <v>287</v>
      </c>
      <c r="I553" s="13">
        <v>27</v>
      </c>
      <c r="J553" s="7">
        <v>8</v>
      </c>
      <c r="K553" s="7">
        <v>1</v>
      </c>
      <c r="L553" s="95" t="s">
        <v>659</v>
      </c>
      <c r="M553" s="96" t="s">
        <v>556</v>
      </c>
      <c r="N553" s="96" t="s">
        <v>586</v>
      </c>
      <c r="O553" s="96" t="s">
        <v>288</v>
      </c>
      <c r="P553" s="6"/>
      <c r="Q553" s="216">
        <f>Q554</f>
        <v>10523</v>
      </c>
      <c r="R553" s="216">
        <f>R554</f>
        <v>0</v>
      </c>
      <c r="S553" s="216">
        <f>S554</f>
        <v>0</v>
      </c>
    </row>
    <row r="554" spans="1:19" ht="27.75" customHeight="1">
      <c r="A554" s="99"/>
      <c r="B554" s="98"/>
      <c r="C554" s="103"/>
      <c r="D554" s="109"/>
      <c r="E554" s="104"/>
      <c r="F554" s="104"/>
      <c r="G554" s="105">
        <v>850</v>
      </c>
      <c r="H554" s="18" t="s">
        <v>714</v>
      </c>
      <c r="I554" s="13">
        <v>27</v>
      </c>
      <c r="J554" s="7">
        <v>8</v>
      </c>
      <c r="K554" s="7">
        <v>1</v>
      </c>
      <c r="L554" s="95" t="s">
        <v>659</v>
      </c>
      <c r="M554" s="96" t="s">
        <v>556</v>
      </c>
      <c r="N554" s="96" t="s">
        <v>586</v>
      </c>
      <c r="O554" s="96" t="s">
        <v>288</v>
      </c>
      <c r="P554" s="6">
        <v>610</v>
      </c>
      <c r="Q554" s="216">
        <f>'Приложение 9'!Q290</f>
        <v>10523</v>
      </c>
      <c r="R554" s="216">
        <v>0</v>
      </c>
      <c r="S554" s="216">
        <v>0</v>
      </c>
    </row>
    <row r="555" spans="1:19" ht="27.75" customHeight="1">
      <c r="A555" s="99"/>
      <c r="B555" s="98"/>
      <c r="C555" s="97"/>
      <c r="D555" s="109"/>
      <c r="E555" s="104"/>
      <c r="F555" s="104"/>
      <c r="G555" s="89"/>
      <c r="H555" s="18" t="str">
        <f>'Приложение 9'!H291</f>
        <v>Основное мероприятие "Реализация регионального проекта "Культурная среда"</v>
      </c>
      <c r="I555" s="13">
        <f>'Приложение 9'!I291</f>
        <v>27</v>
      </c>
      <c r="J555" s="7">
        <f>'Приложение 9'!J291</f>
        <v>8</v>
      </c>
      <c r="K555" s="7">
        <f>'Приложение 9'!K291</f>
        <v>1</v>
      </c>
      <c r="L555" s="95" t="str">
        <f>'Приложение 9'!L291</f>
        <v>34</v>
      </c>
      <c r="M555" s="96" t="str">
        <f>'Приложение 9'!M291</f>
        <v>0</v>
      </c>
      <c r="N555" s="96" t="str">
        <f>'Приложение 9'!N291</f>
        <v>A1</v>
      </c>
      <c r="O555" s="96" t="str">
        <f>'Приложение 9'!O291</f>
        <v>00000</v>
      </c>
      <c r="P555" s="10" t="s">
        <v>614</v>
      </c>
      <c r="Q555" s="214">
        <f>Q556</f>
        <v>2050.5</v>
      </c>
      <c r="R555" s="216"/>
      <c r="S555" s="216"/>
    </row>
    <row r="556" spans="1:19" ht="33.75" customHeight="1">
      <c r="A556" s="99"/>
      <c r="B556" s="98"/>
      <c r="C556" s="97"/>
      <c r="D556" s="368">
        <v>4360000</v>
      </c>
      <c r="E556" s="369"/>
      <c r="F556" s="369"/>
      <c r="G556" s="89">
        <v>340</v>
      </c>
      <c r="H556" s="313" t="s">
        <v>789</v>
      </c>
      <c r="I556" s="10">
        <v>27</v>
      </c>
      <c r="J556" s="7">
        <v>8</v>
      </c>
      <c r="K556" s="7">
        <v>1</v>
      </c>
      <c r="L556" s="95" t="s">
        <v>659</v>
      </c>
      <c r="M556" s="96" t="s">
        <v>556</v>
      </c>
      <c r="N556" s="96" t="s">
        <v>93</v>
      </c>
      <c r="O556" s="96" t="s">
        <v>788</v>
      </c>
      <c r="P556" s="10"/>
      <c r="Q556" s="214">
        <f>Q557</f>
        <v>2050.5</v>
      </c>
      <c r="R556" s="214">
        <f>R557</f>
        <v>0</v>
      </c>
      <c r="S556" s="214">
        <f>S557</f>
        <v>0</v>
      </c>
    </row>
    <row r="557" spans="1:19" ht="20.25" customHeight="1">
      <c r="A557" s="99"/>
      <c r="B557" s="98"/>
      <c r="C557" s="97"/>
      <c r="D557" s="101"/>
      <c r="E557" s="100"/>
      <c r="F557" s="100"/>
      <c r="G557" s="89"/>
      <c r="H557" s="5" t="s">
        <v>714</v>
      </c>
      <c r="I557" s="13">
        <v>27</v>
      </c>
      <c r="J557" s="7">
        <v>8</v>
      </c>
      <c r="K557" s="7">
        <v>1</v>
      </c>
      <c r="L557" s="95" t="s">
        <v>659</v>
      </c>
      <c r="M557" s="96" t="s">
        <v>556</v>
      </c>
      <c r="N557" s="96" t="s">
        <v>93</v>
      </c>
      <c r="O557" s="96" t="s">
        <v>788</v>
      </c>
      <c r="P557" s="10">
        <v>610</v>
      </c>
      <c r="Q557" s="214">
        <f>'Приложение 9'!Q293</f>
        <v>2050.5</v>
      </c>
      <c r="R557" s="214">
        <v>0</v>
      </c>
      <c r="S557" s="214">
        <v>0</v>
      </c>
    </row>
    <row r="558" spans="1:19" s="179" customFormat="1" ht="21" customHeight="1">
      <c r="A558" s="142"/>
      <c r="B558" s="143"/>
      <c r="C558" s="153"/>
      <c r="D558" s="150"/>
      <c r="E558" s="154"/>
      <c r="F558" s="154"/>
      <c r="G558" s="155"/>
      <c r="H558" s="149" t="s">
        <v>615</v>
      </c>
      <c r="I558" s="138">
        <v>27</v>
      </c>
      <c r="J558" s="148">
        <v>9</v>
      </c>
      <c r="K558" s="148" t="s">
        <v>614</v>
      </c>
      <c r="L558" s="140"/>
      <c r="M558" s="141"/>
      <c r="N558" s="141"/>
      <c r="O558" s="141"/>
      <c r="P558" s="146"/>
      <c r="Q558" s="217">
        <f>Q559</f>
        <v>77.2</v>
      </c>
      <c r="R558" s="217">
        <f aca="true" t="shared" si="35" ref="R558:S560">R559</f>
        <v>74.5</v>
      </c>
      <c r="S558" s="217">
        <f t="shared" si="35"/>
        <v>74.5</v>
      </c>
    </row>
    <row r="559" spans="1:19" s="179" customFormat="1" ht="21" customHeight="1">
      <c r="A559" s="142"/>
      <c r="B559" s="143"/>
      <c r="C559" s="153"/>
      <c r="D559" s="150"/>
      <c r="E559" s="154"/>
      <c r="F559" s="154"/>
      <c r="G559" s="155"/>
      <c r="H559" s="149" t="s">
        <v>560</v>
      </c>
      <c r="I559" s="146">
        <v>27</v>
      </c>
      <c r="J559" s="148">
        <v>9</v>
      </c>
      <c r="K559" s="148">
        <v>7</v>
      </c>
      <c r="L559" s="139" t="s">
        <v>527</v>
      </c>
      <c r="M559" s="141" t="s">
        <v>527</v>
      </c>
      <c r="N559" s="141"/>
      <c r="O559" s="141" t="s">
        <v>527</v>
      </c>
      <c r="P559" s="146"/>
      <c r="Q559" s="213">
        <f>Q560</f>
        <v>77.2</v>
      </c>
      <c r="R559" s="213">
        <f t="shared" si="35"/>
        <v>74.5</v>
      </c>
      <c r="S559" s="213">
        <f t="shared" si="35"/>
        <v>74.5</v>
      </c>
    </row>
    <row r="560" spans="1:19" ht="48" customHeight="1">
      <c r="A560" s="99"/>
      <c r="B560" s="98"/>
      <c r="C560" s="103"/>
      <c r="D560" s="101"/>
      <c r="E560" s="113"/>
      <c r="F560" s="113"/>
      <c r="G560" s="105"/>
      <c r="H560" s="34" t="s">
        <v>711</v>
      </c>
      <c r="I560" s="6">
        <v>27</v>
      </c>
      <c r="J560" s="7">
        <v>9</v>
      </c>
      <c r="K560" s="7">
        <v>7</v>
      </c>
      <c r="L560" s="16">
        <v>91</v>
      </c>
      <c r="M560" s="96" t="s">
        <v>556</v>
      </c>
      <c r="N560" s="96" t="s">
        <v>576</v>
      </c>
      <c r="O560" s="96" t="s">
        <v>643</v>
      </c>
      <c r="P560" s="6"/>
      <c r="Q560" s="214">
        <f>Q561</f>
        <v>77.2</v>
      </c>
      <c r="R560" s="214">
        <f t="shared" si="35"/>
        <v>74.5</v>
      </c>
      <c r="S560" s="214">
        <f t="shared" si="35"/>
        <v>74.5</v>
      </c>
    </row>
    <row r="561" spans="1:19" ht="27" customHeight="1">
      <c r="A561" s="99"/>
      <c r="B561" s="98"/>
      <c r="C561" s="103"/>
      <c r="D561" s="101"/>
      <c r="E561" s="113"/>
      <c r="F561" s="113"/>
      <c r="G561" s="105"/>
      <c r="H561" s="34" t="s">
        <v>712</v>
      </c>
      <c r="I561" s="6">
        <v>27</v>
      </c>
      <c r="J561" s="7">
        <v>9</v>
      </c>
      <c r="K561" s="7">
        <v>7</v>
      </c>
      <c r="L561" s="16">
        <v>91</v>
      </c>
      <c r="M561" s="96" t="s">
        <v>556</v>
      </c>
      <c r="N561" s="96" t="s">
        <v>576</v>
      </c>
      <c r="O561" s="96" t="s">
        <v>643</v>
      </c>
      <c r="P561" s="6">
        <v>240</v>
      </c>
      <c r="Q561" s="214">
        <f>'Приложение 9'!Q297</f>
        <v>77.2</v>
      </c>
      <c r="R561" s="214">
        <v>74.5</v>
      </c>
      <c r="S561" s="214">
        <v>74.5</v>
      </c>
    </row>
    <row r="562" spans="1:19" s="179" customFormat="1" ht="24" customHeight="1">
      <c r="A562" s="142"/>
      <c r="B562" s="143"/>
      <c r="C562" s="153"/>
      <c r="D562" s="150"/>
      <c r="E562" s="154"/>
      <c r="F562" s="154"/>
      <c r="G562" s="155">
        <v>321</v>
      </c>
      <c r="H562" s="149" t="s">
        <v>534</v>
      </c>
      <c r="I562" s="152">
        <v>27</v>
      </c>
      <c r="J562" s="148">
        <v>10</v>
      </c>
      <c r="K562" s="148"/>
      <c r="L562" s="140"/>
      <c r="M562" s="141"/>
      <c r="N562" s="141"/>
      <c r="O562" s="141"/>
      <c r="P562" s="146"/>
      <c r="Q562" s="217">
        <f>Q563+Q566+Q590+Q585</f>
        <v>14222.6</v>
      </c>
      <c r="R562" s="217" t="e">
        <f>R563+R566+R590+R585</f>
        <v>#REF!</v>
      </c>
      <c r="S562" s="217" t="e">
        <f>S563+S566+S590+S585</f>
        <v>#REF!</v>
      </c>
    </row>
    <row r="563" spans="1:19" s="179" customFormat="1" ht="18.75" customHeight="1">
      <c r="A563" s="142"/>
      <c r="B563" s="143"/>
      <c r="C563" s="153"/>
      <c r="D563" s="150"/>
      <c r="E563" s="154"/>
      <c r="F563" s="154"/>
      <c r="G563" s="155">
        <v>612</v>
      </c>
      <c r="H563" s="149" t="s">
        <v>373</v>
      </c>
      <c r="I563" s="152">
        <v>27</v>
      </c>
      <c r="J563" s="148">
        <v>10</v>
      </c>
      <c r="K563" s="148">
        <v>1</v>
      </c>
      <c r="L563" s="140"/>
      <c r="M563" s="141"/>
      <c r="N563" s="141"/>
      <c r="O563" s="141"/>
      <c r="P563" s="146"/>
      <c r="Q563" s="217">
        <f aca="true" t="shared" si="36" ref="Q563:S564">Q564</f>
        <v>1849.5</v>
      </c>
      <c r="R563" s="217">
        <f t="shared" si="36"/>
        <v>2100</v>
      </c>
      <c r="S563" s="217">
        <f t="shared" si="36"/>
        <v>2100</v>
      </c>
    </row>
    <row r="564" spans="1:19" ht="30.75" customHeight="1">
      <c r="A564" s="99"/>
      <c r="B564" s="98"/>
      <c r="C564" s="103"/>
      <c r="D564" s="101"/>
      <c r="E564" s="372">
        <v>4360400</v>
      </c>
      <c r="F564" s="372"/>
      <c r="G564" s="89">
        <v>340</v>
      </c>
      <c r="H564" s="11" t="s">
        <v>297</v>
      </c>
      <c r="I564" s="6">
        <v>27</v>
      </c>
      <c r="J564" s="7">
        <v>10</v>
      </c>
      <c r="K564" s="7">
        <v>1</v>
      </c>
      <c r="L564" s="95" t="s">
        <v>573</v>
      </c>
      <c r="M564" s="96" t="s">
        <v>556</v>
      </c>
      <c r="N564" s="96" t="s">
        <v>576</v>
      </c>
      <c r="O564" s="96" t="s">
        <v>298</v>
      </c>
      <c r="P564" s="10"/>
      <c r="Q564" s="214">
        <f t="shared" si="36"/>
        <v>1849.5</v>
      </c>
      <c r="R564" s="214">
        <f t="shared" si="36"/>
        <v>2100</v>
      </c>
      <c r="S564" s="214">
        <f t="shared" si="36"/>
        <v>2100</v>
      </c>
    </row>
    <row r="565" spans="1:19" ht="30.75" customHeight="1">
      <c r="A565" s="99"/>
      <c r="B565" s="98"/>
      <c r="C565" s="103"/>
      <c r="D565" s="107"/>
      <c r="E565" s="104"/>
      <c r="F565" s="104"/>
      <c r="G565" s="89"/>
      <c r="H565" s="11" t="s">
        <v>717</v>
      </c>
      <c r="I565" s="6">
        <v>27</v>
      </c>
      <c r="J565" s="7">
        <v>10</v>
      </c>
      <c r="K565" s="7">
        <v>1</v>
      </c>
      <c r="L565" s="119" t="s">
        <v>573</v>
      </c>
      <c r="M565" s="120" t="s">
        <v>556</v>
      </c>
      <c r="N565" s="120" t="s">
        <v>576</v>
      </c>
      <c r="O565" s="120" t="s">
        <v>298</v>
      </c>
      <c r="P565" s="10">
        <v>320</v>
      </c>
      <c r="Q565" s="214">
        <f>'Приложение 9'!Q301</f>
        <v>1849.5</v>
      </c>
      <c r="R565" s="214">
        <v>2100</v>
      </c>
      <c r="S565" s="214">
        <v>2100</v>
      </c>
    </row>
    <row r="566" spans="1:19" s="179" customFormat="1" ht="27" customHeight="1">
      <c r="A566" s="142"/>
      <c r="B566" s="143"/>
      <c r="C566" s="142"/>
      <c r="D566" s="385">
        <v>4520000</v>
      </c>
      <c r="E566" s="385"/>
      <c r="F566" s="385"/>
      <c r="G566" s="136">
        <v>612</v>
      </c>
      <c r="H566" s="314" t="s">
        <v>533</v>
      </c>
      <c r="I566" s="138">
        <v>27</v>
      </c>
      <c r="J566" s="148">
        <v>10</v>
      </c>
      <c r="K566" s="148">
        <v>3</v>
      </c>
      <c r="L566" s="140"/>
      <c r="M566" s="141"/>
      <c r="N566" s="141"/>
      <c r="O566" s="246"/>
      <c r="P566" s="152"/>
      <c r="Q566" s="218">
        <f>Q570+Q574+Q567+Q579</f>
        <v>8318.6</v>
      </c>
      <c r="R566" s="218" t="e">
        <f>R570+R574</f>
        <v>#REF!</v>
      </c>
      <c r="S566" s="218" t="e">
        <f>S570+S574</f>
        <v>#REF!</v>
      </c>
    </row>
    <row r="567" spans="1:19" ht="54.75" customHeight="1">
      <c r="A567" s="110"/>
      <c r="B567" s="111"/>
      <c r="C567" s="106"/>
      <c r="D567" s="107"/>
      <c r="E567" s="104"/>
      <c r="F567" s="104"/>
      <c r="G567" s="105"/>
      <c r="H567" s="5" t="s">
        <v>511</v>
      </c>
      <c r="I567" s="6">
        <v>28</v>
      </c>
      <c r="J567" s="7">
        <v>10</v>
      </c>
      <c r="K567" s="7">
        <v>3</v>
      </c>
      <c r="L567" s="95" t="s">
        <v>586</v>
      </c>
      <c r="M567" s="96" t="s">
        <v>556</v>
      </c>
      <c r="N567" s="96" t="s">
        <v>586</v>
      </c>
      <c r="O567" s="96" t="s">
        <v>613</v>
      </c>
      <c r="P567" s="6"/>
      <c r="Q567" s="214">
        <f>Q568</f>
        <v>72</v>
      </c>
      <c r="R567" s="214"/>
      <c r="S567" s="214"/>
    </row>
    <row r="568" spans="1:19" ht="34.5" customHeight="1">
      <c r="A568" s="110"/>
      <c r="B568" s="111"/>
      <c r="C568" s="106"/>
      <c r="D568" s="107"/>
      <c r="E568" s="104"/>
      <c r="F568" s="104"/>
      <c r="G568" s="105"/>
      <c r="H568" s="5" t="s">
        <v>243</v>
      </c>
      <c r="I568" s="6">
        <v>28</v>
      </c>
      <c r="J568" s="7">
        <v>10</v>
      </c>
      <c r="K568" s="7">
        <v>3</v>
      </c>
      <c r="L568" s="95" t="s">
        <v>586</v>
      </c>
      <c r="M568" s="96" t="s">
        <v>556</v>
      </c>
      <c r="N568" s="96" t="s">
        <v>586</v>
      </c>
      <c r="O568" s="96" t="s">
        <v>244</v>
      </c>
      <c r="P568" s="6"/>
      <c r="Q568" s="214">
        <f>Q569</f>
        <v>72</v>
      </c>
      <c r="R568" s="214"/>
      <c r="S568" s="214"/>
    </row>
    <row r="569" spans="1:19" ht="24.75" customHeight="1">
      <c r="A569" s="110"/>
      <c r="B569" s="111"/>
      <c r="C569" s="106"/>
      <c r="D569" s="107"/>
      <c r="E569" s="104"/>
      <c r="F569" s="104"/>
      <c r="G569" s="105"/>
      <c r="H569" s="5" t="s">
        <v>716</v>
      </c>
      <c r="I569" s="6">
        <v>28</v>
      </c>
      <c r="J569" s="7">
        <v>10</v>
      </c>
      <c r="K569" s="7">
        <v>3</v>
      </c>
      <c r="L569" s="95" t="s">
        <v>586</v>
      </c>
      <c r="M569" s="96" t="s">
        <v>556</v>
      </c>
      <c r="N569" s="96" t="s">
        <v>586</v>
      </c>
      <c r="O569" s="96" t="s">
        <v>244</v>
      </c>
      <c r="P569" s="6">
        <v>310</v>
      </c>
      <c r="Q569" s="214">
        <v>72</v>
      </c>
      <c r="R569" s="214"/>
      <c r="S569" s="214"/>
    </row>
    <row r="570" spans="1:19" ht="27" customHeight="1">
      <c r="A570" s="99"/>
      <c r="B570" s="98"/>
      <c r="C570" s="97"/>
      <c r="D570" s="107"/>
      <c r="E570" s="102"/>
      <c r="F570" s="102"/>
      <c r="G570" s="89"/>
      <c r="H570" s="191" t="s">
        <v>662</v>
      </c>
      <c r="I570" s="25">
        <v>27</v>
      </c>
      <c r="J570" s="7">
        <v>10</v>
      </c>
      <c r="K570" s="7">
        <v>3</v>
      </c>
      <c r="L570" s="122" t="s">
        <v>661</v>
      </c>
      <c r="M570" s="123" t="s">
        <v>556</v>
      </c>
      <c r="N570" s="123" t="s">
        <v>576</v>
      </c>
      <c r="O570" s="123" t="s">
        <v>613</v>
      </c>
      <c r="P570" s="6"/>
      <c r="Q570" s="214">
        <f>Q571</f>
        <v>1021.8</v>
      </c>
      <c r="R570" s="214">
        <f aca="true" t="shared" si="37" ref="R570:S572">R571</f>
        <v>170.5</v>
      </c>
      <c r="S570" s="214">
        <f t="shared" si="37"/>
        <v>169.9</v>
      </c>
    </row>
    <row r="571" spans="1:19" ht="29.25" customHeight="1">
      <c r="A571" s="99"/>
      <c r="B571" s="98"/>
      <c r="C571" s="97"/>
      <c r="D571" s="107"/>
      <c r="E571" s="102"/>
      <c r="F571" s="102"/>
      <c r="G571" s="89"/>
      <c r="H571" s="191" t="s">
        <v>671</v>
      </c>
      <c r="I571" s="25">
        <v>27</v>
      </c>
      <c r="J571" s="7">
        <v>10</v>
      </c>
      <c r="K571" s="7">
        <v>3</v>
      </c>
      <c r="L571" s="122" t="s">
        <v>661</v>
      </c>
      <c r="M571" s="123" t="s">
        <v>556</v>
      </c>
      <c r="N571" s="123" t="s">
        <v>581</v>
      </c>
      <c r="O571" s="123" t="s">
        <v>613</v>
      </c>
      <c r="P571" s="6"/>
      <c r="Q571" s="214">
        <f>Q572</f>
        <v>1021.8</v>
      </c>
      <c r="R571" s="214">
        <f t="shared" si="37"/>
        <v>170.5</v>
      </c>
      <c r="S571" s="214">
        <f t="shared" si="37"/>
        <v>169.9</v>
      </c>
    </row>
    <row r="572" spans="1:19" ht="21.75" customHeight="1">
      <c r="A572" s="99"/>
      <c r="B572" s="98"/>
      <c r="C572" s="97"/>
      <c r="D572" s="107"/>
      <c r="E572" s="102"/>
      <c r="F572" s="102"/>
      <c r="G572" s="89"/>
      <c r="H572" s="191" t="s">
        <v>672</v>
      </c>
      <c r="I572" s="25">
        <v>27</v>
      </c>
      <c r="J572" s="7">
        <v>10</v>
      </c>
      <c r="K572" s="7">
        <v>3</v>
      </c>
      <c r="L572" s="122" t="s">
        <v>661</v>
      </c>
      <c r="M572" s="123" t="s">
        <v>556</v>
      </c>
      <c r="N572" s="123" t="s">
        <v>581</v>
      </c>
      <c r="O572" s="123" t="s">
        <v>265</v>
      </c>
      <c r="P572" s="6"/>
      <c r="Q572" s="214">
        <f>Q573</f>
        <v>1021.8</v>
      </c>
      <c r="R572" s="214">
        <f t="shared" si="37"/>
        <v>170.5</v>
      </c>
      <c r="S572" s="214">
        <f t="shared" si="37"/>
        <v>169.9</v>
      </c>
    </row>
    <row r="573" spans="1:19" ht="29.25" customHeight="1">
      <c r="A573" s="99"/>
      <c r="B573" s="98"/>
      <c r="C573" s="97"/>
      <c r="D573" s="107"/>
      <c r="E573" s="102"/>
      <c r="F573" s="102"/>
      <c r="G573" s="89"/>
      <c r="H573" s="34" t="s">
        <v>717</v>
      </c>
      <c r="I573" s="25">
        <v>27</v>
      </c>
      <c r="J573" s="7">
        <v>10</v>
      </c>
      <c r="K573" s="7">
        <v>3</v>
      </c>
      <c r="L573" s="122" t="s">
        <v>661</v>
      </c>
      <c r="M573" s="123" t="s">
        <v>556</v>
      </c>
      <c r="N573" s="123" t="s">
        <v>581</v>
      </c>
      <c r="O573" s="123" t="s">
        <v>265</v>
      </c>
      <c r="P573" s="6">
        <v>320</v>
      </c>
      <c r="Q573" s="214">
        <f>'Приложение 9'!Q306</f>
        <v>1021.8</v>
      </c>
      <c r="R573" s="214">
        <v>170.5</v>
      </c>
      <c r="S573" s="214">
        <v>169.9</v>
      </c>
    </row>
    <row r="574" spans="1:19" ht="29.25" customHeight="1">
      <c r="A574" s="99"/>
      <c r="B574" s="98"/>
      <c r="C574" s="97"/>
      <c r="D574" s="107"/>
      <c r="E574" s="102"/>
      <c r="F574" s="102"/>
      <c r="G574" s="89"/>
      <c r="H574" s="34" t="s">
        <v>292</v>
      </c>
      <c r="I574" s="25">
        <v>27</v>
      </c>
      <c r="J574" s="7">
        <v>10</v>
      </c>
      <c r="K574" s="7">
        <v>3</v>
      </c>
      <c r="L574" s="122" t="s">
        <v>573</v>
      </c>
      <c r="M574" s="123" t="s">
        <v>556</v>
      </c>
      <c r="N574" s="123" t="s">
        <v>576</v>
      </c>
      <c r="O574" s="123" t="s">
        <v>613</v>
      </c>
      <c r="P574" s="6"/>
      <c r="Q574" s="216">
        <f>Q575+Q577+Q583</f>
        <v>2310</v>
      </c>
      <c r="R574" s="216" t="e">
        <f>R575+R577+R583+R581+#REF!</f>
        <v>#REF!</v>
      </c>
      <c r="S574" s="216" t="e">
        <f>S575+S577+S583+S581+#REF!</f>
        <v>#REF!</v>
      </c>
    </row>
    <row r="575" spans="1:19" ht="57.75" customHeight="1">
      <c r="A575" s="99"/>
      <c r="B575" s="98"/>
      <c r="C575" s="97"/>
      <c r="D575" s="368">
        <v>5220000</v>
      </c>
      <c r="E575" s="369"/>
      <c r="F575" s="369"/>
      <c r="G575" s="89">
        <v>612</v>
      </c>
      <c r="H575" s="11" t="s">
        <v>532</v>
      </c>
      <c r="I575" s="6">
        <v>27</v>
      </c>
      <c r="J575" s="7">
        <v>10</v>
      </c>
      <c r="K575" s="7">
        <v>3</v>
      </c>
      <c r="L575" s="95" t="s">
        <v>573</v>
      </c>
      <c r="M575" s="96" t="s">
        <v>556</v>
      </c>
      <c r="N575" s="96" t="s">
        <v>576</v>
      </c>
      <c r="O575" s="124" t="s">
        <v>644</v>
      </c>
      <c r="P575" s="8"/>
      <c r="Q575" s="216">
        <f>Q576</f>
        <v>1294</v>
      </c>
      <c r="R575" s="216">
        <f>R576</f>
        <v>1273.5</v>
      </c>
      <c r="S575" s="216">
        <f>S576</f>
        <v>1273.5</v>
      </c>
    </row>
    <row r="576" spans="1:19" ht="28.5" customHeight="1">
      <c r="A576" s="99"/>
      <c r="B576" s="98"/>
      <c r="C576" s="97"/>
      <c r="D576" s="101"/>
      <c r="E576" s="100"/>
      <c r="F576" s="100"/>
      <c r="G576" s="89"/>
      <c r="H576" s="11" t="s">
        <v>717</v>
      </c>
      <c r="I576" s="6">
        <v>27</v>
      </c>
      <c r="J576" s="7">
        <v>10</v>
      </c>
      <c r="K576" s="7">
        <v>3</v>
      </c>
      <c r="L576" s="95" t="s">
        <v>573</v>
      </c>
      <c r="M576" s="96" t="s">
        <v>556</v>
      </c>
      <c r="N576" s="96" t="s">
        <v>576</v>
      </c>
      <c r="O576" s="124" t="s">
        <v>644</v>
      </c>
      <c r="P576" s="13">
        <v>320</v>
      </c>
      <c r="Q576" s="214">
        <f>'Приложение 9'!Q309</f>
        <v>1294</v>
      </c>
      <c r="R576" s="214">
        <v>1273.5</v>
      </c>
      <c r="S576" s="214">
        <v>1273.5</v>
      </c>
    </row>
    <row r="577" spans="1:19" ht="42" customHeight="1">
      <c r="A577" s="99"/>
      <c r="B577" s="98"/>
      <c r="C577" s="103"/>
      <c r="D577" s="101"/>
      <c r="E577" s="113"/>
      <c r="F577" s="113"/>
      <c r="G577" s="89"/>
      <c r="H577" s="11" t="s">
        <v>290</v>
      </c>
      <c r="I577" s="10">
        <v>27</v>
      </c>
      <c r="J577" s="7">
        <v>10</v>
      </c>
      <c r="K577" s="7">
        <v>3</v>
      </c>
      <c r="L577" s="95" t="s">
        <v>573</v>
      </c>
      <c r="M577" s="96" t="s">
        <v>556</v>
      </c>
      <c r="N577" s="96" t="s">
        <v>576</v>
      </c>
      <c r="O577" s="96" t="s">
        <v>289</v>
      </c>
      <c r="P577" s="10"/>
      <c r="Q577" s="214">
        <f>Q578</f>
        <v>642</v>
      </c>
      <c r="R577" s="214">
        <f>R578</f>
        <v>636.8</v>
      </c>
      <c r="S577" s="214">
        <f>S578</f>
        <v>636.8</v>
      </c>
    </row>
    <row r="578" spans="1:19" ht="32.25" customHeight="1">
      <c r="A578" s="99"/>
      <c r="B578" s="98"/>
      <c r="C578" s="103"/>
      <c r="D578" s="101"/>
      <c r="E578" s="113"/>
      <c r="F578" s="113"/>
      <c r="G578" s="89"/>
      <c r="H578" s="11" t="s">
        <v>717</v>
      </c>
      <c r="I578" s="10">
        <v>27</v>
      </c>
      <c r="J578" s="7">
        <v>10</v>
      </c>
      <c r="K578" s="7">
        <v>3</v>
      </c>
      <c r="L578" s="95" t="s">
        <v>573</v>
      </c>
      <c r="M578" s="96" t="s">
        <v>556</v>
      </c>
      <c r="N578" s="96" t="s">
        <v>576</v>
      </c>
      <c r="O578" s="96" t="s">
        <v>289</v>
      </c>
      <c r="P578" s="10">
        <v>320</v>
      </c>
      <c r="Q578" s="214">
        <f>'Приложение 9'!Q311</f>
        <v>642</v>
      </c>
      <c r="R578" s="239">
        <v>636.8</v>
      </c>
      <c r="S578" s="239">
        <v>636.8</v>
      </c>
    </row>
    <row r="579" spans="1:19" ht="32.25" customHeight="1">
      <c r="A579" s="99"/>
      <c r="B579" s="98"/>
      <c r="C579" s="103"/>
      <c r="D579" s="101"/>
      <c r="E579" s="113"/>
      <c r="F579" s="113"/>
      <c r="G579" s="89"/>
      <c r="H579" s="11" t="str">
        <f>'Приложение 9'!H702</f>
        <v>Муниципальная программа «Управление и распоряжение муниципальным имуществом Белозерского муниципального района на 2020-2025 годы»</v>
      </c>
      <c r="I579" s="10">
        <f>'Приложение 9'!I702</f>
        <v>664</v>
      </c>
      <c r="J579" s="7">
        <f>'Приложение 9'!J702</f>
        <v>10</v>
      </c>
      <c r="K579" s="7">
        <f>'Приложение 9'!K702</f>
        <v>3</v>
      </c>
      <c r="L579" s="95" t="str">
        <f>'Приложение 9'!L702</f>
        <v>48</v>
      </c>
      <c r="M579" s="96" t="str">
        <f>'Приложение 9'!M702</f>
        <v>0</v>
      </c>
      <c r="N579" s="96" t="str">
        <f>'Приложение 9'!N702</f>
        <v>00</v>
      </c>
      <c r="O579" s="96" t="str">
        <f>'Приложение 9'!O702</f>
        <v>00000</v>
      </c>
      <c r="P579" s="10" t="s">
        <v>614</v>
      </c>
      <c r="Q579" s="214">
        <f>Q580</f>
        <v>4914.8</v>
      </c>
      <c r="R579" s="239"/>
      <c r="S579" s="239"/>
    </row>
    <row r="580" spans="1:19" ht="32.25" customHeight="1">
      <c r="A580" s="99"/>
      <c r="B580" s="98"/>
      <c r="C580" s="103"/>
      <c r="D580" s="101"/>
      <c r="E580" s="113"/>
      <c r="F580" s="113"/>
      <c r="G580" s="89"/>
      <c r="H580" s="11" t="str">
        <f>'Приложение 9'!H703</f>
        <v>Основное мероприятие «Реализация регионального проекта «Финансовая поддержка семей при рождении детей» в части организации и предоставления денежной выплаты взамен предоставления земельного участка гражданам, имеющих трех и более детей»</v>
      </c>
      <c r="I580" s="10">
        <f>'Приложение 9'!I703</f>
        <v>664</v>
      </c>
      <c r="J580" s="7">
        <f>'Приложение 9'!J703</f>
        <v>10</v>
      </c>
      <c r="K580" s="7">
        <f>'Приложение 9'!K703</f>
        <v>3</v>
      </c>
      <c r="L580" s="95" t="str">
        <f>'Приложение 9'!L703</f>
        <v>48</v>
      </c>
      <c r="M580" s="96" t="str">
        <f>'Приложение 9'!M703</f>
        <v>0</v>
      </c>
      <c r="N580" s="96" t="str">
        <f>'Приложение 9'!N703</f>
        <v>Р1</v>
      </c>
      <c r="O580" s="96" t="str">
        <f>'Приложение 9'!O703</f>
        <v>00000</v>
      </c>
      <c r="P580" s="10" t="s">
        <v>614</v>
      </c>
      <c r="Q580" s="214">
        <f>Q581</f>
        <v>4914.8</v>
      </c>
      <c r="R580" s="239"/>
      <c r="S580" s="239"/>
    </row>
    <row r="581" spans="1:19" ht="51" customHeight="1">
      <c r="A581" s="99"/>
      <c r="B581" s="98"/>
      <c r="C581" s="103"/>
      <c r="D581" s="101"/>
      <c r="E581" s="113"/>
      <c r="F581" s="113"/>
      <c r="G581" s="89"/>
      <c r="H581" s="11" t="str">
        <f>'Приложение 9'!H704</f>
        <v>Осуществление отдельных государственных полномочий в соответствии с законом области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v>
      </c>
      <c r="I581" s="10">
        <f>'Приложение 9'!I704</f>
        <v>664</v>
      </c>
      <c r="J581" s="7">
        <f>'Приложение 9'!J704</f>
        <v>10</v>
      </c>
      <c r="K581" s="7">
        <f>'Приложение 9'!K704</f>
        <v>3</v>
      </c>
      <c r="L581" s="95" t="str">
        <f>'Приложение 9'!L704</f>
        <v>48</v>
      </c>
      <c r="M581" s="96" t="str">
        <f>'Приложение 9'!M704</f>
        <v>0</v>
      </c>
      <c r="N581" s="96" t="str">
        <f>'Приложение 9'!N704</f>
        <v>P1</v>
      </c>
      <c r="O581" s="96" t="str">
        <f>'Приложение 9'!O704</f>
        <v>72300</v>
      </c>
      <c r="P581" s="10" t="s">
        <v>614</v>
      </c>
      <c r="Q581" s="214">
        <f>Q582</f>
        <v>4914.8</v>
      </c>
      <c r="R581" s="214">
        <f>R582</f>
        <v>4914.8</v>
      </c>
      <c r="S581" s="214">
        <f>S582</f>
        <v>4914.8</v>
      </c>
    </row>
    <row r="582" spans="1:19" ht="27" customHeight="1">
      <c r="A582" s="99"/>
      <c r="B582" s="98"/>
      <c r="C582" s="103"/>
      <c r="D582" s="101"/>
      <c r="E582" s="113"/>
      <c r="F582" s="113"/>
      <c r="G582" s="89"/>
      <c r="H582" s="11" t="str">
        <f>'Приложение 9'!H705</f>
        <v>Социальные выплаты гражданам, кроме публичных нормативных социальных выплат</v>
      </c>
      <c r="I582" s="10">
        <f>'Приложение 9'!I705</f>
        <v>664</v>
      </c>
      <c r="J582" s="7">
        <f>'Приложение 9'!J705</f>
        <v>10</v>
      </c>
      <c r="K582" s="7">
        <f>'Приложение 9'!K705</f>
        <v>3</v>
      </c>
      <c r="L582" s="95" t="str">
        <f>'Приложение 9'!L705</f>
        <v>48</v>
      </c>
      <c r="M582" s="96" t="str">
        <f>'Приложение 9'!M705</f>
        <v>0</v>
      </c>
      <c r="N582" s="96" t="str">
        <f>'Приложение 9'!N705</f>
        <v>P1</v>
      </c>
      <c r="O582" s="96" t="str">
        <f>'Приложение 9'!O705</f>
        <v>72300</v>
      </c>
      <c r="P582" s="10">
        <f>'Приложение 9'!P705</f>
        <v>320</v>
      </c>
      <c r="Q582" s="214">
        <f>'Приложение 9'!Q705</f>
        <v>4914.8</v>
      </c>
      <c r="R582" s="239">
        <v>4914.8</v>
      </c>
      <c r="S582" s="239">
        <v>4914.8</v>
      </c>
    </row>
    <row r="583" spans="1:19" ht="27" customHeight="1">
      <c r="A583" s="99"/>
      <c r="B583" s="98"/>
      <c r="C583" s="103"/>
      <c r="D583" s="101"/>
      <c r="E583" s="113"/>
      <c r="F583" s="113"/>
      <c r="G583" s="89"/>
      <c r="H583" s="5" t="s">
        <v>300</v>
      </c>
      <c r="I583" s="6">
        <v>27</v>
      </c>
      <c r="J583" s="7">
        <v>10</v>
      </c>
      <c r="K583" s="7">
        <v>3</v>
      </c>
      <c r="L583" s="95" t="s">
        <v>573</v>
      </c>
      <c r="M583" s="96" t="s">
        <v>556</v>
      </c>
      <c r="N583" s="96" t="s">
        <v>576</v>
      </c>
      <c r="O583" s="96" t="s">
        <v>299</v>
      </c>
      <c r="P583" s="6"/>
      <c r="Q583" s="214">
        <f>Q584</f>
        <v>374</v>
      </c>
      <c r="R583" s="214">
        <f>R584</f>
        <v>380</v>
      </c>
      <c r="S583" s="214">
        <f>S584</f>
        <v>380</v>
      </c>
    </row>
    <row r="584" spans="1:19" ht="27" customHeight="1">
      <c r="A584" s="99"/>
      <c r="B584" s="98"/>
      <c r="C584" s="103"/>
      <c r="D584" s="101"/>
      <c r="E584" s="113"/>
      <c r="F584" s="113"/>
      <c r="G584" s="89"/>
      <c r="H584" s="5" t="s">
        <v>716</v>
      </c>
      <c r="I584" s="8">
        <v>27</v>
      </c>
      <c r="J584" s="7">
        <v>10</v>
      </c>
      <c r="K584" s="7">
        <v>3</v>
      </c>
      <c r="L584" s="95" t="s">
        <v>573</v>
      </c>
      <c r="M584" s="96" t="s">
        <v>556</v>
      </c>
      <c r="N584" s="96" t="s">
        <v>576</v>
      </c>
      <c r="O584" s="96" t="s">
        <v>299</v>
      </c>
      <c r="P584" s="6">
        <v>310</v>
      </c>
      <c r="Q584" s="214">
        <v>374</v>
      </c>
      <c r="R584" s="214">
        <v>380</v>
      </c>
      <c r="S584" s="214">
        <v>380</v>
      </c>
    </row>
    <row r="585" spans="1:19" s="179" customFormat="1" ht="18.75" customHeight="1">
      <c r="A585" s="142"/>
      <c r="B585" s="143"/>
      <c r="C585" s="153"/>
      <c r="D585" s="150"/>
      <c r="E585" s="384">
        <v>3150300</v>
      </c>
      <c r="F585" s="384"/>
      <c r="G585" s="136">
        <v>850</v>
      </c>
      <c r="H585" s="137" t="s">
        <v>370</v>
      </c>
      <c r="I585" s="138">
        <v>663</v>
      </c>
      <c r="J585" s="148">
        <v>10</v>
      </c>
      <c r="K585" s="148">
        <v>4</v>
      </c>
      <c r="L585" s="140" t="s">
        <v>527</v>
      </c>
      <c r="M585" s="141" t="s">
        <v>527</v>
      </c>
      <c r="N585" s="141"/>
      <c r="O585" s="141" t="s">
        <v>527</v>
      </c>
      <c r="P585" s="138" t="s">
        <v>527</v>
      </c>
      <c r="Q585" s="213">
        <f>Q586</f>
        <v>2705</v>
      </c>
      <c r="R585" s="213" t="e">
        <f>R586+#REF!</f>
        <v>#REF!</v>
      </c>
      <c r="S585" s="213" t="e">
        <f>S586+#REF!</f>
        <v>#REF!</v>
      </c>
    </row>
    <row r="586" spans="1:19" ht="22.5" customHeight="1">
      <c r="A586" s="99"/>
      <c r="B586" s="98"/>
      <c r="C586" s="103"/>
      <c r="D586" s="101"/>
      <c r="E586" s="372">
        <v>5221300</v>
      </c>
      <c r="F586" s="372"/>
      <c r="G586" s="89">
        <v>410</v>
      </c>
      <c r="H586" s="11" t="s">
        <v>264</v>
      </c>
      <c r="I586" s="10">
        <v>663</v>
      </c>
      <c r="J586" s="7">
        <v>10</v>
      </c>
      <c r="K586" s="7">
        <v>4</v>
      </c>
      <c r="L586" s="95" t="s">
        <v>588</v>
      </c>
      <c r="M586" s="96" t="s">
        <v>556</v>
      </c>
      <c r="N586" s="96" t="s">
        <v>576</v>
      </c>
      <c r="O586" s="96" t="s">
        <v>613</v>
      </c>
      <c r="P586" s="10" t="s">
        <v>527</v>
      </c>
      <c r="Q586" s="214">
        <f>Q587</f>
        <v>2705</v>
      </c>
      <c r="R586" s="214">
        <f aca="true" t="shared" si="38" ref="R586:S588">R587</f>
        <v>0</v>
      </c>
      <c r="S586" s="214">
        <f t="shared" si="38"/>
        <v>0</v>
      </c>
    </row>
    <row r="587" spans="1:19" ht="29.25" customHeight="1">
      <c r="A587" s="99"/>
      <c r="B587" s="98"/>
      <c r="C587" s="103"/>
      <c r="D587" s="101"/>
      <c r="E587" s="104"/>
      <c r="F587" s="104"/>
      <c r="G587" s="89"/>
      <c r="H587" s="253" t="s">
        <v>329</v>
      </c>
      <c r="I587" s="10">
        <v>663</v>
      </c>
      <c r="J587" s="7">
        <v>10</v>
      </c>
      <c r="K587" s="7">
        <v>4</v>
      </c>
      <c r="L587" s="95" t="s">
        <v>588</v>
      </c>
      <c r="M587" s="96" t="s">
        <v>556</v>
      </c>
      <c r="N587" s="96" t="s">
        <v>557</v>
      </c>
      <c r="O587" s="96" t="s">
        <v>613</v>
      </c>
      <c r="P587" s="10"/>
      <c r="Q587" s="214">
        <f>Q588</f>
        <v>2705</v>
      </c>
      <c r="R587" s="214">
        <f t="shared" si="38"/>
        <v>0</v>
      </c>
      <c r="S587" s="214">
        <f t="shared" si="38"/>
        <v>0</v>
      </c>
    </row>
    <row r="588" spans="1:19" ht="48" customHeight="1">
      <c r="A588" s="99"/>
      <c r="B588" s="98"/>
      <c r="C588" s="103"/>
      <c r="D588" s="101"/>
      <c r="E588" s="104"/>
      <c r="F588" s="104"/>
      <c r="G588" s="89"/>
      <c r="H588" s="254" t="s">
        <v>323</v>
      </c>
      <c r="I588" s="10">
        <v>663</v>
      </c>
      <c r="J588" s="7">
        <v>10</v>
      </c>
      <c r="K588" s="7">
        <v>4</v>
      </c>
      <c r="L588" s="95" t="s">
        <v>588</v>
      </c>
      <c r="M588" s="96" t="s">
        <v>556</v>
      </c>
      <c r="N588" s="96" t="s">
        <v>557</v>
      </c>
      <c r="O588" s="96" t="s">
        <v>322</v>
      </c>
      <c r="P588" s="10"/>
      <c r="Q588" s="214">
        <f>Q589</f>
        <v>2705</v>
      </c>
      <c r="R588" s="214">
        <f t="shared" si="38"/>
        <v>0</v>
      </c>
      <c r="S588" s="214">
        <f t="shared" si="38"/>
        <v>0</v>
      </c>
    </row>
    <row r="589" spans="1:19" ht="26.25" customHeight="1">
      <c r="A589" s="99"/>
      <c r="B589" s="98"/>
      <c r="C589" s="103"/>
      <c r="D589" s="101"/>
      <c r="E589" s="104"/>
      <c r="F589" s="104"/>
      <c r="G589" s="89"/>
      <c r="H589" s="258" t="s">
        <v>717</v>
      </c>
      <c r="I589" s="10">
        <v>663</v>
      </c>
      <c r="J589" s="7">
        <v>10</v>
      </c>
      <c r="K589" s="7">
        <v>4</v>
      </c>
      <c r="L589" s="95" t="s">
        <v>588</v>
      </c>
      <c r="M589" s="96" t="s">
        <v>556</v>
      </c>
      <c r="N589" s="96" t="s">
        <v>557</v>
      </c>
      <c r="O589" s="96" t="s">
        <v>322</v>
      </c>
      <c r="P589" s="10">
        <v>320</v>
      </c>
      <c r="Q589" s="214">
        <f>'Приложение 9'!Q656</f>
        <v>2705</v>
      </c>
      <c r="R589" s="214"/>
      <c r="S589" s="214"/>
    </row>
    <row r="590" spans="1:19" s="179" customFormat="1" ht="25.5" customHeight="1">
      <c r="A590" s="142"/>
      <c r="B590" s="143"/>
      <c r="C590" s="153"/>
      <c r="D590" s="150"/>
      <c r="E590" s="145"/>
      <c r="F590" s="145"/>
      <c r="G590" s="155">
        <v>622</v>
      </c>
      <c r="H590" s="149" t="s">
        <v>531</v>
      </c>
      <c r="I590" s="152">
        <v>27</v>
      </c>
      <c r="J590" s="148">
        <v>10</v>
      </c>
      <c r="K590" s="148">
        <v>6</v>
      </c>
      <c r="L590" s="185"/>
      <c r="M590" s="186"/>
      <c r="N590" s="186"/>
      <c r="O590" s="186"/>
      <c r="P590" s="146"/>
      <c r="Q590" s="217">
        <f>Q591</f>
        <v>1349.5</v>
      </c>
      <c r="R590" s="217">
        <f>R591</f>
        <v>1132.1</v>
      </c>
      <c r="S590" s="217">
        <f>S591</f>
        <v>1132.1</v>
      </c>
    </row>
    <row r="591" spans="1:19" s="179" customFormat="1" ht="25.5" customHeight="1">
      <c r="A591" s="142"/>
      <c r="B591" s="143"/>
      <c r="C591" s="153"/>
      <c r="D591" s="150"/>
      <c r="E591" s="145"/>
      <c r="F591" s="145"/>
      <c r="G591" s="136"/>
      <c r="H591" s="11" t="s">
        <v>292</v>
      </c>
      <c r="I591" s="6">
        <v>27</v>
      </c>
      <c r="J591" s="7">
        <v>10</v>
      </c>
      <c r="K591" s="7">
        <v>6</v>
      </c>
      <c r="L591" s="122" t="s">
        <v>573</v>
      </c>
      <c r="M591" s="123" t="s">
        <v>556</v>
      </c>
      <c r="N591" s="123" t="s">
        <v>576</v>
      </c>
      <c r="O591" s="123" t="s">
        <v>613</v>
      </c>
      <c r="P591" s="6"/>
      <c r="Q591" s="216">
        <f>Q592+Q594+Q597</f>
        <v>1349.5</v>
      </c>
      <c r="R591" s="216">
        <f>R592+R594+R597</f>
        <v>1132.1</v>
      </c>
      <c r="S591" s="216">
        <f>S592+S594+S597</f>
        <v>1132.1</v>
      </c>
    </row>
    <row r="592" spans="1:19" ht="30.75" customHeight="1">
      <c r="A592" s="99"/>
      <c r="B592" s="98"/>
      <c r="C592" s="103"/>
      <c r="D592" s="101"/>
      <c r="E592" s="372">
        <v>5225700</v>
      </c>
      <c r="F592" s="372"/>
      <c r="G592" s="89">
        <v>612</v>
      </c>
      <c r="H592" s="11" t="s">
        <v>52</v>
      </c>
      <c r="I592" s="10">
        <v>27</v>
      </c>
      <c r="J592" s="7">
        <v>10</v>
      </c>
      <c r="K592" s="7">
        <v>6</v>
      </c>
      <c r="L592" s="95" t="s">
        <v>573</v>
      </c>
      <c r="M592" s="96" t="s">
        <v>556</v>
      </c>
      <c r="N592" s="96" t="s">
        <v>576</v>
      </c>
      <c r="O592" s="96" t="s">
        <v>51</v>
      </c>
      <c r="P592" s="6"/>
      <c r="Q592" s="216">
        <f>Q593</f>
        <v>45</v>
      </c>
      <c r="R592" s="216">
        <f>R593</f>
        <v>45</v>
      </c>
      <c r="S592" s="216">
        <f>S593</f>
        <v>45</v>
      </c>
    </row>
    <row r="593" spans="1:19" ht="21.75" customHeight="1">
      <c r="A593" s="99"/>
      <c r="B593" s="98"/>
      <c r="C593" s="103"/>
      <c r="D593" s="101"/>
      <c r="E593" s="104"/>
      <c r="F593" s="104"/>
      <c r="G593" s="89"/>
      <c r="H593" s="5" t="s">
        <v>517</v>
      </c>
      <c r="I593" s="10">
        <v>27</v>
      </c>
      <c r="J593" s="7">
        <v>10</v>
      </c>
      <c r="K593" s="7">
        <v>6</v>
      </c>
      <c r="L593" s="95" t="s">
        <v>573</v>
      </c>
      <c r="M593" s="96" t="s">
        <v>556</v>
      </c>
      <c r="N593" s="96" t="s">
        <v>576</v>
      </c>
      <c r="O593" s="96" t="s">
        <v>51</v>
      </c>
      <c r="P593" s="10">
        <v>630</v>
      </c>
      <c r="Q593" s="214">
        <v>45</v>
      </c>
      <c r="R593" s="214">
        <v>45</v>
      </c>
      <c r="S593" s="214">
        <v>45</v>
      </c>
    </row>
    <row r="594" spans="1:19" ht="30.75" customHeight="1">
      <c r="A594" s="99"/>
      <c r="B594" s="98"/>
      <c r="C594" s="103"/>
      <c r="D594" s="101"/>
      <c r="E594" s="104"/>
      <c r="F594" s="104"/>
      <c r="G594" s="89"/>
      <c r="H594" s="11" t="s">
        <v>807</v>
      </c>
      <c r="I594" s="10">
        <v>27</v>
      </c>
      <c r="J594" s="7">
        <v>10</v>
      </c>
      <c r="K594" s="7">
        <v>6</v>
      </c>
      <c r="L594" s="95" t="s">
        <v>573</v>
      </c>
      <c r="M594" s="96" t="s">
        <v>556</v>
      </c>
      <c r="N594" s="96" t="s">
        <v>576</v>
      </c>
      <c r="O594" s="96" t="s">
        <v>806</v>
      </c>
      <c r="P594" s="6"/>
      <c r="Q594" s="216">
        <f>Q595+Q596</f>
        <v>1304.5</v>
      </c>
      <c r="R594" s="216">
        <f>R595</f>
        <v>1087.1</v>
      </c>
      <c r="S594" s="216">
        <f>S595</f>
        <v>1087.1</v>
      </c>
    </row>
    <row r="595" spans="1:19" ht="26.25" customHeight="1">
      <c r="A595" s="99"/>
      <c r="B595" s="98"/>
      <c r="C595" s="103"/>
      <c r="D595" s="101"/>
      <c r="E595" s="104"/>
      <c r="F595" s="104"/>
      <c r="G595" s="89"/>
      <c r="H595" s="11" t="str">
        <f>'Приложение 9'!H319</f>
        <v>Расходы на выплаты персоналу государственных (муниципальных) органов</v>
      </c>
      <c r="I595" s="10">
        <f>'Приложение 9'!I319</f>
        <v>27</v>
      </c>
      <c r="J595" s="7">
        <f>'Приложение 9'!J319</f>
        <v>10</v>
      </c>
      <c r="K595" s="7">
        <f>'Приложение 9'!K319</f>
        <v>6</v>
      </c>
      <c r="L595" s="95" t="str">
        <f>'Приложение 9'!L319</f>
        <v>91</v>
      </c>
      <c r="M595" s="96" t="str">
        <f>'Приложение 9'!M319</f>
        <v>0</v>
      </c>
      <c r="N595" s="96" t="str">
        <f>'Приложение 9'!N319</f>
        <v>00</v>
      </c>
      <c r="O595" s="96" t="str">
        <f>'Приложение 9'!O319</f>
        <v>72310</v>
      </c>
      <c r="P595" s="6">
        <f>'Приложение 9'!P319</f>
        <v>120</v>
      </c>
      <c r="Q595" s="216">
        <f>'Приложение 9'!Q319</f>
        <v>1276.7</v>
      </c>
      <c r="R595" s="239">
        <v>1087.1</v>
      </c>
      <c r="S595" s="239">
        <v>1087.1</v>
      </c>
    </row>
    <row r="596" spans="1:19" ht="26.25" customHeight="1">
      <c r="A596" s="99"/>
      <c r="B596" s="98"/>
      <c r="C596" s="103"/>
      <c r="D596" s="107"/>
      <c r="E596" s="104"/>
      <c r="F596" s="104"/>
      <c r="G596" s="89"/>
      <c r="H596" s="11" t="str">
        <f>'Приложение 9'!H320</f>
        <v>Иные закупки товаров, работ и услуг для обеспечения государственных (муниципальных) нужд</v>
      </c>
      <c r="I596" s="10">
        <f>'Приложение 9'!I320</f>
        <v>27</v>
      </c>
      <c r="J596" s="7">
        <f>'Приложение 9'!J320</f>
        <v>10</v>
      </c>
      <c r="K596" s="7">
        <f>'Приложение 9'!K320</f>
        <v>6</v>
      </c>
      <c r="L596" s="95" t="str">
        <f>'Приложение 9'!L320</f>
        <v>91</v>
      </c>
      <c r="M596" s="96" t="str">
        <f>'Приложение 9'!M320</f>
        <v>0</v>
      </c>
      <c r="N596" s="96" t="str">
        <f>'Приложение 9'!N320</f>
        <v>00</v>
      </c>
      <c r="O596" s="96" t="str">
        <f>'Приложение 9'!O320</f>
        <v>72310</v>
      </c>
      <c r="P596" s="6">
        <f>'Приложение 9'!P320</f>
        <v>240</v>
      </c>
      <c r="Q596" s="216">
        <f>'Приложение 9'!Q320</f>
        <v>27.8</v>
      </c>
      <c r="R596" s="239"/>
      <c r="S596" s="239"/>
    </row>
    <row r="597" spans="1:19" ht="34.5" customHeight="1" hidden="1">
      <c r="A597" s="99"/>
      <c r="B597" s="98"/>
      <c r="C597" s="103"/>
      <c r="D597" s="107"/>
      <c r="E597" s="104"/>
      <c r="F597" s="104"/>
      <c r="G597" s="89"/>
      <c r="H597" s="11" t="s">
        <v>674</v>
      </c>
      <c r="I597" s="6">
        <v>27</v>
      </c>
      <c r="J597" s="7">
        <v>10</v>
      </c>
      <c r="K597" s="7">
        <v>6</v>
      </c>
      <c r="L597" s="95" t="s">
        <v>573</v>
      </c>
      <c r="M597" s="96" t="s">
        <v>556</v>
      </c>
      <c r="N597" s="96" t="s">
        <v>576</v>
      </c>
      <c r="O597" s="96" t="s">
        <v>673</v>
      </c>
      <c r="P597" s="6"/>
      <c r="Q597" s="216">
        <f>Q598</f>
        <v>0</v>
      </c>
      <c r="R597" s="216">
        <f>R598</f>
        <v>0</v>
      </c>
      <c r="S597" s="216">
        <f>S598</f>
        <v>0</v>
      </c>
    </row>
    <row r="598" spans="1:19" ht="26.25" customHeight="1" hidden="1">
      <c r="A598" s="99"/>
      <c r="B598" s="98"/>
      <c r="C598" s="103"/>
      <c r="D598" s="107"/>
      <c r="E598" s="104"/>
      <c r="F598" s="104"/>
      <c r="G598" s="89"/>
      <c r="H598" s="200" t="s">
        <v>712</v>
      </c>
      <c r="I598" s="6">
        <v>27</v>
      </c>
      <c r="J598" s="7">
        <v>10</v>
      </c>
      <c r="K598" s="7">
        <v>6</v>
      </c>
      <c r="L598" s="95" t="s">
        <v>573</v>
      </c>
      <c r="M598" s="96" t="s">
        <v>556</v>
      </c>
      <c r="N598" s="96" t="s">
        <v>576</v>
      </c>
      <c r="O598" s="96" t="s">
        <v>673</v>
      </c>
      <c r="P598" s="6">
        <v>240</v>
      </c>
      <c r="Q598" s="216">
        <f>'Приложение 9'!Q322</f>
        <v>0</v>
      </c>
      <c r="R598" s="239">
        <v>0</v>
      </c>
      <c r="S598" s="239">
        <v>0</v>
      </c>
    </row>
    <row r="599" spans="1:19" s="179" customFormat="1" ht="18.75" customHeight="1">
      <c r="A599" s="142"/>
      <c r="B599" s="143"/>
      <c r="C599" s="153"/>
      <c r="D599" s="144"/>
      <c r="E599" s="145"/>
      <c r="F599" s="145"/>
      <c r="G599" s="155">
        <v>612</v>
      </c>
      <c r="H599" s="149" t="s">
        <v>530</v>
      </c>
      <c r="I599" s="152">
        <v>27</v>
      </c>
      <c r="J599" s="148">
        <v>11</v>
      </c>
      <c r="K599" s="148"/>
      <c r="L599" s="140"/>
      <c r="M599" s="141"/>
      <c r="N599" s="141"/>
      <c r="O599" s="141"/>
      <c r="P599" s="146"/>
      <c r="Q599" s="217">
        <f aca="true" t="shared" si="39" ref="Q599:S600">Q600</f>
        <v>36946.3</v>
      </c>
      <c r="R599" s="217" t="e">
        <f t="shared" si="39"/>
        <v>#REF!</v>
      </c>
      <c r="S599" s="217" t="e">
        <f t="shared" si="39"/>
        <v>#REF!</v>
      </c>
    </row>
    <row r="600" spans="1:19" s="179" customFormat="1" ht="19.5" customHeight="1">
      <c r="A600" s="142"/>
      <c r="B600" s="143"/>
      <c r="C600" s="142"/>
      <c r="D600" s="385">
        <v>5250000</v>
      </c>
      <c r="E600" s="386"/>
      <c r="F600" s="386"/>
      <c r="G600" s="136">
        <v>530</v>
      </c>
      <c r="H600" s="137" t="s">
        <v>371</v>
      </c>
      <c r="I600" s="138">
        <v>27</v>
      </c>
      <c r="J600" s="148">
        <v>11</v>
      </c>
      <c r="K600" s="148">
        <v>1</v>
      </c>
      <c r="L600" s="140"/>
      <c r="M600" s="141"/>
      <c r="N600" s="141"/>
      <c r="O600" s="141"/>
      <c r="P600" s="138"/>
      <c r="Q600" s="213">
        <f t="shared" si="39"/>
        <v>36946.3</v>
      </c>
      <c r="R600" s="213" t="e">
        <f t="shared" si="39"/>
        <v>#REF!</v>
      </c>
      <c r="S600" s="213" t="e">
        <f t="shared" si="39"/>
        <v>#REF!</v>
      </c>
    </row>
    <row r="601" spans="1:19" ht="34.5" customHeight="1">
      <c r="A601" s="99"/>
      <c r="B601" s="98"/>
      <c r="C601" s="103"/>
      <c r="D601" s="101"/>
      <c r="E601" s="113"/>
      <c r="F601" s="113"/>
      <c r="G601" s="105"/>
      <c r="H601" s="5" t="s">
        <v>675</v>
      </c>
      <c r="I601" s="6">
        <v>27</v>
      </c>
      <c r="J601" s="7">
        <v>11</v>
      </c>
      <c r="K601" s="7">
        <v>1</v>
      </c>
      <c r="L601" s="95" t="s">
        <v>676</v>
      </c>
      <c r="M601" s="96" t="s">
        <v>556</v>
      </c>
      <c r="N601" s="96" t="s">
        <v>576</v>
      </c>
      <c r="O601" s="96" t="s">
        <v>613</v>
      </c>
      <c r="P601" s="6"/>
      <c r="Q601" s="214">
        <f>Q605+Q602+Q610</f>
        <v>36946.3</v>
      </c>
      <c r="R601" s="214" t="e">
        <f>R605+#REF!</f>
        <v>#REF!</v>
      </c>
      <c r="S601" s="214" t="e">
        <f>S605+#REF!</f>
        <v>#REF!</v>
      </c>
    </row>
    <row r="602" spans="1:19" ht="34.5" customHeight="1">
      <c r="A602" s="99"/>
      <c r="B602" s="98"/>
      <c r="C602" s="103"/>
      <c r="D602" s="101"/>
      <c r="E602" s="113"/>
      <c r="F602" s="113"/>
      <c r="G602" s="89"/>
      <c r="H602" s="11" t="str">
        <f>'Приложение 9'!H326</f>
        <v>Основное мероприятие «Увеличение уровня вовлеченности населения в систематические занятия физической культурой и спортом и популяризации здорового образа жизни, физической культуры и спорта»</v>
      </c>
      <c r="I602" s="10">
        <f>'Приложение 9'!I326</f>
        <v>27</v>
      </c>
      <c r="J602" s="7">
        <f>'Приложение 9'!J326</f>
        <v>11</v>
      </c>
      <c r="K602" s="7">
        <f>'Приложение 9'!K326</f>
        <v>1</v>
      </c>
      <c r="L602" s="122" t="str">
        <f>'Приложение 9'!L326</f>
        <v>29</v>
      </c>
      <c r="M602" s="123" t="str">
        <f>'Приложение 9'!M326</f>
        <v>0</v>
      </c>
      <c r="N602" s="123" t="str">
        <f>'Приложение 9'!N326</f>
        <v>01</v>
      </c>
      <c r="O602" s="123" t="str">
        <f>'Приложение 9'!O326</f>
        <v>00000</v>
      </c>
      <c r="P602" s="10" t="s">
        <v>614</v>
      </c>
      <c r="Q602" s="214">
        <f>'Приложение 9'!Q326</f>
        <v>142.1</v>
      </c>
      <c r="R602" s="214"/>
      <c r="S602" s="214"/>
    </row>
    <row r="603" spans="1:19" ht="27.75" customHeight="1">
      <c r="A603" s="99"/>
      <c r="B603" s="98"/>
      <c r="C603" s="103"/>
      <c r="D603" s="101"/>
      <c r="E603" s="113"/>
      <c r="F603" s="113"/>
      <c r="G603" s="89"/>
      <c r="H603" s="11" t="str">
        <f>'Приложение 9'!H327</f>
        <v>Учреждения физической культуры и спорта</v>
      </c>
      <c r="I603" s="10">
        <f>'Приложение 9'!I327</f>
        <v>27</v>
      </c>
      <c r="J603" s="7">
        <f>'Приложение 9'!J327</f>
        <v>11</v>
      </c>
      <c r="K603" s="7">
        <f>'Приложение 9'!K327</f>
        <v>1</v>
      </c>
      <c r="L603" s="122" t="str">
        <f>'Приложение 9'!L327</f>
        <v>29</v>
      </c>
      <c r="M603" s="123" t="str">
        <f>'Приложение 9'!M327</f>
        <v>0</v>
      </c>
      <c r="N603" s="123" t="str">
        <f>'Приложение 9'!N327</f>
        <v>01</v>
      </c>
      <c r="O603" s="123" t="str">
        <f>'Приложение 9'!O327</f>
        <v>16590</v>
      </c>
      <c r="P603" s="10" t="s">
        <v>614</v>
      </c>
      <c r="Q603" s="214">
        <f>'Приложение 9'!Q327</f>
        <v>142.1</v>
      </c>
      <c r="R603" s="214"/>
      <c r="S603" s="214"/>
    </row>
    <row r="604" spans="1:19" ht="27.75" customHeight="1">
      <c r="A604" s="99"/>
      <c r="B604" s="98"/>
      <c r="C604" s="103"/>
      <c r="D604" s="101"/>
      <c r="E604" s="113"/>
      <c r="F604" s="113"/>
      <c r="G604" s="89"/>
      <c r="H604" s="11" t="str">
        <f>'Приложение 9'!H328</f>
        <v>Субсидии бюджетным учреждениям</v>
      </c>
      <c r="I604" s="10">
        <f>'Приложение 9'!I328</f>
        <v>27</v>
      </c>
      <c r="J604" s="7">
        <f>'Приложение 9'!J328</f>
        <v>11</v>
      </c>
      <c r="K604" s="7">
        <f>'Приложение 9'!K328</f>
        <v>1</v>
      </c>
      <c r="L604" s="122" t="str">
        <f>'Приложение 9'!L328</f>
        <v>29</v>
      </c>
      <c r="M604" s="123" t="str">
        <f>'Приложение 9'!M328</f>
        <v>0</v>
      </c>
      <c r="N604" s="123" t="str">
        <f>'Приложение 9'!N328</f>
        <v>01</v>
      </c>
      <c r="O604" s="123" t="str">
        <f>'Приложение 9'!O328</f>
        <v>16590</v>
      </c>
      <c r="P604" s="10">
        <f>'Приложение 9'!P328</f>
        <v>610</v>
      </c>
      <c r="Q604" s="214">
        <f>'Приложение 9'!Q328</f>
        <v>142.1</v>
      </c>
      <c r="R604" s="214"/>
      <c r="S604" s="214"/>
    </row>
    <row r="605" spans="1:19" ht="24.75" customHeight="1">
      <c r="A605" s="99"/>
      <c r="B605" s="98"/>
      <c r="C605" s="103"/>
      <c r="D605" s="101"/>
      <c r="E605" s="113"/>
      <c r="F605" s="113"/>
      <c r="G605" s="89"/>
      <c r="H605" s="11" t="s">
        <v>308</v>
      </c>
      <c r="I605" s="10">
        <v>27</v>
      </c>
      <c r="J605" s="7">
        <v>11</v>
      </c>
      <c r="K605" s="7">
        <v>1</v>
      </c>
      <c r="L605" s="122" t="s">
        <v>676</v>
      </c>
      <c r="M605" s="123" t="s">
        <v>556</v>
      </c>
      <c r="N605" s="123" t="s">
        <v>585</v>
      </c>
      <c r="O605" s="123" t="s">
        <v>613</v>
      </c>
      <c r="P605" s="10"/>
      <c r="Q605" s="214">
        <f>Q606+Q608</f>
        <v>8305.600000000002</v>
      </c>
      <c r="R605" s="214">
        <f aca="true" t="shared" si="40" ref="Q605:S606">R606</f>
        <v>7200</v>
      </c>
      <c r="S605" s="214">
        <f t="shared" si="40"/>
        <v>7300</v>
      </c>
    </row>
    <row r="606" spans="1:19" ht="22.5" customHeight="1">
      <c r="A606" s="99"/>
      <c r="B606" s="98"/>
      <c r="C606" s="103"/>
      <c r="D606" s="101"/>
      <c r="E606" s="113"/>
      <c r="F606" s="113"/>
      <c r="G606" s="89"/>
      <c r="H606" s="11" t="s">
        <v>307</v>
      </c>
      <c r="I606" s="10">
        <v>27</v>
      </c>
      <c r="J606" s="7">
        <v>11</v>
      </c>
      <c r="K606" s="7">
        <v>1</v>
      </c>
      <c r="L606" s="122" t="s">
        <v>676</v>
      </c>
      <c r="M606" s="123" t="s">
        <v>556</v>
      </c>
      <c r="N606" s="123" t="s">
        <v>585</v>
      </c>
      <c r="O606" s="123" t="s">
        <v>306</v>
      </c>
      <c r="P606" s="10"/>
      <c r="Q606" s="214">
        <f t="shared" si="40"/>
        <v>6781.100000000001</v>
      </c>
      <c r="R606" s="214">
        <f t="shared" si="40"/>
        <v>7200</v>
      </c>
      <c r="S606" s="214">
        <f t="shared" si="40"/>
        <v>7300</v>
      </c>
    </row>
    <row r="607" spans="1:19" ht="22.5" customHeight="1">
      <c r="A607" s="99"/>
      <c r="B607" s="98"/>
      <c r="C607" s="103"/>
      <c r="D607" s="101"/>
      <c r="E607" s="113"/>
      <c r="F607" s="113"/>
      <c r="G607" s="89"/>
      <c r="H607" s="11" t="s">
        <v>714</v>
      </c>
      <c r="I607" s="10">
        <v>27</v>
      </c>
      <c r="J607" s="7">
        <v>11</v>
      </c>
      <c r="K607" s="7">
        <v>1</v>
      </c>
      <c r="L607" s="122" t="s">
        <v>676</v>
      </c>
      <c r="M607" s="123" t="s">
        <v>556</v>
      </c>
      <c r="N607" s="123" t="s">
        <v>585</v>
      </c>
      <c r="O607" s="123" t="s">
        <v>306</v>
      </c>
      <c r="P607" s="10">
        <v>610</v>
      </c>
      <c r="Q607" s="214">
        <f>'Приложение 9'!Q331</f>
        <v>6781.100000000001</v>
      </c>
      <c r="R607" s="214">
        <v>7200</v>
      </c>
      <c r="S607" s="214">
        <v>7300</v>
      </c>
    </row>
    <row r="608" spans="1:19" ht="34.5" customHeight="1">
      <c r="A608" s="99"/>
      <c r="B608" s="98"/>
      <c r="C608" s="106"/>
      <c r="D608" s="107"/>
      <c r="E608" s="104"/>
      <c r="F608" s="104"/>
      <c r="G608" s="89"/>
      <c r="H608" s="11" t="str">
        <f>'Приложение 9'!H332</f>
        <v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v>
      </c>
      <c r="I608" s="10">
        <f>'Приложение 9'!I332</f>
        <v>27</v>
      </c>
      <c r="J608" s="7">
        <f>'Приложение 9'!J332</f>
        <v>11</v>
      </c>
      <c r="K608" s="7">
        <f>'Приложение 9'!K332</f>
        <v>1</v>
      </c>
      <c r="L608" s="122" t="str">
        <f>'Приложение 9'!L332</f>
        <v>29</v>
      </c>
      <c r="M608" s="123" t="str">
        <f>'Приложение 9'!M332</f>
        <v>0</v>
      </c>
      <c r="N608" s="123" t="str">
        <f>'Приложение 9'!N332</f>
        <v>02</v>
      </c>
      <c r="O608" s="123" t="str">
        <f>'Приложение 9'!O332</f>
        <v>70030</v>
      </c>
      <c r="P608" s="10" t="s">
        <v>614</v>
      </c>
      <c r="Q608" s="214">
        <f>'Приложение 9'!Q332</f>
        <v>1524.5</v>
      </c>
      <c r="R608" s="216"/>
      <c r="S608" s="216"/>
    </row>
    <row r="609" spans="1:19" ht="22.5" customHeight="1">
      <c r="A609" s="99"/>
      <c r="B609" s="98"/>
      <c r="C609" s="106"/>
      <c r="D609" s="107"/>
      <c r="E609" s="104"/>
      <c r="F609" s="104"/>
      <c r="G609" s="89"/>
      <c r="H609" s="11" t="str">
        <f>'Приложение 9'!H333</f>
        <v>Субсидии бюджетным учреждениям</v>
      </c>
      <c r="I609" s="10">
        <f>'Приложение 9'!I333</f>
        <v>27</v>
      </c>
      <c r="J609" s="7">
        <f>'Приложение 9'!J333</f>
        <v>11</v>
      </c>
      <c r="K609" s="7">
        <f>'Приложение 9'!K333</f>
        <v>1</v>
      </c>
      <c r="L609" s="122" t="str">
        <f>'Приложение 9'!L333</f>
        <v>29</v>
      </c>
      <c r="M609" s="123" t="str">
        <f>'Приложение 9'!M333</f>
        <v>0</v>
      </c>
      <c r="N609" s="123" t="str">
        <f>'Приложение 9'!N333</f>
        <v>02</v>
      </c>
      <c r="O609" s="123" t="str">
        <f>'Приложение 9'!O333</f>
        <v>70030</v>
      </c>
      <c r="P609" s="10">
        <f>'Приложение 9'!P333</f>
        <v>610</v>
      </c>
      <c r="Q609" s="214">
        <f>'Приложение 9'!Q333</f>
        <v>1524.5</v>
      </c>
      <c r="R609" s="216"/>
      <c r="S609" s="216"/>
    </row>
    <row r="610" spans="1:19" ht="22.5" customHeight="1">
      <c r="A610" s="99"/>
      <c r="B610" s="98"/>
      <c r="C610" s="106"/>
      <c r="D610" s="107"/>
      <c r="E610" s="104"/>
      <c r="F610" s="104"/>
      <c r="G610" s="89"/>
      <c r="H610" s="11" t="str">
        <f>'Приложение 9'!H334</f>
        <v>Основное мероприятие «Развитие инфраструктуры физической культуры и спорта, в том числе для лиц с ограниченными возможностями здоровья и инвалидов»</v>
      </c>
      <c r="I610" s="10">
        <f>'Приложение 9'!I334</f>
        <v>27</v>
      </c>
      <c r="J610" s="7">
        <f>'Приложение 9'!J334</f>
        <v>11</v>
      </c>
      <c r="K610" s="7">
        <f>'Приложение 9'!K334</f>
        <v>1</v>
      </c>
      <c r="L610" s="122" t="str">
        <f>'Приложение 9'!L334</f>
        <v>29</v>
      </c>
      <c r="M610" s="123" t="str">
        <f>'Приложение 9'!M334</f>
        <v>0</v>
      </c>
      <c r="N610" s="123" t="str">
        <f>'Приложение 9'!N334</f>
        <v>03</v>
      </c>
      <c r="O610" s="123" t="str">
        <f>'Приложение 9'!O334</f>
        <v>00000</v>
      </c>
      <c r="P610" s="10" t="s">
        <v>614</v>
      </c>
      <c r="Q610" s="214">
        <f>Q611+Q613+Q615</f>
        <v>28498.600000000002</v>
      </c>
      <c r="R610" s="216"/>
      <c r="S610" s="216"/>
    </row>
    <row r="611" spans="1:19" ht="22.5" customHeight="1">
      <c r="A611" s="99"/>
      <c r="B611" s="98"/>
      <c r="C611" s="106"/>
      <c r="D611" s="107"/>
      <c r="E611" s="104"/>
      <c r="F611" s="104"/>
      <c r="G611" s="89"/>
      <c r="H611" s="11" t="str">
        <f>'Приложение 9'!H335</f>
        <v>Расходы на проектирование, строительство, реконструкцию и капитальный ремонт объектов социальной инфраструктуры муниципальной собственности за счет средств районного бюджета</v>
      </c>
      <c r="I611" s="10">
        <f>'Приложение 9'!I335</f>
        <v>27</v>
      </c>
      <c r="J611" s="7">
        <f>'Приложение 9'!J335</f>
        <v>11</v>
      </c>
      <c r="K611" s="7">
        <f>'Приложение 9'!K335</f>
        <v>1</v>
      </c>
      <c r="L611" s="122" t="str">
        <f>'Приложение 9'!L335</f>
        <v>29</v>
      </c>
      <c r="M611" s="123" t="str">
        <f>'Приложение 9'!M335</f>
        <v>0</v>
      </c>
      <c r="N611" s="123" t="str">
        <f>'Приложение 9'!N335</f>
        <v>03</v>
      </c>
      <c r="O611" s="123" t="str">
        <f>'Приложение 9'!O335</f>
        <v>23280</v>
      </c>
      <c r="P611" s="10" t="s">
        <v>614</v>
      </c>
      <c r="Q611" s="214">
        <f>Q612</f>
        <v>7611.7</v>
      </c>
      <c r="R611" s="216"/>
      <c r="S611" s="216"/>
    </row>
    <row r="612" spans="1:19" ht="22.5" customHeight="1">
      <c r="A612" s="99"/>
      <c r="B612" s="98"/>
      <c r="C612" s="106"/>
      <c r="D612" s="107"/>
      <c r="E612" s="104"/>
      <c r="F612" s="104"/>
      <c r="G612" s="89"/>
      <c r="H612" s="11" t="str">
        <f>'Приложение 9'!H336</f>
        <v>Субсидии бюджетным учреждениям</v>
      </c>
      <c r="I612" s="10">
        <f>'Приложение 9'!I336</f>
        <v>27</v>
      </c>
      <c r="J612" s="7">
        <f>'Приложение 9'!J336</f>
        <v>11</v>
      </c>
      <c r="K612" s="7">
        <f>'Приложение 9'!K336</f>
        <v>1</v>
      </c>
      <c r="L612" s="122" t="str">
        <f>'Приложение 9'!L336</f>
        <v>29</v>
      </c>
      <c r="M612" s="123" t="str">
        <f>'Приложение 9'!M336</f>
        <v>0</v>
      </c>
      <c r="N612" s="123" t="str">
        <f>'Приложение 9'!N336</f>
        <v>03</v>
      </c>
      <c r="O612" s="123" t="str">
        <f>'Приложение 9'!O336</f>
        <v>23280</v>
      </c>
      <c r="P612" s="10">
        <f>'Приложение 9'!P336</f>
        <v>610</v>
      </c>
      <c r="Q612" s="214">
        <f>'Приложение 9'!Q336</f>
        <v>7611.7</v>
      </c>
      <c r="R612" s="216"/>
      <c r="S612" s="216"/>
    </row>
    <row r="613" spans="1:19" ht="22.5" customHeight="1" hidden="1">
      <c r="A613" s="99"/>
      <c r="B613" s="98"/>
      <c r="C613" s="106"/>
      <c r="D613" s="107"/>
      <c r="E613" s="104"/>
      <c r="F613" s="104"/>
      <c r="G613" s="89"/>
      <c r="H613" s="11" t="str">
        <f>'Приложение 9'!H337</f>
        <v>Обустройство объектов городской и сельской инфраструктуры, парковых и рекреационных зон для занятий физической культурой и спортом, в том числе видами спорта, популярными в молодежной среде</v>
      </c>
      <c r="I613" s="10">
        <f>'Приложение 9'!I337</f>
        <v>27</v>
      </c>
      <c r="J613" s="7">
        <f>'Приложение 9'!J337</f>
        <v>11</v>
      </c>
      <c r="K613" s="7">
        <f>'Приложение 9'!K337</f>
        <v>1</v>
      </c>
      <c r="L613" s="122" t="str">
        <f>'Приложение 9'!L337</f>
        <v>29</v>
      </c>
      <c r="M613" s="123" t="str">
        <f>'Приложение 9'!M337</f>
        <v>0</v>
      </c>
      <c r="N613" s="123" t="str">
        <f>'Приложение 9'!N337</f>
        <v>03</v>
      </c>
      <c r="O613" s="123" t="str">
        <f>'Приложение 9'!O337</f>
        <v>S1120</v>
      </c>
      <c r="P613" s="6" t="s">
        <v>614</v>
      </c>
      <c r="Q613" s="216">
        <f>Q614</f>
        <v>0</v>
      </c>
      <c r="R613" s="216"/>
      <c r="S613" s="216"/>
    </row>
    <row r="614" spans="1:19" ht="22.5" customHeight="1" hidden="1">
      <c r="A614" s="99"/>
      <c r="B614" s="98"/>
      <c r="C614" s="106"/>
      <c r="D614" s="107"/>
      <c r="E614" s="104"/>
      <c r="F614" s="104"/>
      <c r="G614" s="89"/>
      <c r="H614" s="11" t="str">
        <f>'Приложение 9'!H338</f>
        <v>Субсидии бюджетным учреждениям</v>
      </c>
      <c r="I614" s="10">
        <f>'Приложение 9'!I338</f>
        <v>27</v>
      </c>
      <c r="J614" s="7">
        <f>'Приложение 9'!J338</f>
        <v>11</v>
      </c>
      <c r="K614" s="7">
        <f>'Приложение 9'!K338</f>
        <v>1</v>
      </c>
      <c r="L614" s="122" t="str">
        <f>'Приложение 9'!L338</f>
        <v>29</v>
      </c>
      <c r="M614" s="123" t="str">
        <f>'Приложение 9'!M338</f>
        <v>0</v>
      </c>
      <c r="N614" s="123" t="str">
        <f>'Приложение 9'!N338</f>
        <v>03</v>
      </c>
      <c r="O614" s="123" t="str">
        <f>'Приложение 9'!O338</f>
        <v>S1120</v>
      </c>
      <c r="P614" s="6">
        <f>'Приложение 9'!P338</f>
        <v>610</v>
      </c>
      <c r="Q614" s="216">
        <f>'Приложение 9'!Q338</f>
        <v>0</v>
      </c>
      <c r="R614" s="216"/>
      <c r="S614" s="216"/>
    </row>
    <row r="615" spans="1:19" ht="22.5" customHeight="1">
      <c r="A615" s="99"/>
      <c r="B615" s="98"/>
      <c r="C615" s="106"/>
      <c r="D615" s="107"/>
      <c r="E615" s="104"/>
      <c r="F615" s="104"/>
      <c r="G615" s="89"/>
      <c r="H615" s="11" t="str">
        <f>'Приложение 9'!H339</f>
        <v>Расходы на проектирование, строительство, реконструкцию и капитальный ремонт объектов социальной инфраструктуры муниципальной собственности за счет прочих безвозмездных поступлений</v>
      </c>
      <c r="I615" s="10">
        <f>'Приложение 9'!I339</f>
        <v>27</v>
      </c>
      <c r="J615" s="7">
        <f>'Приложение 9'!J339</f>
        <v>11</v>
      </c>
      <c r="K615" s="7">
        <f>'Приложение 9'!K339</f>
        <v>1</v>
      </c>
      <c r="L615" s="122" t="str">
        <f>'Приложение 9'!L339</f>
        <v>29</v>
      </c>
      <c r="M615" s="123" t="str">
        <f>'Приложение 9'!M339</f>
        <v>0</v>
      </c>
      <c r="N615" s="123" t="str">
        <f>'Приложение 9'!N339</f>
        <v>03</v>
      </c>
      <c r="O615" s="123" t="str">
        <f>'Приложение 9'!O339</f>
        <v>S3280</v>
      </c>
      <c r="P615" s="6" t="s">
        <v>614</v>
      </c>
      <c r="Q615" s="216">
        <f>Q616</f>
        <v>20886.9</v>
      </c>
      <c r="R615" s="216"/>
      <c r="S615" s="216"/>
    </row>
    <row r="616" spans="1:19" ht="22.5" customHeight="1">
      <c r="A616" s="99"/>
      <c r="B616" s="98"/>
      <c r="C616" s="106"/>
      <c r="D616" s="107"/>
      <c r="E616" s="104"/>
      <c r="F616" s="104"/>
      <c r="G616" s="89"/>
      <c r="H616" s="11" t="str">
        <f>'Приложение 9'!H340</f>
        <v>Субсидии бюджетным учреждениям</v>
      </c>
      <c r="I616" s="10">
        <f>'Приложение 9'!I340</f>
        <v>27</v>
      </c>
      <c r="J616" s="7">
        <f>'Приложение 9'!J340</f>
        <v>11</v>
      </c>
      <c r="K616" s="7">
        <f>'Приложение 9'!K340</f>
        <v>1</v>
      </c>
      <c r="L616" s="122" t="str">
        <f>'Приложение 9'!L340</f>
        <v>29</v>
      </c>
      <c r="M616" s="123" t="str">
        <f>'Приложение 9'!M340</f>
        <v>0</v>
      </c>
      <c r="N616" s="123" t="str">
        <f>'Приложение 9'!N340</f>
        <v>03</v>
      </c>
      <c r="O616" s="123" t="str">
        <f>'Приложение 9'!O340</f>
        <v>S3280</v>
      </c>
      <c r="P616" s="6">
        <f>'Приложение 9'!P340</f>
        <v>610</v>
      </c>
      <c r="Q616" s="216">
        <f>'Приложение 9'!Q340</f>
        <v>20886.9</v>
      </c>
      <c r="R616" s="216"/>
      <c r="S616" s="216"/>
    </row>
    <row r="617" spans="1:19" s="179" customFormat="1" ht="24" customHeight="1">
      <c r="A617" s="142"/>
      <c r="B617" s="143"/>
      <c r="C617" s="157"/>
      <c r="D617" s="170"/>
      <c r="E617" s="145"/>
      <c r="F617" s="145"/>
      <c r="G617" s="155"/>
      <c r="H617" s="137" t="s">
        <v>546</v>
      </c>
      <c r="I617" s="138">
        <v>661</v>
      </c>
      <c r="J617" s="148">
        <v>13</v>
      </c>
      <c r="K617" s="148" t="s">
        <v>614</v>
      </c>
      <c r="L617" s="140" t="s">
        <v>527</v>
      </c>
      <c r="M617" s="141" t="s">
        <v>527</v>
      </c>
      <c r="N617" s="141"/>
      <c r="O617" s="141" t="s">
        <v>527</v>
      </c>
      <c r="P617" s="146" t="s">
        <v>527</v>
      </c>
      <c r="Q617" s="217">
        <f aca="true" t="shared" si="41" ref="Q617:Q622">Q618</f>
        <v>68.9</v>
      </c>
      <c r="R617" s="217"/>
      <c r="S617" s="217"/>
    </row>
    <row r="618" spans="1:19" s="179" customFormat="1" ht="24" customHeight="1">
      <c r="A618" s="142"/>
      <c r="B618" s="143"/>
      <c r="C618" s="157"/>
      <c r="D618" s="170"/>
      <c r="E618" s="145"/>
      <c r="F618" s="145"/>
      <c r="G618" s="155"/>
      <c r="H618" s="137" t="s">
        <v>547</v>
      </c>
      <c r="I618" s="138">
        <v>661</v>
      </c>
      <c r="J618" s="148">
        <v>13</v>
      </c>
      <c r="K618" s="148">
        <v>1</v>
      </c>
      <c r="L618" s="140" t="s">
        <v>527</v>
      </c>
      <c r="M618" s="141" t="s">
        <v>527</v>
      </c>
      <c r="N618" s="141"/>
      <c r="O618" s="141" t="s">
        <v>527</v>
      </c>
      <c r="P618" s="146" t="s">
        <v>527</v>
      </c>
      <c r="Q618" s="217">
        <f t="shared" si="41"/>
        <v>68.9</v>
      </c>
      <c r="R618" s="217"/>
      <c r="S618" s="217"/>
    </row>
    <row r="619" spans="1:19" ht="36.75" customHeight="1">
      <c r="A619" s="97"/>
      <c r="B619" s="98"/>
      <c r="C619" s="103"/>
      <c r="D619" s="101"/>
      <c r="E619" s="104"/>
      <c r="F619" s="104"/>
      <c r="G619" s="89"/>
      <c r="H619" s="11" t="s">
        <v>35</v>
      </c>
      <c r="I619" s="10">
        <v>661</v>
      </c>
      <c r="J619" s="7">
        <v>13</v>
      </c>
      <c r="K619" s="7">
        <v>1</v>
      </c>
      <c r="L619" s="95" t="s">
        <v>589</v>
      </c>
      <c r="M619" s="96" t="s">
        <v>556</v>
      </c>
      <c r="N619" s="96" t="s">
        <v>576</v>
      </c>
      <c r="O619" s="96" t="s">
        <v>613</v>
      </c>
      <c r="P619" s="6"/>
      <c r="Q619" s="216">
        <f t="shared" si="41"/>
        <v>68.9</v>
      </c>
      <c r="R619" s="216"/>
      <c r="S619" s="216"/>
    </row>
    <row r="620" spans="1:19" ht="24" customHeight="1">
      <c r="A620" s="97"/>
      <c r="B620" s="98"/>
      <c r="C620" s="106"/>
      <c r="D620" s="107"/>
      <c r="E620" s="104"/>
      <c r="F620" s="104"/>
      <c r="G620" s="105"/>
      <c r="H620" s="11" t="s">
        <v>40</v>
      </c>
      <c r="I620" s="10">
        <v>661</v>
      </c>
      <c r="J620" s="7">
        <v>13</v>
      </c>
      <c r="K620" s="7">
        <v>1</v>
      </c>
      <c r="L620" s="95" t="s">
        <v>589</v>
      </c>
      <c r="M620" s="96" t="s">
        <v>38</v>
      </c>
      <c r="N620" s="96" t="s">
        <v>576</v>
      </c>
      <c r="O620" s="96" t="s">
        <v>613</v>
      </c>
      <c r="P620" s="6"/>
      <c r="Q620" s="216">
        <f t="shared" si="41"/>
        <v>68.9</v>
      </c>
      <c r="R620" s="216"/>
      <c r="S620" s="216"/>
    </row>
    <row r="621" spans="1:19" ht="24" customHeight="1">
      <c r="A621" s="97"/>
      <c r="B621" s="98"/>
      <c r="C621" s="106"/>
      <c r="D621" s="107"/>
      <c r="E621" s="104"/>
      <c r="F621" s="104"/>
      <c r="G621" s="105"/>
      <c r="H621" s="11" t="s">
        <v>39</v>
      </c>
      <c r="I621" s="10">
        <v>661</v>
      </c>
      <c r="J621" s="7">
        <v>13</v>
      </c>
      <c r="K621" s="7">
        <v>1</v>
      </c>
      <c r="L621" s="95" t="s">
        <v>589</v>
      </c>
      <c r="M621" s="96" t="s">
        <v>38</v>
      </c>
      <c r="N621" s="96" t="s">
        <v>557</v>
      </c>
      <c r="O621" s="96" t="s">
        <v>613</v>
      </c>
      <c r="P621" s="6"/>
      <c r="Q621" s="216">
        <f t="shared" si="41"/>
        <v>68.9</v>
      </c>
      <c r="R621" s="216"/>
      <c r="S621" s="216"/>
    </row>
    <row r="622" spans="1:19" ht="27" customHeight="1">
      <c r="A622" s="99"/>
      <c r="B622" s="98"/>
      <c r="C622" s="106"/>
      <c r="D622" s="107"/>
      <c r="E622" s="104"/>
      <c r="F622" s="104"/>
      <c r="G622" s="105"/>
      <c r="H622" s="11" t="s">
        <v>310</v>
      </c>
      <c r="I622" s="10">
        <v>661</v>
      </c>
      <c r="J622" s="7">
        <v>13</v>
      </c>
      <c r="K622" s="7">
        <v>1</v>
      </c>
      <c r="L622" s="95" t="s">
        <v>589</v>
      </c>
      <c r="M622" s="96" t="s">
        <v>38</v>
      </c>
      <c r="N622" s="96" t="s">
        <v>557</v>
      </c>
      <c r="O622" s="96" t="s">
        <v>309</v>
      </c>
      <c r="P622" s="6" t="s">
        <v>527</v>
      </c>
      <c r="Q622" s="216">
        <f t="shared" si="41"/>
        <v>68.9</v>
      </c>
      <c r="R622" s="216"/>
      <c r="S622" s="216"/>
    </row>
    <row r="623" spans="1:19" ht="28.5" customHeight="1">
      <c r="A623" s="99"/>
      <c r="B623" s="98"/>
      <c r="C623" s="106"/>
      <c r="D623" s="107"/>
      <c r="E623" s="104"/>
      <c r="F623" s="104"/>
      <c r="G623" s="105"/>
      <c r="H623" s="5" t="s">
        <v>607</v>
      </c>
      <c r="I623" s="8">
        <v>661</v>
      </c>
      <c r="J623" s="7">
        <v>13</v>
      </c>
      <c r="K623" s="7">
        <v>1</v>
      </c>
      <c r="L623" s="95" t="s">
        <v>589</v>
      </c>
      <c r="M623" s="96" t="s">
        <v>38</v>
      </c>
      <c r="N623" s="96" t="s">
        <v>557</v>
      </c>
      <c r="O623" s="96" t="s">
        <v>309</v>
      </c>
      <c r="P623" s="6">
        <v>730</v>
      </c>
      <c r="Q623" s="214">
        <f>'Приложение 9'!Q454</f>
        <v>68.9</v>
      </c>
      <c r="R623" s="216"/>
      <c r="S623" s="216"/>
    </row>
    <row r="624" spans="1:19" s="179" customFormat="1" ht="30.75" customHeight="1">
      <c r="A624" s="142"/>
      <c r="B624" s="143"/>
      <c r="C624" s="157"/>
      <c r="D624" s="170"/>
      <c r="E624" s="145"/>
      <c r="F624" s="145"/>
      <c r="G624" s="155"/>
      <c r="H624" s="137" t="s">
        <v>333</v>
      </c>
      <c r="I624" s="146">
        <v>661</v>
      </c>
      <c r="J624" s="148">
        <v>14</v>
      </c>
      <c r="K624" s="148" t="s">
        <v>527</v>
      </c>
      <c r="L624" s="139" t="s">
        <v>527</v>
      </c>
      <c r="M624" s="141" t="s">
        <v>527</v>
      </c>
      <c r="N624" s="141"/>
      <c r="O624" s="141" t="s">
        <v>527</v>
      </c>
      <c r="P624" s="146" t="s">
        <v>527</v>
      </c>
      <c r="Q624" s="217">
        <f>Q625+Q633</f>
        <v>19114.8</v>
      </c>
      <c r="R624" s="217">
        <f>R625+R633</f>
        <v>17823.8</v>
      </c>
      <c r="S624" s="217">
        <f>S625+S633</f>
        <v>17916.8</v>
      </c>
    </row>
    <row r="625" spans="1:19" s="179" customFormat="1" ht="30.75" customHeight="1">
      <c r="A625" s="142"/>
      <c r="B625" s="143"/>
      <c r="C625" s="157"/>
      <c r="D625" s="170"/>
      <c r="E625" s="145"/>
      <c r="F625" s="145"/>
      <c r="G625" s="155"/>
      <c r="H625" s="137" t="s">
        <v>580</v>
      </c>
      <c r="I625" s="146">
        <v>661</v>
      </c>
      <c r="J625" s="148">
        <v>14</v>
      </c>
      <c r="K625" s="148">
        <v>1</v>
      </c>
      <c r="L625" s="139" t="s">
        <v>527</v>
      </c>
      <c r="M625" s="141" t="s">
        <v>527</v>
      </c>
      <c r="N625" s="141"/>
      <c r="O625" s="141" t="s">
        <v>527</v>
      </c>
      <c r="P625" s="146" t="s">
        <v>527</v>
      </c>
      <c r="Q625" s="217">
        <f>Q626</f>
        <v>5032.799999999999</v>
      </c>
      <c r="R625" s="217">
        <f aca="true" t="shared" si="42" ref="R625:S627">R626</f>
        <v>5252.3</v>
      </c>
      <c r="S625" s="217">
        <f t="shared" si="42"/>
        <v>5735.7</v>
      </c>
    </row>
    <row r="626" spans="1:19" ht="36.75" customHeight="1">
      <c r="A626" s="97"/>
      <c r="B626" s="98"/>
      <c r="C626" s="103"/>
      <c r="D626" s="101"/>
      <c r="E626" s="104"/>
      <c r="F626" s="104"/>
      <c r="G626" s="89"/>
      <c r="H626" s="11" t="s">
        <v>35</v>
      </c>
      <c r="I626" s="10">
        <v>661</v>
      </c>
      <c r="J626" s="7">
        <v>14</v>
      </c>
      <c r="K626" s="7">
        <v>1</v>
      </c>
      <c r="L626" s="95" t="s">
        <v>589</v>
      </c>
      <c r="M626" s="96" t="s">
        <v>556</v>
      </c>
      <c r="N626" s="96" t="s">
        <v>576</v>
      </c>
      <c r="O626" s="96" t="s">
        <v>613</v>
      </c>
      <c r="P626" s="6"/>
      <c r="Q626" s="216">
        <f>Q627</f>
        <v>5032.799999999999</v>
      </c>
      <c r="R626" s="216">
        <f t="shared" si="42"/>
        <v>5252.3</v>
      </c>
      <c r="S626" s="216">
        <f t="shared" si="42"/>
        <v>5735.7</v>
      </c>
    </row>
    <row r="627" spans="1:19" ht="36.75" customHeight="1">
      <c r="A627" s="97"/>
      <c r="B627" s="98"/>
      <c r="C627" s="106"/>
      <c r="D627" s="107"/>
      <c r="E627" s="104"/>
      <c r="F627" s="104"/>
      <c r="G627" s="89"/>
      <c r="H627" s="11" t="s">
        <v>43</v>
      </c>
      <c r="I627" s="10">
        <v>661</v>
      </c>
      <c r="J627" s="7">
        <v>14</v>
      </c>
      <c r="K627" s="7">
        <v>1</v>
      </c>
      <c r="L627" s="95" t="s">
        <v>589</v>
      </c>
      <c r="M627" s="96" t="s">
        <v>552</v>
      </c>
      <c r="N627" s="96" t="s">
        <v>576</v>
      </c>
      <c r="O627" s="96" t="s">
        <v>613</v>
      </c>
      <c r="P627" s="6"/>
      <c r="Q627" s="216">
        <f>Q628</f>
        <v>5032.799999999999</v>
      </c>
      <c r="R627" s="216">
        <f t="shared" si="42"/>
        <v>5252.3</v>
      </c>
      <c r="S627" s="216">
        <f t="shared" si="42"/>
        <v>5735.7</v>
      </c>
    </row>
    <row r="628" spans="1:19" ht="22.5" customHeight="1">
      <c r="A628" s="99"/>
      <c r="B628" s="98"/>
      <c r="C628" s="106"/>
      <c r="D628" s="107"/>
      <c r="E628" s="104"/>
      <c r="F628" s="104"/>
      <c r="G628" s="105"/>
      <c r="H628" s="11" t="s">
        <v>41</v>
      </c>
      <c r="I628" s="6">
        <v>661</v>
      </c>
      <c r="J628" s="7">
        <v>14</v>
      </c>
      <c r="K628" s="7">
        <v>1</v>
      </c>
      <c r="L628" s="16">
        <v>11</v>
      </c>
      <c r="M628" s="96" t="s">
        <v>552</v>
      </c>
      <c r="N628" s="96" t="s">
        <v>557</v>
      </c>
      <c r="O628" s="96" t="s">
        <v>613</v>
      </c>
      <c r="P628" s="6" t="s">
        <v>527</v>
      </c>
      <c r="Q628" s="216">
        <f>Q629+Q631</f>
        <v>5032.799999999999</v>
      </c>
      <c r="R628" s="216">
        <f>R629+R631</f>
        <v>5252.3</v>
      </c>
      <c r="S628" s="216">
        <f>S629+S631</f>
        <v>5735.7</v>
      </c>
    </row>
    <row r="629" spans="1:19" ht="67.5" customHeight="1">
      <c r="A629" s="99"/>
      <c r="B629" s="98"/>
      <c r="C629" s="106"/>
      <c r="D629" s="107"/>
      <c r="E629" s="104"/>
      <c r="F629" s="104"/>
      <c r="G629" s="105"/>
      <c r="H629" s="11" t="s">
        <v>53</v>
      </c>
      <c r="I629" s="6">
        <v>661</v>
      </c>
      <c r="J629" s="7">
        <v>14</v>
      </c>
      <c r="K629" s="7">
        <v>1</v>
      </c>
      <c r="L629" s="16">
        <v>11</v>
      </c>
      <c r="M629" s="96" t="s">
        <v>552</v>
      </c>
      <c r="N629" s="96" t="s">
        <v>557</v>
      </c>
      <c r="O629" s="96" t="s">
        <v>646</v>
      </c>
      <c r="P629" s="6"/>
      <c r="Q629" s="214">
        <f>Q630</f>
        <v>2865.2</v>
      </c>
      <c r="R629" s="214">
        <f>R630</f>
        <v>2747.9</v>
      </c>
      <c r="S629" s="214">
        <f>S630</f>
        <v>2974.6</v>
      </c>
    </row>
    <row r="630" spans="1:19" ht="24.75" customHeight="1">
      <c r="A630" s="99"/>
      <c r="B630" s="98"/>
      <c r="C630" s="106"/>
      <c r="D630" s="107"/>
      <c r="E630" s="104"/>
      <c r="F630" s="104"/>
      <c r="G630" s="105"/>
      <c r="H630" s="11" t="s">
        <v>718</v>
      </c>
      <c r="I630" s="6">
        <v>661</v>
      </c>
      <c r="J630" s="7">
        <v>14</v>
      </c>
      <c r="K630" s="7">
        <v>1</v>
      </c>
      <c r="L630" s="16">
        <v>11</v>
      </c>
      <c r="M630" s="96" t="s">
        <v>552</v>
      </c>
      <c r="N630" s="96" t="s">
        <v>557</v>
      </c>
      <c r="O630" s="96" t="s">
        <v>646</v>
      </c>
      <c r="P630" s="6">
        <v>510</v>
      </c>
      <c r="Q630" s="214">
        <v>2865.2</v>
      </c>
      <c r="R630" s="214">
        <v>2747.9</v>
      </c>
      <c r="S630" s="214">
        <v>2974.6</v>
      </c>
    </row>
    <row r="631" spans="1:19" ht="21" customHeight="1">
      <c r="A631" s="99"/>
      <c r="B631" s="98"/>
      <c r="C631" s="106"/>
      <c r="D631" s="107"/>
      <c r="E631" s="104"/>
      <c r="F631" s="104"/>
      <c r="G631" s="105"/>
      <c r="H631" s="11" t="s">
        <v>55</v>
      </c>
      <c r="I631" s="6">
        <v>661</v>
      </c>
      <c r="J631" s="7">
        <v>14</v>
      </c>
      <c r="K631" s="7">
        <v>1</v>
      </c>
      <c r="L631" s="16">
        <v>11</v>
      </c>
      <c r="M631" s="96" t="s">
        <v>552</v>
      </c>
      <c r="N631" s="96" t="s">
        <v>557</v>
      </c>
      <c r="O631" s="96" t="s">
        <v>85</v>
      </c>
      <c r="P631" s="6" t="s">
        <v>527</v>
      </c>
      <c r="Q631" s="216">
        <f>Q632</f>
        <v>2167.6</v>
      </c>
      <c r="R631" s="216">
        <f>R632</f>
        <v>2504.4</v>
      </c>
      <c r="S631" s="216">
        <f>S632</f>
        <v>2761.1</v>
      </c>
    </row>
    <row r="632" spans="1:19" ht="23.25" customHeight="1">
      <c r="A632" s="99"/>
      <c r="B632" s="98"/>
      <c r="C632" s="106"/>
      <c r="D632" s="107"/>
      <c r="E632" s="104"/>
      <c r="F632" s="104"/>
      <c r="G632" s="105"/>
      <c r="H632" s="11" t="s">
        <v>718</v>
      </c>
      <c r="I632" s="6">
        <v>661</v>
      </c>
      <c r="J632" s="7">
        <v>14</v>
      </c>
      <c r="K632" s="7">
        <v>1</v>
      </c>
      <c r="L632" s="16">
        <v>11</v>
      </c>
      <c r="M632" s="96" t="s">
        <v>552</v>
      </c>
      <c r="N632" s="96" t="s">
        <v>557</v>
      </c>
      <c r="O632" s="96" t="s">
        <v>85</v>
      </c>
      <c r="P632" s="6">
        <v>510</v>
      </c>
      <c r="Q632" s="216">
        <v>2167.6</v>
      </c>
      <c r="R632" s="216">
        <v>2504.4</v>
      </c>
      <c r="S632" s="216">
        <v>2761.1</v>
      </c>
    </row>
    <row r="633" spans="1:19" s="179" customFormat="1" ht="22.5" customHeight="1">
      <c r="A633" s="142"/>
      <c r="B633" s="143"/>
      <c r="C633" s="157"/>
      <c r="D633" s="170"/>
      <c r="E633" s="145"/>
      <c r="F633" s="145"/>
      <c r="G633" s="155"/>
      <c r="H633" s="137" t="s">
        <v>638</v>
      </c>
      <c r="I633" s="146">
        <v>661</v>
      </c>
      <c r="J633" s="148">
        <v>14</v>
      </c>
      <c r="K633" s="148">
        <v>2</v>
      </c>
      <c r="L633" s="139" t="s">
        <v>527</v>
      </c>
      <c r="M633" s="141" t="s">
        <v>527</v>
      </c>
      <c r="N633" s="141"/>
      <c r="O633" s="141" t="s">
        <v>527</v>
      </c>
      <c r="P633" s="146" t="s">
        <v>527</v>
      </c>
      <c r="Q633" s="217">
        <f>Q634</f>
        <v>14082</v>
      </c>
      <c r="R633" s="217">
        <f aca="true" t="shared" si="43" ref="R633:S636">R634</f>
        <v>12571.5</v>
      </c>
      <c r="S633" s="217">
        <f t="shared" si="43"/>
        <v>12181.1</v>
      </c>
    </row>
    <row r="634" spans="1:19" ht="36.75" customHeight="1">
      <c r="A634" s="97"/>
      <c r="B634" s="98"/>
      <c r="C634" s="103"/>
      <c r="D634" s="101"/>
      <c r="E634" s="104"/>
      <c r="F634" s="104"/>
      <c r="G634" s="89"/>
      <c r="H634" s="11" t="s">
        <v>35</v>
      </c>
      <c r="I634" s="10">
        <v>661</v>
      </c>
      <c r="J634" s="7">
        <v>14</v>
      </c>
      <c r="K634" s="7">
        <v>2</v>
      </c>
      <c r="L634" s="95" t="s">
        <v>589</v>
      </c>
      <c r="M634" s="96" t="s">
        <v>556</v>
      </c>
      <c r="N634" s="96" t="s">
        <v>576</v>
      </c>
      <c r="O634" s="96" t="s">
        <v>613</v>
      </c>
      <c r="P634" s="6"/>
      <c r="Q634" s="216">
        <f>Q635</f>
        <v>14082</v>
      </c>
      <c r="R634" s="216">
        <f t="shared" si="43"/>
        <v>12571.5</v>
      </c>
      <c r="S634" s="216">
        <f t="shared" si="43"/>
        <v>12181.1</v>
      </c>
    </row>
    <row r="635" spans="1:19" ht="36.75" customHeight="1">
      <c r="A635" s="97"/>
      <c r="B635" s="98"/>
      <c r="C635" s="106"/>
      <c r="D635" s="107"/>
      <c r="E635" s="104"/>
      <c r="F635" s="104"/>
      <c r="G635" s="89"/>
      <c r="H635" s="11" t="s">
        <v>43</v>
      </c>
      <c r="I635" s="10">
        <v>661</v>
      </c>
      <c r="J635" s="7">
        <v>14</v>
      </c>
      <c r="K635" s="7">
        <v>2</v>
      </c>
      <c r="L635" s="95" t="s">
        <v>589</v>
      </c>
      <c r="M635" s="96" t="s">
        <v>552</v>
      </c>
      <c r="N635" s="96" t="s">
        <v>576</v>
      </c>
      <c r="O635" s="96" t="s">
        <v>613</v>
      </c>
      <c r="P635" s="6"/>
      <c r="Q635" s="216">
        <f>Q636</f>
        <v>14082</v>
      </c>
      <c r="R635" s="216">
        <f t="shared" si="43"/>
        <v>12571.5</v>
      </c>
      <c r="S635" s="216">
        <f t="shared" si="43"/>
        <v>12181.1</v>
      </c>
    </row>
    <row r="636" spans="1:19" ht="18.75" customHeight="1">
      <c r="A636" s="97"/>
      <c r="B636" s="98"/>
      <c r="C636" s="106"/>
      <c r="D636" s="107"/>
      <c r="E636" s="104"/>
      <c r="F636" s="104"/>
      <c r="G636" s="105"/>
      <c r="H636" s="11" t="s">
        <v>44</v>
      </c>
      <c r="I636" s="6">
        <v>661</v>
      </c>
      <c r="J636" s="7">
        <v>14</v>
      </c>
      <c r="K636" s="7">
        <v>2</v>
      </c>
      <c r="L636" s="16">
        <v>11</v>
      </c>
      <c r="M636" s="96" t="s">
        <v>552</v>
      </c>
      <c r="N636" s="96" t="s">
        <v>585</v>
      </c>
      <c r="O636" s="96" t="s">
        <v>613</v>
      </c>
      <c r="P636" s="6"/>
      <c r="Q636" s="216">
        <f>Q637+Q639</f>
        <v>14082</v>
      </c>
      <c r="R636" s="216">
        <f t="shared" si="43"/>
        <v>12571.5</v>
      </c>
      <c r="S636" s="216">
        <f t="shared" si="43"/>
        <v>12181.1</v>
      </c>
    </row>
    <row r="637" spans="1:19" ht="23.25" customHeight="1">
      <c r="A637" s="99"/>
      <c r="B637" s="98"/>
      <c r="C637" s="106"/>
      <c r="D637" s="107"/>
      <c r="E637" s="104"/>
      <c r="F637" s="104"/>
      <c r="G637" s="105"/>
      <c r="H637" s="11" t="s">
        <v>42</v>
      </c>
      <c r="I637" s="6">
        <v>661</v>
      </c>
      <c r="J637" s="7">
        <v>14</v>
      </c>
      <c r="K637" s="7">
        <v>2</v>
      </c>
      <c r="L637" s="16">
        <v>11</v>
      </c>
      <c r="M637" s="96" t="s">
        <v>552</v>
      </c>
      <c r="N637" s="96" t="s">
        <v>585</v>
      </c>
      <c r="O637" s="96" t="s">
        <v>86</v>
      </c>
      <c r="P637" s="6" t="s">
        <v>527</v>
      </c>
      <c r="Q637" s="216">
        <f>Q638</f>
        <v>10961.9</v>
      </c>
      <c r="R637" s="216">
        <f>R638</f>
        <v>12571.5</v>
      </c>
      <c r="S637" s="216">
        <f>S638</f>
        <v>12181.1</v>
      </c>
    </row>
    <row r="638" spans="1:19" ht="18" customHeight="1">
      <c r="A638" s="99"/>
      <c r="B638" s="98"/>
      <c r="C638" s="106"/>
      <c r="D638" s="107"/>
      <c r="E638" s="104"/>
      <c r="F638" s="104"/>
      <c r="G638" s="105"/>
      <c r="H638" s="11" t="s">
        <v>718</v>
      </c>
      <c r="I638" s="6">
        <v>661</v>
      </c>
      <c r="J638" s="7">
        <v>14</v>
      </c>
      <c r="K638" s="7">
        <v>2</v>
      </c>
      <c r="L638" s="16">
        <v>11</v>
      </c>
      <c r="M638" s="96" t="s">
        <v>552</v>
      </c>
      <c r="N638" s="96" t="s">
        <v>585</v>
      </c>
      <c r="O638" s="96" t="s">
        <v>86</v>
      </c>
      <c r="P638" s="6">
        <v>510</v>
      </c>
      <c r="Q638" s="216">
        <f>'Приложение 9'!Q469</f>
        <v>10961.9</v>
      </c>
      <c r="R638" s="216">
        <v>12571.5</v>
      </c>
      <c r="S638" s="216">
        <v>12181.1</v>
      </c>
    </row>
    <row r="639" spans="1:19" ht="33" customHeight="1">
      <c r="A639" s="99"/>
      <c r="B639" s="98"/>
      <c r="C639" s="114"/>
      <c r="D639" s="107"/>
      <c r="E639" s="104"/>
      <c r="F639" s="104"/>
      <c r="G639" s="89"/>
      <c r="H639" s="11" t="str">
        <f>'Приложение 9'!H470</f>
        <v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v>
      </c>
      <c r="I639" s="10">
        <f>'Приложение 9'!I470</f>
        <v>661</v>
      </c>
      <c r="J639" s="7">
        <f>'Приложение 9'!J470</f>
        <v>14</v>
      </c>
      <c r="K639" s="7">
        <f>'Приложение 9'!K470</f>
        <v>2</v>
      </c>
      <c r="L639" s="16">
        <f>'Приложение 9'!L470</f>
        <v>11</v>
      </c>
      <c r="M639" s="96" t="str">
        <f>'Приложение 9'!M470</f>
        <v>2</v>
      </c>
      <c r="N639" s="96" t="str">
        <f>'Приложение 9'!N470</f>
        <v>02</v>
      </c>
      <c r="O639" s="96" t="str">
        <f>'Приложение 9'!O470</f>
        <v>70030</v>
      </c>
      <c r="P639" s="6" t="s">
        <v>614</v>
      </c>
      <c r="Q639" s="216">
        <f>Q640</f>
        <v>3120.1</v>
      </c>
      <c r="R639" s="322"/>
      <c r="S639" s="322"/>
    </row>
    <row r="640" spans="1:19" ht="18" customHeight="1">
      <c r="A640" s="99"/>
      <c r="B640" s="98"/>
      <c r="C640" s="114"/>
      <c r="D640" s="107"/>
      <c r="E640" s="104"/>
      <c r="F640" s="104"/>
      <c r="G640" s="89"/>
      <c r="H640" s="11" t="str">
        <f>'Приложение 9'!H471</f>
        <v>Дотации</v>
      </c>
      <c r="I640" s="10">
        <f>'Приложение 9'!I471</f>
        <v>661</v>
      </c>
      <c r="J640" s="7">
        <f>'Приложение 9'!J471</f>
        <v>14</v>
      </c>
      <c r="K640" s="7">
        <f>'Приложение 9'!K471</f>
        <v>2</v>
      </c>
      <c r="L640" s="16">
        <f>'Приложение 9'!L471</f>
        <v>11</v>
      </c>
      <c r="M640" s="96" t="str">
        <f>'Приложение 9'!M471</f>
        <v>2</v>
      </c>
      <c r="N640" s="96" t="str">
        <f>'Приложение 9'!N471</f>
        <v>02</v>
      </c>
      <c r="O640" s="96" t="str">
        <f>'Приложение 9'!O471</f>
        <v>70030</v>
      </c>
      <c r="P640" s="6">
        <f>'Приложение 9'!P471</f>
        <v>510</v>
      </c>
      <c r="Q640" s="216">
        <f>'Приложение 9'!Q471</f>
        <v>3120.1</v>
      </c>
      <c r="R640" s="322"/>
      <c r="S640" s="322"/>
    </row>
    <row r="641" spans="1:19" ht="21.75" customHeight="1">
      <c r="A641" s="99"/>
      <c r="B641" s="98"/>
      <c r="C641" s="97"/>
      <c r="D641" s="368">
        <v>20000</v>
      </c>
      <c r="E641" s="369"/>
      <c r="F641" s="369"/>
      <c r="G641" s="89">
        <v>360</v>
      </c>
      <c r="H641" s="125" t="s">
        <v>525</v>
      </c>
      <c r="I641" s="90"/>
      <c r="J641" s="127"/>
      <c r="K641" s="127"/>
      <c r="L641" s="92"/>
      <c r="M641" s="93"/>
      <c r="N641" s="93"/>
      <c r="O641" s="93"/>
      <c r="P641" s="9"/>
      <c r="Q641" s="212">
        <f>Q15+Q194+Q215+Q304+Q342+Q354+Q528+Q558+Q562+Q599+Q617+Q624</f>
        <v>638763.3999999999</v>
      </c>
      <c r="R641" s="315" t="e">
        <f>R15+R194+R215+R304+R342+R354+R528+R558+R562+R599+R617+R624</f>
        <v>#REF!</v>
      </c>
      <c r="S641" s="315" t="e">
        <f>S15+S194+S215+S304+S342+S354+S528+S558+S562+S599+S617+S624</f>
        <v>#REF!</v>
      </c>
    </row>
    <row r="642" spans="1:19" ht="25.5" customHeight="1">
      <c r="A642" s="201"/>
      <c r="B642" s="111"/>
      <c r="C642" s="111"/>
      <c r="D642" s="107"/>
      <c r="E642" s="107"/>
      <c r="F642" s="107"/>
      <c r="G642" s="202"/>
      <c r="H642" s="203"/>
      <c r="I642" s="204"/>
      <c r="J642" s="205"/>
      <c r="K642" s="205"/>
      <c r="L642" s="206"/>
      <c r="M642" s="206"/>
      <c r="N642" s="206"/>
      <c r="O642" s="206"/>
      <c r="P642" s="204"/>
      <c r="Q642" s="323" t="s">
        <v>521</v>
      </c>
      <c r="R642" s="207"/>
      <c r="S642" s="207"/>
    </row>
    <row r="643" ht="15.75">
      <c r="S643" s="316" t="s">
        <v>521</v>
      </c>
    </row>
  </sheetData>
  <sheetProtection/>
  <mergeCells count="36">
    <mergeCell ref="D97:F97"/>
    <mergeCell ref="D600:F600"/>
    <mergeCell ref="E585:F585"/>
    <mergeCell ref="D165:F165"/>
    <mergeCell ref="D556:F556"/>
    <mergeCell ref="D452:F452"/>
    <mergeCell ref="E529:F529"/>
    <mergeCell ref="D354:F354"/>
    <mergeCell ref="D169:F169"/>
    <mergeCell ref="E592:F592"/>
    <mergeCell ref="E564:F564"/>
    <mergeCell ref="E530:F530"/>
    <mergeCell ref="E288:F288"/>
    <mergeCell ref="D575:F575"/>
    <mergeCell ref="E355:F355"/>
    <mergeCell ref="D566:F566"/>
    <mergeCell ref="D528:F528"/>
    <mergeCell ref="P1:Q1"/>
    <mergeCell ref="P2:Q2"/>
    <mergeCell ref="P3:Q3"/>
    <mergeCell ref="L13:O13"/>
    <mergeCell ref="C96:F96"/>
    <mergeCell ref="Q13:S13"/>
    <mergeCell ref="C38:F38"/>
    <mergeCell ref="A95:F95"/>
    <mergeCell ref="E63:F63"/>
    <mergeCell ref="D641:F641"/>
    <mergeCell ref="J5:S5"/>
    <mergeCell ref="J6:S6"/>
    <mergeCell ref="J7:S7"/>
    <mergeCell ref="J8:S8"/>
    <mergeCell ref="E586:F586"/>
    <mergeCell ref="J9:S9"/>
    <mergeCell ref="H11:S11"/>
    <mergeCell ref="A15:F15"/>
    <mergeCell ref="D40:F40"/>
  </mergeCells>
  <printOptions/>
  <pageMargins left="0.5511811023622047" right="0.2755905511811024" top="0.31496062992125984" bottom="0.5118110236220472" header="0.5118110236220472" footer="0.5118110236220472"/>
  <pageSetup fitToHeight="0" fitToWidth="1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2"/>
  <sheetViews>
    <sheetView showGridLines="0" zoomScale="75" zoomScaleNormal="75" zoomScaleSheetLayoutView="100" zoomScalePageLayoutView="0" workbookViewId="0" topLeftCell="H1">
      <selection activeCell="H20" sqref="H20"/>
    </sheetView>
  </sheetViews>
  <sheetFormatPr defaultColWidth="9.140625" defaultRowHeight="15"/>
  <cols>
    <col min="1" max="7" width="0" style="31" hidden="1" customWidth="1"/>
    <col min="8" max="8" width="113.140625" style="307" customWidth="1"/>
    <col min="9" max="9" width="7.8515625" style="175" hidden="1" customWidth="1"/>
    <col min="10" max="10" width="5.140625" style="175" customWidth="1"/>
    <col min="11" max="11" width="5.00390625" style="175" customWidth="1"/>
    <col min="12" max="12" width="5.7109375" style="308" customWidth="1"/>
    <col min="13" max="14" width="4.28125" style="308" customWidth="1"/>
    <col min="15" max="15" width="10.28125" style="308" customWidth="1"/>
    <col min="16" max="16" width="6.7109375" style="175" customWidth="1"/>
    <col min="17" max="17" width="20.00390625" style="65" hidden="1" customWidth="1"/>
    <col min="18" max="18" width="21.57421875" style="309" customWidth="1"/>
    <col min="19" max="19" width="20.28125" style="309" customWidth="1"/>
    <col min="20" max="16384" width="9.140625" style="31" customWidth="1"/>
  </cols>
  <sheetData>
    <row r="1" spans="9:19" ht="15.75">
      <c r="I1" s="176" t="s">
        <v>819</v>
      </c>
      <c r="P1" s="377" t="s">
        <v>832</v>
      </c>
      <c r="Q1" s="377"/>
      <c r="R1" s="377"/>
      <c r="S1" s="377"/>
    </row>
    <row r="2" spans="9:19" ht="15.75">
      <c r="I2" s="176" t="s">
        <v>522</v>
      </c>
      <c r="P2" s="377" t="s">
        <v>491</v>
      </c>
      <c r="Q2" s="377"/>
      <c r="R2" s="377"/>
      <c r="S2" s="377"/>
    </row>
    <row r="3" spans="9:19" ht="15.75">
      <c r="I3" s="68" t="s">
        <v>523</v>
      </c>
      <c r="P3" s="377" t="s">
        <v>107</v>
      </c>
      <c r="Q3" s="377"/>
      <c r="R3" s="377"/>
      <c r="S3" s="377"/>
    </row>
    <row r="4" spans="8:19" ht="15.75">
      <c r="H4" s="67"/>
      <c r="I4" s="68" t="s">
        <v>614</v>
      </c>
      <c r="J4" s="370" t="s">
        <v>105</v>
      </c>
      <c r="K4" s="370"/>
      <c r="L4" s="370"/>
      <c r="M4" s="370"/>
      <c r="N4" s="370"/>
      <c r="O4" s="370"/>
      <c r="P4" s="370"/>
      <c r="Q4" s="370"/>
      <c r="R4" s="370"/>
      <c r="S4" s="370"/>
    </row>
    <row r="5" spans="1:19" ht="19.5" customHeight="1">
      <c r="A5" s="66"/>
      <c r="B5" s="66"/>
      <c r="C5" s="66"/>
      <c r="D5" s="66"/>
      <c r="E5" s="66"/>
      <c r="F5" s="66"/>
      <c r="G5" s="66"/>
      <c r="H5" s="67"/>
      <c r="I5" s="68" t="s">
        <v>614</v>
      </c>
      <c r="J5" s="370" t="s">
        <v>11</v>
      </c>
      <c r="K5" s="370"/>
      <c r="L5" s="370"/>
      <c r="M5" s="370"/>
      <c r="N5" s="370"/>
      <c r="O5" s="370"/>
      <c r="P5" s="370"/>
      <c r="Q5" s="370"/>
      <c r="R5" s="370"/>
      <c r="S5" s="370"/>
    </row>
    <row r="6" spans="1:19" ht="15.75" customHeight="1">
      <c r="A6" s="66"/>
      <c r="B6" s="66"/>
      <c r="C6" s="66"/>
      <c r="D6" s="66"/>
      <c r="E6" s="66"/>
      <c r="F6" s="66"/>
      <c r="G6" s="66"/>
      <c r="H6" s="67"/>
      <c r="I6" s="68" t="s">
        <v>614</v>
      </c>
      <c r="J6" s="370" t="s">
        <v>689</v>
      </c>
      <c r="K6" s="370"/>
      <c r="L6" s="370"/>
      <c r="M6" s="370"/>
      <c r="N6" s="370"/>
      <c r="O6" s="370"/>
      <c r="P6" s="370"/>
      <c r="Q6" s="370"/>
      <c r="R6" s="370"/>
      <c r="S6" s="370"/>
    </row>
    <row r="7" spans="1:19" ht="14.25" customHeight="1">
      <c r="A7" s="66"/>
      <c r="B7" s="66"/>
      <c r="C7" s="66"/>
      <c r="D7" s="66"/>
      <c r="E7" s="66"/>
      <c r="F7" s="66"/>
      <c r="G7" s="66"/>
      <c r="H7" s="67"/>
      <c r="I7" s="69" t="s">
        <v>614</v>
      </c>
      <c r="J7" s="371" t="s">
        <v>688</v>
      </c>
      <c r="K7" s="371"/>
      <c r="L7" s="371"/>
      <c r="M7" s="371"/>
      <c r="N7" s="371"/>
      <c r="O7" s="371"/>
      <c r="P7" s="371"/>
      <c r="Q7" s="371"/>
      <c r="R7" s="371"/>
      <c r="S7" s="371"/>
    </row>
    <row r="8" spans="1:19" ht="27.75" customHeight="1">
      <c r="A8" s="74"/>
      <c r="B8" s="74"/>
      <c r="C8" s="74"/>
      <c r="D8" s="74"/>
      <c r="E8" s="74"/>
      <c r="F8" s="74"/>
      <c r="G8" s="74"/>
      <c r="H8" s="67" t="s">
        <v>614</v>
      </c>
      <c r="I8" s="72" t="s">
        <v>614</v>
      </c>
      <c r="J8" s="373" t="s">
        <v>111</v>
      </c>
      <c r="K8" s="373"/>
      <c r="L8" s="373"/>
      <c r="M8" s="373"/>
      <c r="N8" s="373"/>
      <c r="O8" s="373"/>
      <c r="P8" s="373"/>
      <c r="Q8" s="373"/>
      <c r="R8" s="373"/>
      <c r="S8" s="373"/>
    </row>
    <row r="9" spans="1:19" ht="18.75" customHeight="1" thickBot="1">
      <c r="A9" s="76"/>
      <c r="B9" s="76"/>
      <c r="C9" s="76"/>
      <c r="D9" s="76"/>
      <c r="E9" s="76"/>
      <c r="F9" s="76"/>
      <c r="G9" s="76"/>
      <c r="H9" s="67"/>
      <c r="I9" s="72"/>
      <c r="J9" s="73"/>
      <c r="K9" s="73"/>
      <c r="L9" s="73"/>
      <c r="M9" s="73"/>
      <c r="N9" s="73"/>
      <c r="O9" s="73"/>
      <c r="P9" s="73"/>
      <c r="Q9" s="73"/>
      <c r="R9" s="73"/>
      <c r="S9" s="73"/>
    </row>
    <row r="10" spans="1:19" ht="30" customHeight="1">
      <c r="A10" s="77"/>
      <c r="B10" s="77" t="s">
        <v>509</v>
      </c>
      <c r="C10" s="78" t="s">
        <v>508</v>
      </c>
      <c r="D10" s="78" t="s">
        <v>507</v>
      </c>
      <c r="E10" s="78" t="s">
        <v>506</v>
      </c>
      <c r="F10" s="78" t="s">
        <v>505</v>
      </c>
      <c r="G10" s="78" t="s">
        <v>504</v>
      </c>
      <c r="H10" s="374" t="s">
        <v>699</v>
      </c>
      <c r="I10" s="374"/>
      <c r="J10" s="374"/>
      <c r="K10" s="374"/>
      <c r="L10" s="374"/>
      <c r="M10" s="374"/>
      <c r="N10" s="374"/>
      <c r="O10" s="374"/>
      <c r="P10" s="374"/>
      <c r="Q10" s="374"/>
      <c r="R10" s="374"/>
      <c r="S10" s="374"/>
    </row>
    <row r="11" spans="1:19" ht="30" customHeight="1">
      <c r="A11" s="199"/>
      <c r="B11" s="199"/>
      <c r="C11" s="199"/>
      <c r="D11" s="199"/>
      <c r="E11" s="199"/>
      <c r="F11" s="199"/>
      <c r="G11" s="199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310" t="s">
        <v>12</v>
      </c>
    </row>
    <row r="12" spans="1:19" ht="42.75" customHeight="1">
      <c r="A12" s="199"/>
      <c r="B12" s="199"/>
      <c r="C12" s="199"/>
      <c r="D12" s="199"/>
      <c r="E12" s="199"/>
      <c r="F12" s="199"/>
      <c r="G12" s="199"/>
      <c r="H12" s="79" t="s">
        <v>503</v>
      </c>
      <c r="I12" s="80" t="s">
        <v>502</v>
      </c>
      <c r="J12" s="80" t="s">
        <v>501</v>
      </c>
      <c r="K12" s="79" t="s">
        <v>500</v>
      </c>
      <c r="L12" s="378" t="s">
        <v>499</v>
      </c>
      <c r="M12" s="379"/>
      <c r="N12" s="379"/>
      <c r="O12" s="380"/>
      <c r="P12" s="79" t="s">
        <v>498</v>
      </c>
      <c r="Q12" s="387" t="s">
        <v>497</v>
      </c>
      <c r="R12" s="388"/>
      <c r="S12" s="389"/>
    </row>
    <row r="13" spans="1:19" ht="18.75" customHeight="1">
      <c r="A13" s="81"/>
      <c r="B13" s="82"/>
      <c r="C13" s="82"/>
      <c r="D13" s="82"/>
      <c r="E13" s="82"/>
      <c r="F13" s="82"/>
      <c r="G13" s="83"/>
      <c r="H13" s="79"/>
      <c r="I13" s="193"/>
      <c r="J13" s="80"/>
      <c r="K13" s="79"/>
      <c r="L13" s="196"/>
      <c r="M13" s="197"/>
      <c r="N13" s="197"/>
      <c r="O13" s="198"/>
      <c r="P13" s="79"/>
      <c r="Q13" s="261" t="s">
        <v>10</v>
      </c>
      <c r="R13" s="261" t="s">
        <v>277</v>
      </c>
      <c r="S13" s="261" t="s">
        <v>1</v>
      </c>
    </row>
    <row r="14" spans="1:19" ht="18.75" customHeight="1">
      <c r="A14" s="81"/>
      <c r="B14" s="82"/>
      <c r="C14" s="82"/>
      <c r="D14" s="82"/>
      <c r="E14" s="82"/>
      <c r="F14" s="82"/>
      <c r="G14" s="302"/>
      <c r="H14" s="303">
        <v>1</v>
      </c>
      <c r="I14" s="304"/>
      <c r="J14" s="305">
        <v>2</v>
      </c>
      <c r="K14" s="303">
        <v>3</v>
      </c>
      <c r="L14" s="196"/>
      <c r="M14" s="197"/>
      <c r="N14" s="197" t="s">
        <v>553</v>
      </c>
      <c r="O14" s="197"/>
      <c r="P14" s="303">
        <v>5</v>
      </c>
      <c r="Q14" s="261"/>
      <c r="R14" s="262">
        <v>6</v>
      </c>
      <c r="S14" s="262">
        <v>7</v>
      </c>
    </row>
    <row r="15" spans="1:19" s="179" customFormat="1" ht="18.75" customHeight="1">
      <c r="A15" s="375">
        <v>100</v>
      </c>
      <c r="B15" s="375"/>
      <c r="C15" s="376"/>
      <c r="D15" s="376"/>
      <c r="E15" s="376"/>
      <c r="F15" s="376"/>
      <c r="G15" s="136">
        <v>120</v>
      </c>
      <c r="H15" s="137" t="s">
        <v>529</v>
      </c>
      <c r="I15" s="138">
        <v>27</v>
      </c>
      <c r="J15" s="139">
        <v>1</v>
      </c>
      <c r="K15" s="139" t="s">
        <v>614</v>
      </c>
      <c r="L15" s="140" t="s">
        <v>527</v>
      </c>
      <c r="M15" s="141" t="s">
        <v>527</v>
      </c>
      <c r="N15" s="141"/>
      <c r="O15" s="141" t="s">
        <v>527</v>
      </c>
      <c r="P15" s="138" t="s">
        <v>527</v>
      </c>
      <c r="Q15" s="213" t="e">
        <f>Q16+Q21+Q26+Q44+Q47+Q62+Q66</f>
        <v>#REF!</v>
      </c>
      <c r="R15" s="213">
        <f>R16+R21+R26+R44+R47+R62+R66</f>
        <v>62664.7</v>
      </c>
      <c r="S15" s="213">
        <f>S16+S21+S26+S44+S47+S62+S66</f>
        <v>85546.3</v>
      </c>
    </row>
    <row r="16" spans="1:19" s="179" customFormat="1" ht="36" customHeight="1">
      <c r="A16" s="142"/>
      <c r="B16" s="143"/>
      <c r="C16" s="153"/>
      <c r="D16" s="150"/>
      <c r="E16" s="154"/>
      <c r="F16" s="154"/>
      <c r="G16" s="136"/>
      <c r="H16" s="137" t="s">
        <v>562</v>
      </c>
      <c r="I16" s="138">
        <v>28</v>
      </c>
      <c r="J16" s="148">
        <v>1</v>
      </c>
      <c r="K16" s="148">
        <v>2</v>
      </c>
      <c r="L16" s="185"/>
      <c r="M16" s="186"/>
      <c r="N16" s="186"/>
      <c r="O16" s="186"/>
      <c r="P16" s="138"/>
      <c r="Q16" s="213">
        <f aca="true" t="shared" si="0" ref="Q16:S17">Q17</f>
        <v>1946.9</v>
      </c>
      <c r="R16" s="213">
        <f t="shared" si="0"/>
        <v>1946.9</v>
      </c>
      <c r="S16" s="213">
        <f t="shared" si="0"/>
        <v>1946.9</v>
      </c>
    </row>
    <row r="17" spans="1:19" s="179" customFormat="1" ht="21.75" customHeight="1">
      <c r="A17" s="142"/>
      <c r="B17" s="143"/>
      <c r="C17" s="153"/>
      <c r="D17" s="150"/>
      <c r="E17" s="154"/>
      <c r="F17" s="154"/>
      <c r="G17" s="136"/>
      <c r="H17" s="11" t="s">
        <v>574</v>
      </c>
      <c r="I17" s="10">
        <v>28</v>
      </c>
      <c r="J17" s="7">
        <v>1</v>
      </c>
      <c r="K17" s="7">
        <v>2</v>
      </c>
      <c r="L17" s="16" t="s">
        <v>575</v>
      </c>
      <c r="M17" s="96" t="s">
        <v>556</v>
      </c>
      <c r="N17" s="96" t="s">
        <v>576</v>
      </c>
      <c r="O17" s="96" t="s">
        <v>613</v>
      </c>
      <c r="P17" s="10" t="s">
        <v>527</v>
      </c>
      <c r="Q17" s="214">
        <f t="shared" si="0"/>
        <v>1946.9</v>
      </c>
      <c r="R17" s="214">
        <f t="shared" si="0"/>
        <v>1946.9</v>
      </c>
      <c r="S17" s="214">
        <f t="shared" si="0"/>
        <v>1946.9</v>
      </c>
    </row>
    <row r="18" spans="1:19" ht="23.25" customHeight="1">
      <c r="A18" s="97"/>
      <c r="B18" s="98"/>
      <c r="C18" s="103"/>
      <c r="D18" s="101"/>
      <c r="E18" s="113"/>
      <c r="F18" s="113"/>
      <c r="G18" s="89"/>
      <c r="H18" s="11" t="s">
        <v>758</v>
      </c>
      <c r="I18" s="10">
        <v>28</v>
      </c>
      <c r="J18" s="7">
        <v>1</v>
      </c>
      <c r="K18" s="7">
        <v>2</v>
      </c>
      <c r="L18" s="122" t="s">
        <v>575</v>
      </c>
      <c r="M18" s="123" t="s">
        <v>556</v>
      </c>
      <c r="N18" s="123" t="s">
        <v>576</v>
      </c>
      <c r="O18" s="123" t="s">
        <v>641</v>
      </c>
      <c r="P18" s="10"/>
      <c r="Q18" s="214">
        <f>SUM(Q19:Q20)</f>
        <v>1946.9</v>
      </c>
      <c r="R18" s="214">
        <f>SUM(R19:R20)</f>
        <v>1946.9</v>
      </c>
      <c r="S18" s="214">
        <f>SUM(S19:S20)</f>
        <v>1946.9</v>
      </c>
    </row>
    <row r="19" spans="1:19" ht="24.75" customHeight="1">
      <c r="A19" s="97"/>
      <c r="B19" s="98"/>
      <c r="C19" s="103"/>
      <c r="D19" s="101"/>
      <c r="E19" s="113"/>
      <c r="F19" s="113"/>
      <c r="G19" s="89"/>
      <c r="H19" s="11" t="s">
        <v>526</v>
      </c>
      <c r="I19" s="10">
        <v>28</v>
      </c>
      <c r="J19" s="7">
        <v>1</v>
      </c>
      <c r="K19" s="7">
        <v>2</v>
      </c>
      <c r="L19" s="122" t="s">
        <v>575</v>
      </c>
      <c r="M19" s="123" t="s">
        <v>556</v>
      </c>
      <c r="N19" s="123" t="s">
        <v>576</v>
      </c>
      <c r="O19" s="123" t="s">
        <v>641</v>
      </c>
      <c r="P19" s="10">
        <v>120</v>
      </c>
      <c r="Q19" s="214">
        <v>1633.8</v>
      </c>
      <c r="R19" s="214">
        <f>'Приложение 10'!Q299</f>
        <v>1946.9</v>
      </c>
      <c r="S19" s="214">
        <f>'Приложение 10'!R299</f>
        <v>1946.9</v>
      </c>
    </row>
    <row r="20" spans="1:19" ht="29.25" customHeight="1">
      <c r="A20" s="97"/>
      <c r="B20" s="98"/>
      <c r="C20" s="103"/>
      <c r="D20" s="101"/>
      <c r="E20" s="113"/>
      <c r="F20" s="113"/>
      <c r="G20" s="89"/>
      <c r="H20" s="11" t="s">
        <v>712</v>
      </c>
      <c r="I20" s="10">
        <v>28</v>
      </c>
      <c r="J20" s="7">
        <v>1</v>
      </c>
      <c r="K20" s="7">
        <v>2</v>
      </c>
      <c r="L20" s="122" t="s">
        <v>575</v>
      </c>
      <c r="M20" s="123" t="s">
        <v>556</v>
      </c>
      <c r="N20" s="123" t="s">
        <v>576</v>
      </c>
      <c r="O20" s="123" t="s">
        <v>641</v>
      </c>
      <c r="P20" s="10">
        <v>240</v>
      </c>
      <c r="Q20" s="214">
        <v>313.1</v>
      </c>
      <c r="R20" s="214">
        <f>'Приложение 10'!Q300</f>
        <v>0</v>
      </c>
      <c r="S20" s="214">
        <f>'Приложение 10'!R300</f>
        <v>0</v>
      </c>
    </row>
    <row r="21" spans="1:19" s="179" customFormat="1" ht="36" customHeight="1">
      <c r="A21" s="142"/>
      <c r="B21" s="143"/>
      <c r="C21" s="153"/>
      <c r="D21" s="150"/>
      <c r="E21" s="154"/>
      <c r="F21" s="154"/>
      <c r="G21" s="136"/>
      <c r="H21" s="137" t="s">
        <v>496</v>
      </c>
      <c r="I21" s="138">
        <v>28</v>
      </c>
      <c r="J21" s="148">
        <v>1</v>
      </c>
      <c r="K21" s="148">
        <v>3</v>
      </c>
      <c r="L21" s="185"/>
      <c r="M21" s="186"/>
      <c r="N21" s="186"/>
      <c r="O21" s="186"/>
      <c r="P21" s="138"/>
      <c r="Q21" s="213">
        <f aca="true" t="shared" si="1" ref="Q21:S22">Q22</f>
        <v>2007.4</v>
      </c>
      <c r="R21" s="213">
        <f t="shared" si="1"/>
        <v>2007.4</v>
      </c>
      <c r="S21" s="213">
        <f t="shared" si="1"/>
        <v>2007.4</v>
      </c>
    </row>
    <row r="22" spans="1:19" s="179" customFormat="1" ht="21.75" customHeight="1">
      <c r="A22" s="142"/>
      <c r="B22" s="143"/>
      <c r="C22" s="153"/>
      <c r="D22" s="150"/>
      <c r="E22" s="154"/>
      <c r="F22" s="154"/>
      <c r="G22" s="136"/>
      <c r="H22" s="11" t="s">
        <v>574</v>
      </c>
      <c r="I22" s="10">
        <v>28</v>
      </c>
      <c r="J22" s="7">
        <v>1</v>
      </c>
      <c r="K22" s="7">
        <v>3</v>
      </c>
      <c r="L22" s="16" t="s">
        <v>575</v>
      </c>
      <c r="M22" s="96" t="s">
        <v>556</v>
      </c>
      <c r="N22" s="96" t="s">
        <v>576</v>
      </c>
      <c r="O22" s="96" t="s">
        <v>613</v>
      </c>
      <c r="P22" s="138"/>
      <c r="Q22" s="213">
        <f t="shared" si="1"/>
        <v>2007.4</v>
      </c>
      <c r="R22" s="213">
        <f t="shared" si="1"/>
        <v>2007.4</v>
      </c>
      <c r="S22" s="213">
        <f t="shared" si="1"/>
        <v>2007.4</v>
      </c>
    </row>
    <row r="23" spans="1:19" ht="20.25" customHeight="1">
      <c r="A23" s="97"/>
      <c r="B23" s="98"/>
      <c r="C23" s="103"/>
      <c r="D23" s="101"/>
      <c r="E23" s="113"/>
      <c r="F23" s="113"/>
      <c r="G23" s="89"/>
      <c r="H23" s="11" t="s">
        <v>758</v>
      </c>
      <c r="I23" s="10">
        <v>28</v>
      </c>
      <c r="J23" s="7">
        <v>1</v>
      </c>
      <c r="K23" s="7">
        <v>3</v>
      </c>
      <c r="L23" s="122" t="s">
        <v>575</v>
      </c>
      <c r="M23" s="123" t="s">
        <v>556</v>
      </c>
      <c r="N23" s="123" t="s">
        <v>576</v>
      </c>
      <c r="O23" s="123" t="s">
        <v>641</v>
      </c>
      <c r="P23" s="10"/>
      <c r="Q23" s="214">
        <f>SUM(Q24:Q25)</f>
        <v>2007.4</v>
      </c>
      <c r="R23" s="214">
        <f>SUM(R24:R25)</f>
        <v>2007.4</v>
      </c>
      <c r="S23" s="214">
        <f>SUM(S24:S25)</f>
        <v>2007.4</v>
      </c>
    </row>
    <row r="24" spans="1:19" ht="24.75" customHeight="1">
      <c r="A24" s="97"/>
      <c r="B24" s="98"/>
      <c r="C24" s="103"/>
      <c r="D24" s="101"/>
      <c r="E24" s="113"/>
      <c r="F24" s="113"/>
      <c r="G24" s="89"/>
      <c r="H24" s="11" t="s">
        <v>526</v>
      </c>
      <c r="I24" s="10">
        <v>28</v>
      </c>
      <c r="J24" s="7">
        <v>1</v>
      </c>
      <c r="K24" s="7">
        <v>3</v>
      </c>
      <c r="L24" s="122" t="s">
        <v>575</v>
      </c>
      <c r="M24" s="123" t="s">
        <v>556</v>
      </c>
      <c r="N24" s="123" t="s">
        <v>576</v>
      </c>
      <c r="O24" s="123" t="s">
        <v>641</v>
      </c>
      <c r="P24" s="10">
        <v>120</v>
      </c>
      <c r="Q24" s="214">
        <v>1125.7</v>
      </c>
      <c r="R24" s="214">
        <f>'Приложение 10'!Q304</f>
        <v>1204.4</v>
      </c>
      <c r="S24" s="214">
        <f>'Приложение 10'!R304</f>
        <v>1204.4</v>
      </c>
    </row>
    <row r="25" spans="1:19" ht="23.25" customHeight="1">
      <c r="A25" s="97"/>
      <c r="B25" s="98"/>
      <c r="C25" s="103"/>
      <c r="D25" s="101"/>
      <c r="E25" s="113"/>
      <c r="F25" s="113"/>
      <c r="G25" s="89"/>
      <c r="H25" s="11" t="s">
        <v>712</v>
      </c>
      <c r="I25" s="10">
        <v>28</v>
      </c>
      <c r="J25" s="7">
        <v>1</v>
      </c>
      <c r="K25" s="7">
        <v>3</v>
      </c>
      <c r="L25" s="122" t="s">
        <v>575</v>
      </c>
      <c r="M25" s="123" t="s">
        <v>556</v>
      </c>
      <c r="N25" s="123" t="s">
        <v>576</v>
      </c>
      <c r="O25" s="123" t="s">
        <v>641</v>
      </c>
      <c r="P25" s="10">
        <v>240</v>
      </c>
      <c r="Q25" s="214">
        <v>881.7</v>
      </c>
      <c r="R25" s="214">
        <f>'Приложение 10'!Q305</f>
        <v>803</v>
      </c>
      <c r="S25" s="214">
        <f>'Приложение 10'!R305</f>
        <v>803</v>
      </c>
    </row>
    <row r="26" spans="1:19" s="179" customFormat="1" ht="45" customHeight="1">
      <c r="A26" s="142"/>
      <c r="B26" s="143"/>
      <c r="C26" s="375">
        <v>104</v>
      </c>
      <c r="D26" s="376"/>
      <c r="E26" s="376"/>
      <c r="F26" s="376"/>
      <c r="G26" s="136">
        <v>120</v>
      </c>
      <c r="H26" s="137" t="s">
        <v>495</v>
      </c>
      <c r="I26" s="138">
        <v>27</v>
      </c>
      <c r="J26" s="148">
        <v>1</v>
      </c>
      <c r="K26" s="148">
        <v>4</v>
      </c>
      <c r="L26" s="140" t="s">
        <v>527</v>
      </c>
      <c r="M26" s="141" t="s">
        <v>527</v>
      </c>
      <c r="N26" s="141" t="s">
        <v>614</v>
      </c>
      <c r="O26" s="141" t="s">
        <v>527</v>
      </c>
      <c r="P26" s="138" t="s">
        <v>527</v>
      </c>
      <c r="Q26" s="213">
        <f>Q27</f>
        <v>21215.8</v>
      </c>
      <c r="R26" s="213">
        <f>R27</f>
        <v>16931.100000000002</v>
      </c>
      <c r="S26" s="213">
        <f>S27</f>
        <v>22839.9</v>
      </c>
    </row>
    <row r="27" spans="1:19" ht="27" customHeight="1">
      <c r="A27" s="99"/>
      <c r="B27" s="98"/>
      <c r="C27" s="97"/>
      <c r="D27" s="94"/>
      <c r="E27" s="94"/>
      <c r="F27" s="94"/>
      <c r="G27" s="89"/>
      <c r="H27" s="11" t="s">
        <v>334</v>
      </c>
      <c r="I27" s="10">
        <v>27</v>
      </c>
      <c r="J27" s="7">
        <v>1</v>
      </c>
      <c r="K27" s="7">
        <v>4</v>
      </c>
      <c r="L27" s="16" t="s">
        <v>573</v>
      </c>
      <c r="M27" s="96" t="s">
        <v>556</v>
      </c>
      <c r="N27" s="96" t="s">
        <v>576</v>
      </c>
      <c r="O27" s="96" t="s">
        <v>613</v>
      </c>
      <c r="P27" s="10"/>
      <c r="Q27" s="214">
        <f>Q28+Q32+Q35+Q37+Q40+Q42</f>
        <v>21215.8</v>
      </c>
      <c r="R27" s="214">
        <f>R28+R32+R35+R37+R40+R42</f>
        <v>16931.100000000002</v>
      </c>
      <c r="S27" s="214">
        <f>S28+S32+S35+S37+S40+S42</f>
        <v>22839.9</v>
      </c>
    </row>
    <row r="28" spans="1:19" ht="29.25" customHeight="1">
      <c r="A28" s="99"/>
      <c r="B28" s="98"/>
      <c r="C28" s="97"/>
      <c r="D28" s="368">
        <v>20000</v>
      </c>
      <c r="E28" s="369"/>
      <c r="F28" s="369"/>
      <c r="G28" s="89">
        <v>120</v>
      </c>
      <c r="H28" s="11" t="s">
        <v>335</v>
      </c>
      <c r="I28" s="10">
        <v>27</v>
      </c>
      <c r="J28" s="7">
        <v>1</v>
      </c>
      <c r="K28" s="7">
        <v>4</v>
      </c>
      <c r="L28" s="16" t="s">
        <v>573</v>
      </c>
      <c r="M28" s="96" t="s">
        <v>556</v>
      </c>
      <c r="N28" s="96" t="s">
        <v>576</v>
      </c>
      <c r="O28" s="96" t="s">
        <v>641</v>
      </c>
      <c r="P28" s="10" t="s">
        <v>527</v>
      </c>
      <c r="Q28" s="214">
        <f>SUM(Q29:Q31)</f>
        <v>19996.9</v>
      </c>
      <c r="R28" s="214">
        <f>SUM(R29:R31)</f>
        <v>16931.100000000002</v>
      </c>
      <c r="S28" s="214">
        <f>SUM(S29:S31)</f>
        <v>22839.9</v>
      </c>
    </row>
    <row r="29" spans="1:19" ht="29.25" customHeight="1">
      <c r="A29" s="99"/>
      <c r="B29" s="98"/>
      <c r="C29" s="97"/>
      <c r="D29" s="101"/>
      <c r="E29" s="102"/>
      <c r="F29" s="102"/>
      <c r="G29" s="89"/>
      <c r="H29" s="11" t="s">
        <v>526</v>
      </c>
      <c r="I29" s="6">
        <v>27</v>
      </c>
      <c r="J29" s="7">
        <v>1</v>
      </c>
      <c r="K29" s="7">
        <v>4</v>
      </c>
      <c r="L29" s="16">
        <v>91</v>
      </c>
      <c r="M29" s="96" t="s">
        <v>556</v>
      </c>
      <c r="N29" s="96" t="s">
        <v>576</v>
      </c>
      <c r="O29" s="96" t="s">
        <v>641</v>
      </c>
      <c r="P29" s="10">
        <v>120</v>
      </c>
      <c r="Q29" s="214">
        <v>14355.1</v>
      </c>
      <c r="R29" s="214">
        <f>'Приложение 10'!Q20</f>
        <v>16537.4</v>
      </c>
      <c r="S29" s="214">
        <v>14355.1</v>
      </c>
    </row>
    <row r="30" spans="1:19" ht="26.25" customHeight="1">
      <c r="A30" s="99"/>
      <c r="B30" s="98"/>
      <c r="C30" s="103"/>
      <c r="D30" s="101"/>
      <c r="E30" s="104"/>
      <c r="F30" s="104"/>
      <c r="G30" s="105"/>
      <c r="H30" s="5" t="s">
        <v>712</v>
      </c>
      <c r="I30" s="8">
        <v>27</v>
      </c>
      <c r="J30" s="7">
        <v>1</v>
      </c>
      <c r="K30" s="7">
        <v>4</v>
      </c>
      <c r="L30" s="16">
        <v>91</v>
      </c>
      <c r="M30" s="96" t="s">
        <v>556</v>
      </c>
      <c r="N30" s="96" t="s">
        <v>576</v>
      </c>
      <c r="O30" s="96" t="s">
        <v>641</v>
      </c>
      <c r="P30" s="6">
        <v>240</v>
      </c>
      <c r="Q30" s="214">
        <v>4891.8</v>
      </c>
      <c r="R30" s="214">
        <f>'Приложение 10'!Q21</f>
        <v>143.69999999999982</v>
      </c>
      <c r="S30" s="214">
        <f>7734.8-5000+5000</f>
        <v>7734.8</v>
      </c>
    </row>
    <row r="31" spans="1:19" ht="20.25" customHeight="1">
      <c r="A31" s="99"/>
      <c r="B31" s="98"/>
      <c r="C31" s="106"/>
      <c r="D31" s="107"/>
      <c r="E31" s="104"/>
      <c r="F31" s="104"/>
      <c r="G31" s="89"/>
      <c r="H31" s="108" t="s">
        <v>713</v>
      </c>
      <c r="I31" s="8">
        <v>27</v>
      </c>
      <c r="J31" s="7">
        <v>1</v>
      </c>
      <c r="K31" s="7">
        <v>4</v>
      </c>
      <c r="L31" s="16">
        <v>91</v>
      </c>
      <c r="M31" s="96" t="s">
        <v>556</v>
      </c>
      <c r="N31" s="96" t="s">
        <v>576</v>
      </c>
      <c r="O31" s="96" t="s">
        <v>641</v>
      </c>
      <c r="P31" s="6">
        <v>850</v>
      </c>
      <c r="Q31" s="214">
        <v>750</v>
      </c>
      <c r="R31" s="214">
        <f>750-500</f>
        <v>250</v>
      </c>
      <c r="S31" s="214">
        <v>750</v>
      </c>
    </row>
    <row r="32" spans="1:19" ht="36" customHeight="1" hidden="1">
      <c r="A32" s="99"/>
      <c r="B32" s="98"/>
      <c r="C32" s="106"/>
      <c r="D32" s="107"/>
      <c r="E32" s="104"/>
      <c r="F32" s="104"/>
      <c r="G32" s="89"/>
      <c r="H32" s="11" t="s">
        <v>58</v>
      </c>
      <c r="I32" s="10">
        <v>27</v>
      </c>
      <c r="J32" s="7">
        <v>1</v>
      </c>
      <c r="K32" s="7">
        <v>4</v>
      </c>
      <c r="L32" s="16">
        <v>91</v>
      </c>
      <c r="M32" s="96" t="s">
        <v>556</v>
      </c>
      <c r="N32" s="96" t="s">
        <v>576</v>
      </c>
      <c r="O32" s="96" t="s">
        <v>57</v>
      </c>
      <c r="P32" s="10"/>
      <c r="Q32" s="214">
        <f>SUM(Q33:Q34)</f>
        <v>657.1</v>
      </c>
      <c r="R32" s="214">
        <f>SUM(R33:R34)</f>
        <v>0</v>
      </c>
      <c r="S32" s="214">
        <f>SUM(S33:S34)</f>
        <v>0</v>
      </c>
    </row>
    <row r="33" spans="1:19" ht="18" customHeight="1" hidden="1">
      <c r="A33" s="99"/>
      <c r="B33" s="98"/>
      <c r="C33" s="106"/>
      <c r="D33" s="107"/>
      <c r="E33" s="104"/>
      <c r="F33" s="104"/>
      <c r="G33" s="89"/>
      <c r="H33" s="11" t="s">
        <v>526</v>
      </c>
      <c r="I33" s="10">
        <v>27</v>
      </c>
      <c r="J33" s="7">
        <v>1</v>
      </c>
      <c r="K33" s="7">
        <v>4</v>
      </c>
      <c r="L33" s="16">
        <v>91</v>
      </c>
      <c r="M33" s="96" t="s">
        <v>556</v>
      </c>
      <c r="N33" s="96" t="s">
        <v>576</v>
      </c>
      <c r="O33" s="96" t="s">
        <v>57</v>
      </c>
      <c r="P33" s="10">
        <v>120</v>
      </c>
      <c r="Q33" s="214">
        <v>652.1</v>
      </c>
      <c r="R33" s="214">
        <v>0</v>
      </c>
      <c r="S33" s="214">
        <v>0</v>
      </c>
    </row>
    <row r="34" spans="1:19" ht="17.25" customHeight="1" hidden="1">
      <c r="A34" s="99"/>
      <c r="B34" s="98"/>
      <c r="C34" s="106"/>
      <c r="D34" s="107"/>
      <c r="E34" s="104"/>
      <c r="F34" s="104"/>
      <c r="G34" s="89"/>
      <c r="H34" s="11" t="s">
        <v>712</v>
      </c>
      <c r="I34" s="10">
        <v>27</v>
      </c>
      <c r="J34" s="7">
        <v>1</v>
      </c>
      <c r="K34" s="7">
        <v>4</v>
      </c>
      <c r="L34" s="16">
        <v>91</v>
      </c>
      <c r="M34" s="96" t="s">
        <v>556</v>
      </c>
      <c r="N34" s="96" t="s">
        <v>576</v>
      </c>
      <c r="O34" s="96" t="s">
        <v>57</v>
      </c>
      <c r="P34" s="10">
        <v>240</v>
      </c>
      <c r="Q34" s="214">
        <v>5</v>
      </c>
      <c r="R34" s="214">
        <v>0</v>
      </c>
      <c r="S34" s="214">
        <v>0</v>
      </c>
    </row>
    <row r="35" spans="1:19" ht="56.25" customHeight="1" hidden="1">
      <c r="A35" s="99"/>
      <c r="B35" s="98"/>
      <c r="C35" s="106"/>
      <c r="D35" s="107"/>
      <c r="E35" s="104"/>
      <c r="F35" s="104"/>
      <c r="G35" s="89"/>
      <c r="H35" s="11" t="s">
        <v>690</v>
      </c>
      <c r="I35" s="10">
        <v>27</v>
      </c>
      <c r="J35" s="7">
        <v>1</v>
      </c>
      <c r="K35" s="7">
        <v>4</v>
      </c>
      <c r="L35" s="16">
        <v>91</v>
      </c>
      <c r="M35" s="96" t="s">
        <v>556</v>
      </c>
      <c r="N35" s="96" t="s">
        <v>576</v>
      </c>
      <c r="O35" s="96" t="s">
        <v>59</v>
      </c>
      <c r="P35" s="10"/>
      <c r="Q35" s="214">
        <f>Q36</f>
        <v>84</v>
      </c>
      <c r="R35" s="214">
        <v>0</v>
      </c>
      <c r="S35" s="214">
        <v>0</v>
      </c>
    </row>
    <row r="36" spans="1:19" ht="27.75" customHeight="1" hidden="1">
      <c r="A36" s="99"/>
      <c r="B36" s="98"/>
      <c r="C36" s="106"/>
      <c r="D36" s="107"/>
      <c r="E36" s="104"/>
      <c r="F36" s="104"/>
      <c r="G36" s="89"/>
      <c r="H36" s="11" t="s">
        <v>526</v>
      </c>
      <c r="I36" s="10">
        <v>27</v>
      </c>
      <c r="J36" s="7">
        <v>1</v>
      </c>
      <c r="K36" s="7">
        <v>4</v>
      </c>
      <c r="L36" s="16">
        <v>91</v>
      </c>
      <c r="M36" s="96" t="s">
        <v>556</v>
      </c>
      <c r="N36" s="96" t="s">
        <v>576</v>
      </c>
      <c r="O36" s="96" t="s">
        <v>59</v>
      </c>
      <c r="P36" s="10">
        <v>120</v>
      </c>
      <c r="Q36" s="214">
        <v>84</v>
      </c>
      <c r="R36" s="214">
        <v>0</v>
      </c>
      <c r="S36" s="214">
        <v>0</v>
      </c>
    </row>
    <row r="37" spans="1:19" ht="66" customHeight="1" hidden="1">
      <c r="A37" s="99"/>
      <c r="B37" s="98"/>
      <c r="C37" s="106"/>
      <c r="D37" s="107"/>
      <c r="E37" s="104"/>
      <c r="F37" s="104"/>
      <c r="G37" s="89"/>
      <c r="H37" s="11" t="s">
        <v>691</v>
      </c>
      <c r="I37" s="10">
        <v>27</v>
      </c>
      <c r="J37" s="7">
        <v>1</v>
      </c>
      <c r="K37" s="7">
        <v>4</v>
      </c>
      <c r="L37" s="16">
        <v>91</v>
      </c>
      <c r="M37" s="96" t="s">
        <v>556</v>
      </c>
      <c r="N37" s="96" t="s">
        <v>576</v>
      </c>
      <c r="O37" s="96" t="s">
        <v>745</v>
      </c>
      <c r="P37" s="10"/>
      <c r="Q37" s="214">
        <f>SUM(Q38:Q39)</f>
        <v>353.1</v>
      </c>
      <c r="R37" s="214">
        <f>SUM(R38:R39)</f>
        <v>0</v>
      </c>
      <c r="S37" s="214">
        <f>SUM(S38:S39)</f>
        <v>0</v>
      </c>
    </row>
    <row r="38" spans="1:19" ht="26.25" customHeight="1" hidden="1">
      <c r="A38" s="99"/>
      <c r="B38" s="98"/>
      <c r="C38" s="106"/>
      <c r="D38" s="107"/>
      <c r="E38" s="104"/>
      <c r="F38" s="104"/>
      <c r="G38" s="89"/>
      <c r="H38" s="11" t="s">
        <v>526</v>
      </c>
      <c r="I38" s="10">
        <v>27</v>
      </c>
      <c r="J38" s="7">
        <v>1</v>
      </c>
      <c r="K38" s="7">
        <v>4</v>
      </c>
      <c r="L38" s="16">
        <v>91</v>
      </c>
      <c r="M38" s="96" t="s">
        <v>556</v>
      </c>
      <c r="N38" s="96" t="s">
        <v>576</v>
      </c>
      <c r="O38" s="96" t="s">
        <v>745</v>
      </c>
      <c r="P38" s="10">
        <v>120</v>
      </c>
      <c r="Q38" s="214">
        <v>348.1</v>
      </c>
      <c r="R38" s="214">
        <v>0</v>
      </c>
      <c r="S38" s="214">
        <v>0</v>
      </c>
    </row>
    <row r="39" spans="1:19" ht="30" customHeight="1" hidden="1">
      <c r="A39" s="99"/>
      <c r="B39" s="98"/>
      <c r="C39" s="106"/>
      <c r="D39" s="107"/>
      <c r="E39" s="104"/>
      <c r="F39" s="104"/>
      <c r="G39" s="89"/>
      <c r="H39" s="11" t="s">
        <v>712</v>
      </c>
      <c r="I39" s="10">
        <v>27</v>
      </c>
      <c r="J39" s="7">
        <v>1</v>
      </c>
      <c r="K39" s="7">
        <v>4</v>
      </c>
      <c r="L39" s="16">
        <v>91</v>
      </c>
      <c r="M39" s="96" t="s">
        <v>556</v>
      </c>
      <c r="N39" s="96" t="s">
        <v>576</v>
      </c>
      <c r="O39" s="96" t="s">
        <v>745</v>
      </c>
      <c r="P39" s="10">
        <v>240</v>
      </c>
      <c r="Q39" s="214">
        <v>5</v>
      </c>
      <c r="R39" s="215">
        <v>0</v>
      </c>
      <c r="S39" s="215">
        <v>0</v>
      </c>
    </row>
    <row r="40" spans="1:19" ht="27" customHeight="1" hidden="1">
      <c r="A40" s="99"/>
      <c r="B40" s="98"/>
      <c r="C40" s="106"/>
      <c r="D40" s="107"/>
      <c r="E40" s="104"/>
      <c r="F40" s="104"/>
      <c r="G40" s="89"/>
      <c r="H40" s="11" t="s">
        <v>748</v>
      </c>
      <c r="I40" s="10">
        <v>27</v>
      </c>
      <c r="J40" s="7">
        <v>1</v>
      </c>
      <c r="K40" s="7">
        <v>4</v>
      </c>
      <c r="L40" s="16">
        <v>91</v>
      </c>
      <c r="M40" s="96" t="s">
        <v>556</v>
      </c>
      <c r="N40" s="96" t="s">
        <v>576</v>
      </c>
      <c r="O40" s="96" t="s">
        <v>746</v>
      </c>
      <c r="P40" s="10"/>
      <c r="Q40" s="214">
        <f>Q41</f>
        <v>124.2</v>
      </c>
      <c r="R40" s="214">
        <f>R41</f>
        <v>0</v>
      </c>
      <c r="S40" s="214">
        <f>S41</f>
        <v>0</v>
      </c>
    </row>
    <row r="41" spans="1:19" ht="24" customHeight="1" hidden="1">
      <c r="A41" s="99"/>
      <c r="B41" s="98"/>
      <c r="C41" s="106"/>
      <c r="D41" s="107"/>
      <c r="E41" s="104"/>
      <c r="F41" s="104"/>
      <c r="G41" s="89"/>
      <c r="H41" s="11" t="s">
        <v>526</v>
      </c>
      <c r="I41" s="10">
        <v>27</v>
      </c>
      <c r="J41" s="7">
        <v>1</v>
      </c>
      <c r="K41" s="7">
        <v>4</v>
      </c>
      <c r="L41" s="16">
        <v>91</v>
      </c>
      <c r="M41" s="96" t="s">
        <v>556</v>
      </c>
      <c r="N41" s="96" t="s">
        <v>576</v>
      </c>
      <c r="O41" s="96" t="s">
        <v>746</v>
      </c>
      <c r="P41" s="10">
        <v>120</v>
      </c>
      <c r="Q41" s="214">
        <v>124.2</v>
      </c>
      <c r="R41" s="214"/>
      <c r="S41" s="214"/>
    </row>
    <row r="42" spans="1:19" ht="67.5" customHeight="1" hidden="1">
      <c r="A42" s="99"/>
      <c r="B42" s="98"/>
      <c r="C42" s="106"/>
      <c r="D42" s="107"/>
      <c r="E42" s="104"/>
      <c r="F42" s="104"/>
      <c r="G42" s="89"/>
      <c r="H42" s="11" t="s">
        <v>692</v>
      </c>
      <c r="I42" s="10">
        <v>27</v>
      </c>
      <c r="J42" s="7">
        <v>1</v>
      </c>
      <c r="K42" s="7">
        <v>4</v>
      </c>
      <c r="L42" s="16">
        <v>91</v>
      </c>
      <c r="M42" s="96" t="s">
        <v>556</v>
      </c>
      <c r="N42" s="96" t="s">
        <v>576</v>
      </c>
      <c r="O42" s="96" t="s">
        <v>5</v>
      </c>
      <c r="P42" s="10"/>
      <c r="Q42" s="214">
        <f>Q43</f>
        <v>0.5</v>
      </c>
      <c r="R42" s="214">
        <v>0</v>
      </c>
      <c r="S42" s="214">
        <v>0</v>
      </c>
    </row>
    <row r="43" spans="1:19" ht="24" customHeight="1" hidden="1">
      <c r="A43" s="99"/>
      <c r="B43" s="98"/>
      <c r="C43" s="106"/>
      <c r="D43" s="107"/>
      <c r="E43" s="104"/>
      <c r="F43" s="104"/>
      <c r="G43" s="89"/>
      <c r="H43" s="11" t="s">
        <v>712</v>
      </c>
      <c r="I43" s="10">
        <v>27</v>
      </c>
      <c r="J43" s="7">
        <v>1</v>
      </c>
      <c r="K43" s="7">
        <v>4</v>
      </c>
      <c r="L43" s="16">
        <v>91</v>
      </c>
      <c r="M43" s="96" t="s">
        <v>556</v>
      </c>
      <c r="N43" s="96" t="s">
        <v>576</v>
      </c>
      <c r="O43" s="96" t="s">
        <v>5</v>
      </c>
      <c r="P43" s="10">
        <v>240</v>
      </c>
      <c r="Q43" s="214">
        <v>0.5</v>
      </c>
      <c r="R43" s="214">
        <v>0</v>
      </c>
      <c r="S43" s="214">
        <v>0</v>
      </c>
    </row>
    <row r="44" spans="1:19" s="179" customFormat="1" ht="27.75" customHeight="1">
      <c r="A44" s="142"/>
      <c r="B44" s="143"/>
      <c r="C44" s="157"/>
      <c r="D44" s="170"/>
      <c r="E44" s="145"/>
      <c r="F44" s="145"/>
      <c r="G44" s="136"/>
      <c r="H44" s="137" t="s">
        <v>609</v>
      </c>
      <c r="I44" s="138">
        <v>27</v>
      </c>
      <c r="J44" s="148">
        <v>1</v>
      </c>
      <c r="K44" s="148">
        <v>5</v>
      </c>
      <c r="L44" s="139"/>
      <c r="M44" s="141"/>
      <c r="N44" s="141"/>
      <c r="O44" s="141"/>
      <c r="P44" s="138"/>
      <c r="Q44" s="213">
        <f aca="true" t="shared" si="2" ref="Q44:S45">Q45</f>
        <v>9.4</v>
      </c>
      <c r="R44" s="213">
        <f t="shared" si="2"/>
        <v>10.1</v>
      </c>
      <c r="S44" s="213">
        <f t="shared" si="2"/>
        <v>28.7</v>
      </c>
    </row>
    <row r="45" spans="1:19" ht="36.75" customHeight="1">
      <c r="A45" s="99"/>
      <c r="B45" s="98"/>
      <c r="C45" s="106"/>
      <c r="D45" s="107"/>
      <c r="E45" s="104"/>
      <c r="F45" s="104"/>
      <c r="G45" s="89"/>
      <c r="H45" s="11" t="s">
        <v>756</v>
      </c>
      <c r="I45" s="10">
        <v>27</v>
      </c>
      <c r="J45" s="7">
        <v>1</v>
      </c>
      <c r="K45" s="7">
        <v>5</v>
      </c>
      <c r="L45" s="16">
        <v>91</v>
      </c>
      <c r="M45" s="96" t="s">
        <v>556</v>
      </c>
      <c r="N45" s="96" t="s">
        <v>576</v>
      </c>
      <c r="O45" s="96" t="s">
        <v>755</v>
      </c>
      <c r="P45" s="10"/>
      <c r="Q45" s="214">
        <f t="shared" si="2"/>
        <v>9.4</v>
      </c>
      <c r="R45" s="214">
        <f t="shared" si="2"/>
        <v>10.1</v>
      </c>
      <c r="S45" s="214">
        <f t="shared" si="2"/>
        <v>28.7</v>
      </c>
    </row>
    <row r="46" spans="1:19" ht="27.75" customHeight="1">
      <c r="A46" s="99"/>
      <c r="B46" s="98"/>
      <c r="C46" s="106"/>
      <c r="D46" s="107"/>
      <c r="E46" s="104"/>
      <c r="F46" s="104"/>
      <c r="G46" s="89"/>
      <c r="H46" s="11" t="s">
        <v>712</v>
      </c>
      <c r="I46" s="10">
        <v>27</v>
      </c>
      <c r="J46" s="7">
        <v>1</v>
      </c>
      <c r="K46" s="7">
        <v>5</v>
      </c>
      <c r="L46" s="16">
        <v>91</v>
      </c>
      <c r="M46" s="96" t="s">
        <v>556</v>
      </c>
      <c r="N46" s="96" t="s">
        <v>576</v>
      </c>
      <c r="O46" s="96" t="s">
        <v>755</v>
      </c>
      <c r="P46" s="10">
        <v>240</v>
      </c>
      <c r="Q46" s="214">
        <v>9.4</v>
      </c>
      <c r="R46" s="214">
        <v>10.1</v>
      </c>
      <c r="S46" s="214">
        <v>28.7</v>
      </c>
    </row>
    <row r="47" spans="1:19" s="179" customFormat="1" ht="36.75" customHeight="1">
      <c r="A47" s="142"/>
      <c r="B47" s="143"/>
      <c r="C47" s="153"/>
      <c r="D47" s="150"/>
      <c r="E47" s="384">
        <v>5201000</v>
      </c>
      <c r="F47" s="384"/>
      <c r="G47" s="136">
        <v>530</v>
      </c>
      <c r="H47" s="137" t="s">
        <v>364</v>
      </c>
      <c r="I47" s="138">
        <v>661</v>
      </c>
      <c r="J47" s="148">
        <v>1</v>
      </c>
      <c r="K47" s="148">
        <v>6</v>
      </c>
      <c r="L47" s="140" t="s">
        <v>527</v>
      </c>
      <c r="M47" s="141" t="s">
        <v>527</v>
      </c>
      <c r="N47" s="141"/>
      <c r="O47" s="141" t="s">
        <v>527</v>
      </c>
      <c r="P47" s="146" t="s">
        <v>527</v>
      </c>
      <c r="Q47" s="217" t="e">
        <f>Q48+Q59+#REF!</f>
        <v>#REF!</v>
      </c>
      <c r="R47" s="217">
        <f>R48+R59</f>
        <v>8314.5</v>
      </c>
      <c r="S47" s="217">
        <f>S48+S59</f>
        <v>8314.5</v>
      </c>
    </row>
    <row r="48" spans="1:19" ht="36.75" customHeight="1">
      <c r="A48" s="97"/>
      <c r="B48" s="98"/>
      <c r="C48" s="103"/>
      <c r="D48" s="101"/>
      <c r="E48" s="104"/>
      <c r="F48" s="104"/>
      <c r="G48" s="89"/>
      <c r="H48" s="11" t="s">
        <v>700</v>
      </c>
      <c r="I48" s="10">
        <v>661</v>
      </c>
      <c r="J48" s="7">
        <v>1</v>
      </c>
      <c r="K48" s="7">
        <v>6</v>
      </c>
      <c r="L48" s="95" t="s">
        <v>701</v>
      </c>
      <c r="M48" s="96" t="s">
        <v>556</v>
      </c>
      <c r="N48" s="96" t="s">
        <v>576</v>
      </c>
      <c r="O48" s="96" t="s">
        <v>613</v>
      </c>
      <c r="P48" s="6"/>
      <c r="Q48" s="216" t="e">
        <f>Q49+Q53</f>
        <v>#REF!</v>
      </c>
      <c r="R48" s="216">
        <f>R49+R53</f>
        <v>6771.8</v>
      </c>
      <c r="S48" s="216">
        <f>S49+S53</f>
        <v>6771.8</v>
      </c>
    </row>
    <row r="49" spans="1:19" ht="36.75" customHeight="1">
      <c r="A49" s="97"/>
      <c r="B49" s="98"/>
      <c r="C49" s="114"/>
      <c r="D49" s="107"/>
      <c r="E49" s="104"/>
      <c r="F49" s="104"/>
      <c r="G49" s="89"/>
      <c r="H49" s="11" t="s">
        <v>377</v>
      </c>
      <c r="I49" s="10">
        <v>661</v>
      </c>
      <c r="J49" s="7">
        <v>1</v>
      </c>
      <c r="K49" s="7">
        <v>6</v>
      </c>
      <c r="L49" s="95" t="s">
        <v>701</v>
      </c>
      <c r="M49" s="96" t="s">
        <v>558</v>
      </c>
      <c r="N49" s="96" t="s">
        <v>576</v>
      </c>
      <c r="O49" s="96" t="s">
        <v>613</v>
      </c>
      <c r="P49" s="6"/>
      <c r="Q49" s="216">
        <f aca="true" t="shared" si="3" ref="Q49:S51">Q50</f>
        <v>50</v>
      </c>
      <c r="R49" s="216">
        <f t="shared" si="3"/>
        <v>50</v>
      </c>
      <c r="S49" s="216">
        <f t="shared" si="3"/>
        <v>50</v>
      </c>
    </row>
    <row r="50" spans="1:19" ht="36.75" customHeight="1">
      <c r="A50" s="97"/>
      <c r="B50" s="98"/>
      <c r="C50" s="114"/>
      <c r="D50" s="107"/>
      <c r="E50" s="104"/>
      <c r="F50" s="104"/>
      <c r="G50" s="89"/>
      <c r="H50" s="11" t="s">
        <v>37</v>
      </c>
      <c r="I50" s="10">
        <v>661</v>
      </c>
      <c r="J50" s="7">
        <v>1</v>
      </c>
      <c r="K50" s="7">
        <v>6</v>
      </c>
      <c r="L50" s="95" t="s">
        <v>701</v>
      </c>
      <c r="M50" s="96" t="s">
        <v>558</v>
      </c>
      <c r="N50" s="96" t="s">
        <v>557</v>
      </c>
      <c r="O50" s="96" t="s">
        <v>613</v>
      </c>
      <c r="P50" s="6"/>
      <c r="Q50" s="216">
        <f t="shared" si="3"/>
        <v>50</v>
      </c>
      <c r="R50" s="216">
        <f t="shared" si="3"/>
        <v>50</v>
      </c>
      <c r="S50" s="216">
        <f t="shared" si="3"/>
        <v>50</v>
      </c>
    </row>
    <row r="51" spans="1:19" ht="21.75" customHeight="1">
      <c r="A51" s="97"/>
      <c r="B51" s="98"/>
      <c r="C51" s="114"/>
      <c r="D51" s="107"/>
      <c r="E51" s="104"/>
      <c r="F51" s="104"/>
      <c r="G51" s="89"/>
      <c r="H51" s="11" t="s">
        <v>335</v>
      </c>
      <c r="I51" s="10">
        <v>661</v>
      </c>
      <c r="J51" s="7">
        <v>1</v>
      </c>
      <c r="K51" s="7">
        <v>6</v>
      </c>
      <c r="L51" s="95" t="s">
        <v>701</v>
      </c>
      <c r="M51" s="96" t="s">
        <v>558</v>
      </c>
      <c r="N51" s="96" t="s">
        <v>557</v>
      </c>
      <c r="O51" s="96" t="s">
        <v>641</v>
      </c>
      <c r="P51" s="6"/>
      <c r="Q51" s="216">
        <f t="shared" si="3"/>
        <v>50</v>
      </c>
      <c r="R51" s="216">
        <f t="shared" si="3"/>
        <v>50</v>
      </c>
      <c r="S51" s="216">
        <f t="shared" si="3"/>
        <v>50</v>
      </c>
    </row>
    <row r="52" spans="1:19" ht="28.5" customHeight="1">
      <c r="A52" s="97"/>
      <c r="B52" s="98"/>
      <c r="C52" s="114"/>
      <c r="D52" s="107"/>
      <c r="E52" s="104"/>
      <c r="F52" s="104"/>
      <c r="G52" s="89"/>
      <c r="H52" s="11" t="s">
        <v>712</v>
      </c>
      <c r="I52" s="10">
        <v>661</v>
      </c>
      <c r="J52" s="7">
        <v>1</v>
      </c>
      <c r="K52" s="7">
        <v>6</v>
      </c>
      <c r="L52" s="95" t="s">
        <v>701</v>
      </c>
      <c r="M52" s="96" t="s">
        <v>558</v>
      </c>
      <c r="N52" s="96" t="s">
        <v>557</v>
      </c>
      <c r="O52" s="96" t="s">
        <v>641</v>
      </c>
      <c r="P52" s="6">
        <v>240</v>
      </c>
      <c r="Q52" s="216">
        <v>50</v>
      </c>
      <c r="R52" s="216">
        <v>50</v>
      </c>
      <c r="S52" s="216">
        <v>50</v>
      </c>
    </row>
    <row r="53" spans="1:19" ht="38.25" customHeight="1">
      <c r="A53" s="97"/>
      <c r="B53" s="98"/>
      <c r="C53" s="114"/>
      <c r="D53" s="94"/>
      <c r="E53" s="94"/>
      <c r="F53" s="94"/>
      <c r="G53" s="89"/>
      <c r="H53" s="11" t="s">
        <v>707</v>
      </c>
      <c r="I53" s="10">
        <v>661</v>
      </c>
      <c r="J53" s="7">
        <v>1</v>
      </c>
      <c r="K53" s="7">
        <v>6</v>
      </c>
      <c r="L53" s="95" t="s">
        <v>701</v>
      </c>
      <c r="M53" s="96" t="s">
        <v>553</v>
      </c>
      <c r="N53" s="96" t="s">
        <v>576</v>
      </c>
      <c r="O53" s="96" t="s">
        <v>613</v>
      </c>
      <c r="P53" s="10"/>
      <c r="Q53" s="214" t="e">
        <f>Q54</f>
        <v>#REF!</v>
      </c>
      <c r="R53" s="214">
        <f>R54</f>
        <v>6721.8</v>
      </c>
      <c r="S53" s="214">
        <f>S54</f>
        <v>6721.8</v>
      </c>
    </row>
    <row r="54" spans="1:19" ht="62.25" customHeight="1">
      <c r="A54" s="97"/>
      <c r="B54" s="98"/>
      <c r="C54" s="114"/>
      <c r="D54" s="111"/>
      <c r="E54" s="114"/>
      <c r="F54" s="114"/>
      <c r="G54" s="89"/>
      <c r="H54" s="11" t="s">
        <v>693</v>
      </c>
      <c r="I54" s="10">
        <v>661</v>
      </c>
      <c r="J54" s="7">
        <v>1</v>
      </c>
      <c r="K54" s="7">
        <v>6</v>
      </c>
      <c r="L54" s="95" t="s">
        <v>701</v>
      </c>
      <c r="M54" s="96" t="s">
        <v>553</v>
      </c>
      <c r="N54" s="96" t="s">
        <v>557</v>
      </c>
      <c r="O54" s="96" t="s">
        <v>613</v>
      </c>
      <c r="P54" s="6"/>
      <c r="Q54" s="216" t="e">
        <f>Q55+#REF!+#REF!</f>
        <v>#REF!</v>
      </c>
      <c r="R54" s="216">
        <f>R55</f>
        <v>6721.8</v>
      </c>
      <c r="S54" s="216">
        <f>S55</f>
        <v>6721.8</v>
      </c>
    </row>
    <row r="55" spans="1:19" ht="33.75" customHeight="1">
      <c r="A55" s="99"/>
      <c r="B55" s="98"/>
      <c r="C55" s="103"/>
      <c r="D55" s="101"/>
      <c r="E55" s="104"/>
      <c r="F55" s="104"/>
      <c r="G55" s="105">
        <v>530</v>
      </c>
      <c r="H55" s="11" t="s">
        <v>335</v>
      </c>
      <c r="I55" s="10">
        <v>661</v>
      </c>
      <c r="J55" s="7">
        <v>1</v>
      </c>
      <c r="K55" s="7">
        <v>6</v>
      </c>
      <c r="L55" s="16">
        <v>33</v>
      </c>
      <c r="M55" s="96" t="s">
        <v>553</v>
      </c>
      <c r="N55" s="96" t="s">
        <v>557</v>
      </c>
      <c r="O55" s="96" t="s">
        <v>641</v>
      </c>
      <c r="P55" s="6" t="s">
        <v>527</v>
      </c>
      <c r="Q55" s="216">
        <f>SUM(Q56:Q58)</f>
        <v>5717.6</v>
      </c>
      <c r="R55" s="216">
        <f>SUM(R56:R58)</f>
        <v>6721.8</v>
      </c>
      <c r="S55" s="216">
        <f>SUM(S56:S58)</f>
        <v>6721.8</v>
      </c>
    </row>
    <row r="56" spans="1:19" ht="22.5" customHeight="1">
      <c r="A56" s="110"/>
      <c r="B56" s="111"/>
      <c r="C56" s="106"/>
      <c r="D56" s="107"/>
      <c r="E56" s="104"/>
      <c r="F56" s="104"/>
      <c r="G56" s="89"/>
      <c r="H56" s="11" t="s">
        <v>526</v>
      </c>
      <c r="I56" s="6">
        <v>661</v>
      </c>
      <c r="J56" s="7">
        <v>1</v>
      </c>
      <c r="K56" s="7">
        <v>6</v>
      </c>
      <c r="L56" s="16">
        <v>33</v>
      </c>
      <c r="M56" s="96" t="s">
        <v>553</v>
      </c>
      <c r="N56" s="96" t="s">
        <v>557</v>
      </c>
      <c r="O56" s="96" t="s">
        <v>641</v>
      </c>
      <c r="P56" s="6">
        <v>120</v>
      </c>
      <c r="Q56" s="216">
        <v>3954</v>
      </c>
      <c r="R56" s="216">
        <f>3765.6+977.2</f>
        <v>4742.8</v>
      </c>
      <c r="S56" s="216">
        <f>3765.6+977.2</f>
        <v>4742.8</v>
      </c>
    </row>
    <row r="57" spans="1:19" ht="21.75" customHeight="1">
      <c r="A57" s="110"/>
      <c r="B57" s="112"/>
      <c r="C57" s="106"/>
      <c r="D57" s="109"/>
      <c r="E57" s="104"/>
      <c r="F57" s="104"/>
      <c r="G57" s="89"/>
      <c r="H57" s="5" t="s">
        <v>712</v>
      </c>
      <c r="I57" s="6">
        <v>661</v>
      </c>
      <c r="J57" s="7">
        <v>1</v>
      </c>
      <c r="K57" s="7">
        <v>6</v>
      </c>
      <c r="L57" s="16">
        <v>33</v>
      </c>
      <c r="M57" s="96" t="s">
        <v>553</v>
      </c>
      <c r="N57" s="96" t="s">
        <v>557</v>
      </c>
      <c r="O57" s="96" t="s">
        <v>641</v>
      </c>
      <c r="P57" s="6">
        <v>240</v>
      </c>
      <c r="Q57" s="214">
        <v>1740.6</v>
      </c>
      <c r="R57" s="214">
        <f>2933.2-977.2</f>
        <v>1955.9999999999998</v>
      </c>
      <c r="S57" s="214">
        <f>2933.2-977.2</f>
        <v>1955.9999999999998</v>
      </c>
    </row>
    <row r="58" spans="1:19" ht="21.75" customHeight="1">
      <c r="A58" s="97"/>
      <c r="B58" s="98"/>
      <c r="C58" s="94"/>
      <c r="D58" s="94"/>
      <c r="E58" s="94"/>
      <c r="F58" s="94"/>
      <c r="G58" s="89"/>
      <c r="H58" s="11" t="s">
        <v>713</v>
      </c>
      <c r="I58" s="10">
        <v>661</v>
      </c>
      <c r="J58" s="7">
        <v>1</v>
      </c>
      <c r="K58" s="7">
        <v>6</v>
      </c>
      <c r="L58" s="95" t="s">
        <v>701</v>
      </c>
      <c r="M58" s="96" t="s">
        <v>553</v>
      </c>
      <c r="N58" s="96" t="s">
        <v>557</v>
      </c>
      <c r="O58" s="96" t="s">
        <v>641</v>
      </c>
      <c r="P58" s="10">
        <v>850</v>
      </c>
      <c r="Q58" s="214">
        <v>23</v>
      </c>
      <c r="R58" s="214">
        <v>23</v>
      </c>
      <c r="S58" s="214">
        <v>23</v>
      </c>
    </row>
    <row r="59" spans="1:19" ht="22.5" customHeight="1">
      <c r="A59" s="99"/>
      <c r="B59" s="98"/>
      <c r="C59" s="103"/>
      <c r="D59" s="101"/>
      <c r="E59" s="113"/>
      <c r="F59" s="113">
        <v>5250104</v>
      </c>
      <c r="G59" s="105">
        <v>530</v>
      </c>
      <c r="H59" s="11" t="s">
        <v>335</v>
      </c>
      <c r="I59" s="10">
        <v>658</v>
      </c>
      <c r="J59" s="7">
        <v>1</v>
      </c>
      <c r="K59" s="7">
        <v>6</v>
      </c>
      <c r="L59" s="16" t="s">
        <v>573</v>
      </c>
      <c r="M59" s="96" t="s">
        <v>556</v>
      </c>
      <c r="N59" s="96" t="s">
        <v>576</v>
      </c>
      <c r="O59" s="96" t="s">
        <v>641</v>
      </c>
      <c r="P59" s="10" t="s">
        <v>527</v>
      </c>
      <c r="Q59" s="214">
        <f>SUM(Q60:Q61)</f>
        <v>1542.6999999999998</v>
      </c>
      <c r="R59" s="214">
        <f>SUM(R60:R61)</f>
        <v>1542.6999999999998</v>
      </c>
      <c r="S59" s="214">
        <f>SUM(S60:S61)</f>
        <v>1542.6999999999998</v>
      </c>
    </row>
    <row r="60" spans="1:19" ht="22.5" customHeight="1">
      <c r="A60" s="99"/>
      <c r="B60" s="98"/>
      <c r="C60" s="103"/>
      <c r="D60" s="101"/>
      <c r="E60" s="113"/>
      <c r="F60" s="113"/>
      <c r="G60" s="105"/>
      <c r="H60" s="11" t="s">
        <v>526</v>
      </c>
      <c r="I60" s="6">
        <v>658</v>
      </c>
      <c r="J60" s="7">
        <v>1</v>
      </c>
      <c r="K60" s="7">
        <v>6</v>
      </c>
      <c r="L60" s="16">
        <v>91</v>
      </c>
      <c r="M60" s="96" t="s">
        <v>556</v>
      </c>
      <c r="N60" s="96" t="s">
        <v>576</v>
      </c>
      <c r="O60" s="96" t="s">
        <v>641</v>
      </c>
      <c r="P60" s="10">
        <v>120</v>
      </c>
      <c r="Q60" s="214">
        <v>1273.6</v>
      </c>
      <c r="R60" s="214">
        <v>1273.6</v>
      </c>
      <c r="S60" s="214">
        <v>1273.6</v>
      </c>
    </row>
    <row r="61" spans="1:19" ht="20.25" customHeight="1">
      <c r="A61" s="99"/>
      <c r="B61" s="98"/>
      <c r="C61" s="103"/>
      <c r="D61" s="101"/>
      <c r="E61" s="113"/>
      <c r="F61" s="113"/>
      <c r="G61" s="105"/>
      <c r="H61" s="5" t="s">
        <v>712</v>
      </c>
      <c r="I61" s="8">
        <v>658</v>
      </c>
      <c r="J61" s="7">
        <v>1</v>
      </c>
      <c r="K61" s="7">
        <v>6</v>
      </c>
      <c r="L61" s="16">
        <v>91</v>
      </c>
      <c r="M61" s="96" t="s">
        <v>556</v>
      </c>
      <c r="N61" s="96" t="s">
        <v>576</v>
      </c>
      <c r="O61" s="96" t="s">
        <v>641</v>
      </c>
      <c r="P61" s="6">
        <v>240</v>
      </c>
      <c r="Q61" s="214">
        <v>269.1</v>
      </c>
      <c r="R61" s="214">
        <v>269.1</v>
      </c>
      <c r="S61" s="214">
        <v>269.1</v>
      </c>
    </row>
    <row r="62" spans="1:19" s="179" customFormat="1" ht="18.75" customHeight="1">
      <c r="A62" s="375">
        <v>1200</v>
      </c>
      <c r="B62" s="375"/>
      <c r="C62" s="376"/>
      <c r="D62" s="376"/>
      <c r="E62" s="376"/>
      <c r="F62" s="376"/>
      <c r="G62" s="136">
        <v>622</v>
      </c>
      <c r="H62" s="137" t="s">
        <v>363</v>
      </c>
      <c r="I62" s="138">
        <v>27</v>
      </c>
      <c r="J62" s="148">
        <v>1</v>
      </c>
      <c r="K62" s="148">
        <v>11</v>
      </c>
      <c r="L62" s="140" t="s">
        <v>527</v>
      </c>
      <c r="M62" s="141" t="s">
        <v>527</v>
      </c>
      <c r="N62" s="141"/>
      <c r="O62" s="141" t="s">
        <v>527</v>
      </c>
      <c r="P62" s="138" t="s">
        <v>527</v>
      </c>
      <c r="Q62" s="213">
        <f aca="true" t="shared" si="4" ref="Q62:S64">Q63</f>
        <v>500</v>
      </c>
      <c r="R62" s="213">
        <f t="shared" si="4"/>
        <v>500</v>
      </c>
      <c r="S62" s="213">
        <f t="shared" si="4"/>
        <v>500</v>
      </c>
    </row>
    <row r="63" spans="1:19" ht="23.25" customHeight="1">
      <c r="A63" s="99"/>
      <c r="B63" s="98"/>
      <c r="C63" s="381">
        <v>1204</v>
      </c>
      <c r="D63" s="382"/>
      <c r="E63" s="382"/>
      <c r="F63" s="382"/>
      <c r="G63" s="89">
        <v>622</v>
      </c>
      <c r="H63" s="11" t="s">
        <v>363</v>
      </c>
      <c r="I63" s="10">
        <v>27</v>
      </c>
      <c r="J63" s="7">
        <v>1</v>
      </c>
      <c r="K63" s="7">
        <v>11</v>
      </c>
      <c r="L63" s="95">
        <v>70</v>
      </c>
      <c r="M63" s="96">
        <v>0</v>
      </c>
      <c r="N63" s="96" t="s">
        <v>576</v>
      </c>
      <c r="O63" s="96" t="s">
        <v>613</v>
      </c>
      <c r="P63" s="10" t="s">
        <v>527</v>
      </c>
      <c r="Q63" s="214">
        <f t="shared" si="4"/>
        <v>500</v>
      </c>
      <c r="R63" s="214">
        <f t="shared" si="4"/>
        <v>500</v>
      </c>
      <c r="S63" s="214">
        <f t="shared" si="4"/>
        <v>500</v>
      </c>
    </row>
    <row r="64" spans="1:19" ht="21" customHeight="1">
      <c r="A64" s="99"/>
      <c r="B64" s="98"/>
      <c r="C64" s="97"/>
      <c r="D64" s="368">
        <v>4440000</v>
      </c>
      <c r="E64" s="368"/>
      <c r="F64" s="368"/>
      <c r="G64" s="89">
        <v>621</v>
      </c>
      <c r="H64" s="11" t="s">
        <v>346</v>
      </c>
      <c r="I64" s="10">
        <v>27</v>
      </c>
      <c r="J64" s="7">
        <v>1</v>
      </c>
      <c r="K64" s="7">
        <v>11</v>
      </c>
      <c r="L64" s="95" t="s">
        <v>336</v>
      </c>
      <c r="M64" s="96" t="s">
        <v>579</v>
      </c>
      <c r="N64" s="96" t="s">
        <v>576</v>
      </c>
      <c r="O64" s="96" t="s">
        <v>613</v>
      </c>
      <c r="P64" s="10" t="s">
        <v>527</v>
      </c>
      <c r="Q64" s="214">
        <f t="shared" si="4"/>
        <v>500</v>
      </c>
      <c r="R64" s="214">
        <f t="shared" si="4"/>
        <v>500</v>
      </c>
      <c r="S64" s="214">
        <f t="shared" si="4"/>
        <v>500</v>
      </c>
    </row>
    <row r="65" spans="1:19" ht="23.25" customHeight="1">
      <c r="A65" s="99"/>
      <c r="B65" s="98"/>
      <c r="C65" s="103"/>
      <c r="D65" s="109"/>
      <c r="E65" s="104"/>
      <c r="F65" s="104"/>
      <c r="G65" s="105">
        <v>621</v>
      </c>
      <c r="H65" s="5" t="s">
        <v>544</v>
      </c>
      <c r="I65" s="8">
        <v>27</v>
      </c>
      <c r="J65" s="7">
        <v>1</v>
      </c>
      <c r="K65" s="7">
        <v>11</v>
      </c>
      <c r="L65" s="95" t="s">
        <v>336</v>
      </c>
      <c r="M65" s="96" t="s">
        <v>579</v>
      </c>
      <c r="N65" s="96" t="s">
        <v>576</v>
      </c>
      <c r="O65" s="96" t="s">
        <v>613</v>
      </c>
      <c r="P65" s="6">
        <v>870</v>
      </c>
      <c r="Q65" s="216">
        <v>500</v>
      </c>
      <c r="R65" s="216">
        <v>500</v>
      </c>
      <c r="S65" s="216">
        <v>500</v>
      </c>
    </row>
    <row r="66" spans="1:19" s="179" customFormat="1" ht="23.25" customHeight="1">
      <c r="A66" s="142"/>
      <c r="B66" s="143"/>
      <c r="C66" s="142"/>
      <c r="D66" s="144"/>
      <c r="E66" s="145"/>
      <c r="F66" s="145"/>
      <c r="G66" s="136"/>
      <c r="H66" s="137" t="s">
        <v>528</v>
      </c>
      <c r="I66" s="146">
        <v>27</v>
      </c>
      <c r="J66" s="148">
        <v>1</v>
      </c>
      <c r="K66" s="148">
        <v>13</v>
      </c>
      <c r="L66" s="140"/>
      <c r="M66" s="141"/>
      <c r="N66" s="141"/>
      <c r="O66" s="141"/>
      <c r="P66" s="146"/>
      <c r="Q66" s="217" t="e">
        <f>#REF!+#REF!+Q67+Q94+#REF!+#REF!</f>
        <v>#REF!</v>
      </c>
      <c r="R66" s="217">
        <f>R67+R94+R74</f>
        <v>32954.7</v>
      </c>
      <c r="S66" s="217">
        <f>S67+S94+S74</f>
        <v>49908.9</v>
      </c>
    </row>
    <row r="67" spans="1:19" ht="36.75" customHeight="1">
      <c r="A67" s="97"/>
      <c r="B67" s="98"/>
      <c r="C67" s="103"/>
      <c r="D67" s="101"/>
      <c r="E67" s="104"/>
      <c r="F67" s="104"/>
      <c r="G67" s="89"/>
      <c r="H67" s="11" t="s">
        <v>700</v>
      </c>
      <c r="I67" s="10">
        <v>661</v>
      </c>
      <c r="J67" s="7">
        <v>1</v>
      </c>
      <c r="K67" s="7">
        <v>13</v>
      </c>
      <c r="L67" s="95" t="s">
        <v>701</v>
      </c>
      <c r="M67" s="96" t="s">
        <v>556</v>
      </c>
      <c r="N67" s="96" t="s">
        <v>576</v>
      </c>
      <c r="O67" s="96" t="s">
        <v>613</v>
      </c>
      <c r="P67" s="6"/>
      <c r="Q67" s="216" t="e">
        <f aca="true" t="shared" si="5" ref="Q67:S68">Q68</f>
        <v>#REF!</v>
      </c>
      <c r="R67" s="216">
        <f t="shared" si="5"/>
        <v>13395.400000000001</v>
      </c>
      <c r="S67" s="216">
        <f t="shared" si="5"/>
        <v>13395.400000000001</v>
      </c>
    </row>
    <row r="68" spans="1:19" ht="38.25" customHeight="1">
      <c r="A68" s="97"/>
      <c r="B68" s="98"/>
      <c r="C68" s="114"/>
      <c r="D68" s="94"/>
      <c r="E68" s="94"/>
      <c r="F68" s="94"/>
      <c r="G68" s="89"/>
      <c r="H68" s="11" t="s">
        <v>707</v>
      </c>
      <c r="I68" s="10">
        <v>661</v>
      </c>
      <c r="J68" s="7">
        <v>1</v>
      </c>
      <c r="K68" s="7">
        <v>13</v>
      </c>
      <c r="L68" s="95" t="s">
        <v>701</v>
      </c>
      <c r="M68" s="96" t="s">
        <v>553</v>
      </c>
      <c r="N68" s="96" t="s">
        <v>576</v>
      </c>
      <c r="O68" s="96" t="s">
        <v>613</v>
      </c>
      <c r="P68" s="10"/>
      <c r="Q68" s="214" t="e">
        <f t="shared" si="5"/>
        <v>#REF!</v>
      </c>
      <c r="R68" s="214">
        <f t="shared" si="5"/>
        <v>13395.400000000001</v>
      </c>
      <c r="S68" s="214">
        <f t="shared" si="5"/>
        <v>13395.400000000001</v>
      </c>
    </row>
    <row r="69" spans="1:19" ht="36" customHeight="1">
      <c r="A69" s="97"/>
      <c r="B69" s="98"/>
      <c r="C69" s="106"/>
      <c r="D69" s="111"/>
      <c r="E69" s="114"/>
      <c r="F69" s="114"/>
      <c r="G69" s="89"/>
      <c r="H69" s="11" t="s">
        <v>795</v>
      </c>
      <c r="I69" s="10">
        <v>661</v>
      </c>
      <c r="J69" s="7">
        <v>1</v>
      </c>
      <c r="K69" s="7">
        <v>13</v>
      </c>
      <c r="L69" s="95" t="s">
        <v>701</v>
      </c>
      <c r="M69" s="96" t="s">
        <v>553</v>
      </c>
      <c r="N69" s="96" t="s">
        <v>585</v>
      </c>
      <c r="O69" s="96" t="s">
        <v>613</v>
      </c>
      <c r="P69" s="10"/>
      <c r="Q69" s="214" t="e">
        <f>Q70+#REF!</f>
        <v>#REF!</v>
      </c>
      <c r="R69" s="214">
        <f>R70</f>
        <v>13395.400000000001</v>
      </c>
      <c r="S69" s="214">
        <f>S70</f>
        <v>13395.400000000001</v>
      </c>
    </row>
    <row r="70" spans="1:19" ht="33.75" customHeight="1">
      <c r="A70" s="97"/>
      <c r="B70" s="98"/>
      <c r="C70" s="106"/>
      <c r="D70" s="111"/>
      <c r="E70" s="114"/>
      <c r="F70" s="114"/>
      <c r="G70" s="89"/>
      <c r="H70" s="11" t="s">
        <v>337</v>
      </c>
      <c r="I70" s="10">
        <v>661</v>
      </c>
      <c r="J70" s="7">
        <v>1</v>
      </c>
      <c r="K70" s="7">
        <v>13</v>
      </c>
      <c r="L70" s="95" t="s">
        <v>701</v>
      </c>
      <c r="M70" s="96" t="s">
        <v>553</v>
      </c>
      <c r="N70" s="96" t="s">
        <v>585</v>
      </c>
      <c r="O70" s="96" t="s">
        <v>338</v>
      </c>
      <c r="P70" s="10"/>
      <c r="Q70" s="221">
        <f>SUM(Q71:Q73)</f>
        <v>12395.400000000001</v>
      </c>
      <c r="R70" s="221">
        <f>SUM(R71:R73)</f>
        <v>13395.400000000001</v>
      </c>
      <c r="S70" s="221">
        <f>SUM(S71:S73)</f>
        <v>13395.400000000001</v>
      </c>
    </row>
    <row r="71" spans="1:19" ht="30" customHeight="1">
      <c r="A71" s="97"/>
      <c r="B71" s="98"/>
      <c r="C71" s="106"/>
      <c r="D71" s="111"/>
      <c r="E71" s="114"/>
      <c r="F71" s="114"/>
      <c r="G71" s="89"/>
      <c r="H71" s="11" t="s">
        <v>781</v>
      </c>
      <c r="I71" s="10">
        <v>661</v>
      </c>
      <c r="J71" s="7">
        <v>1</v>
      </c>
      <c r="K71" s="7">
        <v>13</v>
      </c>
      <c r="L71" s="95" t="s">
        <v>701</v>
      </c>
      <c r="M71" s="96" t="s">
        <v>553</v>
      </c>
      <c r="N71" s="96" t="s">
        <v>585</v>
      </c>
      <c r="O71" s="96" t="s">
        <v>338</v>
      </c>
      <c r="P71" s="10">
        <v>110</v>
      </c>
      <c r="Q71" s="214">
        <v>11244.7</v>
      </c>
      <c r="R71" s="221">
        <v>11244.7</v>
      </c>
      <c r="S71" s="240">
        <v>11244.7</v>
      </c>
    </row>
    <row r="72" spans="1:19" ht="30" customHeight="1">
      <c r="A72" s="97"/>
      <c r="B72" s="98"/>
      <c r="C72" s="106"/>
      <c r="D72" s="111"/>
      <c r="E72" s="114"/>
      <c r="F72" s="114"/>
      <c r="G72" s="89"/>
      <c r="H72" s="11" t="s">
        <v>712</v>
      </c>
      <c r="I72" s="10">
        <v>661</v>
      </c>
      <c r="J72" s="7">
        <v>1</v>
      </c>
      <c r="K72" s="7">
        <v>13</v>
      </c>
      <c r="L72" s="95" t="s">
        <v>701</v>
      </c>
      <c r="M72" s="96" t="s">
        <v>553</v>
      </c>
      <c r="N72" s="96" t="s">
        <v>585</v>
      </c>
      <c r="O72" s="96" t="s">
        <v>338</v>
      </c>
      <c r="P72" s="10">
        <v>240</v>
      </c>
      <c r="Q72" s="214">
        <v>1149.7</v>
      </c>
      <c r="R72" s="221">
        <v>2149.7</v>
      </c>
      <c r="S72" s="240">
        <v>2149.7</v>
      </c>
    </row>
    <row r="73" spans="1:19" ht="30" customHeight="1">
      <c r="A73" s="97"/>
      <c r="B73" s="98"/>
      <c r="C73" s="106"/>
      <c r="D73" s="111"/>
      <c r="E73" s="114"/>
      <c r="F73" s="114"/>
      <c r="G73" s="89"/>
      <c r="H73" s="11" t="s">
        <v>713</v>
      </c>
      <c r="I73" s="10">
        <v>661</v>
      </c>
      <c r="J73" s="7">
        <v>1</v>
      </c>
      <c r="K73" s="7">
        <v>13</v>
      </c>
      <c r="L73" s="95" t="s">
        <v>701</v>
      </c>
      <c r="M73" s="96" t="s">
        <v>553</v>
      </c>
      <c r="N73" s="96" t="s">
        <v>585</v>
      </c>
      <c r="O73" s="96" t="s">
        <v>338</v>
      </c>
      <c r="P73" s="10">
        <v>850</v>
      </c>
      <c r="Q73" s="214">
        <v>1</v>
      </c>
      <c r="R73" s="221">
        <v>1</v>
      </c>
      <c r="S73" s="240">
        <v>1</v>
      </c>
    </row>
    <row r="74" spans="1:19" ht="30" customHeight="1">
      <c r="A74" s="97"/>
      <c r="B74" s="98"/>
      <c r="C74" s="114"/>
      <c r="D74" s="111"/>
      <c r="E74" s="114"/>
      <c r="F74" s="114"/>
      <c r="G74" s="89"/>
      <c r="H74" s="11" t="str">
        <f>'Приложение 10'!H549</f>
        <v>Муниципальная программа «Управление и распоряжение муниципальным имуществом Белозерского муниципального района на 2020-2025 годы»</v>
      </c>
      <c r="I74" s="10">
        <f>'Приложение 10'!I549</f>
        <v>664</v>
      </c>
      <c r="J74" s="7">
        <f>'Приложение 10'!J549</f>
        <v>1</v>
      </c>
      <c r="K74" s="7">
        <f>'Приложение 10'!K549</f>
        <v>13</v>
      </c>
      <c r="L74" s="95" t="str">
        <f>'Приложение 10'!L549</f>
        <v>48</v>
      </c>
      <c r="M74" s="96" t="str">
        <f>'Приложение 10'!M549</f>
        <v>0</v>
      </c>
      <c r="N74" s="96" t="str">
        <f>'Приложение 10'!N549</f>
        <v>00</v>
      </c>
      <c r="O74" s="96" t="str">
        <f>'Приложение 10'!O549</f>
        <v>00000</v>
      </c>
      <c r="P74" s="10" t="s">
        <v>614</v>
      </c>
      <c r="Q74" s="214">
        <f>'Приложение 10'!Q549</f>
        <v>4750.5</v>
      </c>
      <c r="R74" s="221">
        <f>R75+R78+R81+R85+R91</f>
        <v>4750.5</v>
      </c>
      <c r="S74" s="221">
        <f>S75+S78+S81+S85+S91</f>
        <v>5750.5</v>
      </c>
    </row>
    <row r="75" spans="1:19" ht="30" customHeight="1">
      <c r="A75" s="97"/>
      <c r="B75" s="98"/>
      <c r="C75" s="114"/>
      <c r="D75" s="111"/>
      <c r="E75" s="114"/>
      <c r="F75" s="114"/>
      <c r="G75" s="89"/>
      <c r="H75" s="11" t="str">
        <f>'Приложение 10'!H550</f>
        <v>Основное мероприятие «Осуществление кадастрового учета объектов недвижимости и земельных участков»</v>
      </c>
      <c r="I75" s="10">
        <f>'Приложение 10'!I550</f>
        <v>664</v>
      </c>
      <c r="J75" s="7">
        <f>'Приложение 10'!J550</f>
        <v>1</v>
      </c>
      <c r="K75" s="7">
        <f>'Приложение 10'!K550</f>
        <v>13</v>
      </c>
      <c r="L75" s="95">
        <f>'Приложение 10'!L550</f>
        <v>48</v>
      </c>
      <c r="M75" s="96" t="str">
        <f>'Приложение 10'!M550</f>
        <v>0</v>
      </c>
      <c r="N75" s="96" t="str">
        <f>'Приложение 10'!N550</f>
        <v>01</v>
      </c>
      <c r="O75" s="96" t="str">
        <f>'Приложение 10'!O550</f>
        <v>00000</v>
      </c>
      <c r="P75" s="10" t="s">
        <v>614</v>
      </c>
      <c r="Q75" s="214">
        <f>'Приложение 10'!Q550</f>
        <v>470</v>
      </c>
      <c r="R75" s="221">
        <f>R76</f>
        <v>470</v>
      </c>
      <c r="S75" s="221">
        <f>S76</f>
        <v>470</v>
      </c>
    </row>
    <row r="76" spans="1:19" ht="30" customHeight="1">
      <c r="A76" s="97"/>
      <c r="B76" s="98"/>
      <c r="C76" s="114"/>
      <c r="D76" s="111"/>
      <c r="E76" s="114"/>
      <c r="F76" s="114"/>
      <c r="G76" s="89"/>
      <c r="H76" s="11" t="str">
        <f>'Приложение 10'!H551</f>
        <v>Выполнение других обязательств государства</v>
      </c>
      <c r="I76" s="10">
        <f>'Приложение 10'!I551</f>
        <v>664</v>
      </c>
      <c r="J76" s="7">
        <f>'Приложение 10'!J551</f>
        <v>1</v>
      </c>
      <c r="K76" s="7">
        <f>'Приложение 10'!K551</f>
        <v>13</v>
      </c>
      <c r="L76" s="95">
        <f>'Приложение 10'!L551</f>
        <v>48</v>
      </c>
      <c r="M76" s="96" t="str">
        <f>'Приложение 10'!M551</f>
        <v>0</v>
      </c>
      <c r="N76" s="96" t="str">
        <f>'Приложение 10'!N551</f>
        <v>01</v>
      </c>
      <c r="O76" s="96" t="str">
        <f>'Приложение 10'!O551</f>
        <v>20520</v>
      </c>
      <c r="P76" s="10" t="s">
        <v>614</v>
      </c>
      <c r="Q76" s="214">
        <f>'Приложение 10'!Q551</f>
        <v>470</v>
      </c>
      <c r="R76" s="221">
        <f>R77</f>
        <v>470</v>
      </c>
      <c r="S76" s="221">
        <f>S77</f>
        <v>470</v>
      </c>
    </row>
    <row r="77" spans="1:19" ht="30" customHeight="1">
      <c r="A77" s="97"/>
      <c r="B77" s="98"/>
      <c r="C77" s="114"/>
      <c r="D77" s="111"/>
      <c r="E77" s="114"/>
      <c r="F77" s="114"/>
      <c r="G77" s="89"/>
      <c r="H77" s="11" t="str">
        <f>'Приложение 10'!H552</f>
        <v>Иные закупки товаров, работ и услуг для обеспечения государственных (муниципальных) нужд</v>
      </c>
      <c r="I77" s="10">
        <f>'Приложение 10'!I552</f>
        <v>664</v>
      </c>
      <c r="J77" s="7">
        <f>'Приложение 10'!J552</f>
        <v>1</v>
      </c>
      <c r="K77" s="7">
        <f>'Приложение 10'!K552</f>
        <v>13</v>
      </c>
      <c r="L77" s="95">
        <f>'Приложение 10'!L552</f>
        <v>48</v>
      </c>
      <c r="M77" s="96" t="str">
        <f>'Приложение 10'!M552</f>
        <v>0</v>
      </c>
      <c r="N77" s="96" t="str">
        <f>'Приложение 10'!N552</f>
        <v>01</v>
      </c>
      <c r="O77" s="96" t="str">
        <f>'Приложение 10'!O552</f>
        <v>20520</v>
      </c>
      <c r="P77" s="10">
        <f>'Приложение 10'!P552</f>
        <v>240</v>
      </c>
      <c r="Q77" s="214">
        <f>'Приложение 10'!Q552</f>
        <v>470</v>
      </c>
      <c r="R77" s="221">
        <f>'Приложение 10'!Q552</f>
        <v>470</v>
      </c>
      <c r="S77" s="240">
        <f>'Приложение 10'!R552</f>
        <v>470</v>
      </c>
    </row>
    <row r="78" spans="1:19" ht="30" customHeight="1">
      <c r="A78" s="97"/>
      <c r="B78" s="98"/>
      <c r="C78" s="114"/>
      <c r="D78" s="111"/>
      <c r="E78" s="114"/>
      <c r="F78" s="114"/>
      <c r="G78" s="89"/>
      <c r="H78" s="11" t="str">
        <f>'Приложение 10'!H553</f>
        <v>Основное мероприятие «Проведение работ по оценке стоимости аренды, продажи или залоговой стоимости объектов»</v>
      </c>
      <c r="I78" s="10">
        <f>'Приложение 10'!I553</f>
        <v>664</v>
      </c>
      <c r="J78" s="7">
        <f>'Приложение 10'!J553</f>
        <v>1</v>
      </c>
      <c r="K78" s="7">
        <f>'Приложение 10'!K553</f>
        <v>13</v>
      </c>
      <c r="L78" s="95">
        <f>'Приложение 10'!L553</f>
        <v>48</v>
      </c>
      <c r="M78" s="96" t="str">
        <f>'Приложение 10'!M553</f>
        <v>0</v>
      </c>
      <c r="N78" s="96" t="str">
        <f>'Приложение 10'!N553</f>
        <v>02</v>
      </c>
      <c r="O78" s="96" t="str">
        <f>'Приложение 10'!O553</f>
        <v>00000</v>
      </c>
      <c r="P78" s="10" t="s">
        <v>614</v>
      </c>
      <c r="Q78" s="214">
        <f>'Приложение 10'!Q553</f>
        <v>100</v>
      </c>
      <c r="R78" s="221">
        <f>R79</f>
        <v>100</v>
      </c>
      <c r="S78" s="221">
        <f>S79</f>
        <v>100</v>
      </c>
    </row>
    <row r="79" spans="1:19" ht="30" customHeight="1">
      <c r="A79" s="97"/>
      <c r="B79" s="98"/>
      <c r="C79" s="114"/>
      <c r="D79" s="111"/>
      <c r="E79" s="114"/>
      <c r="F79" s="114"/>
      <c r="G79" s="89"/>
      <c r="H79" s="11" t="str">
        <f>'Приложение 10'!H554</f>
        <v>Оценка недвижимости, признание прав и регулирование отношений по государственной  (муниципальной)  собственности</v>
      </c>
      <c r="I79" s="10">
        <f>'Приложение 10'!I554</f>
        <v>664</v>
      </c>
      <c r="J79" s="7">
        <f>'Приложение 10'!J554</f>
        <v>1</v>
      </c>
      <c r="K79" s="7">
        <f>'Приложение 10'!K554</f>
        <v>13</v>
      </c>
      <c r="L79" s="95">
        <f>'Приложение 10'!L554</f>
        <v>48</v>
      </c>
      <c r="M79" s="96" t="str">
        <f>'Приложение 10'!M554</f>
        <v>0</v>
      </c>
      <c r="N79" s="96" t="str">
        <f>'Приложение 10'!N554</f>
        <v>02</v>
      </c>
      <c r="O79" s="96" t="str">
        <f>'Приложение 10'!O554</f>
        <v>20510</v>
      </c>
      <c r="P79" s="10" t="s">
        <v>614</v>
      </c>
      <c r="Q79" s="214">
        <f>'Приложение 10'!Q554</f>
        <v>100</v>
      </c>
      <c r="R79" s="221">
        <f>R80</f>
        <v>100</v>
      </c>
      <c r="S79" s="221">
        <f>S80</f>
        <v>100</v>
      </c>
    </row>
    <row r="80" spans="1:19" ht="30" customHeight="1">
      <c r="A80" s="97"/>
      <c r="B80" s="98"/>
      <c r="C80" s="114"/>
      <c r="D80" s="111"/>
      <c r="E80" s="114"/>
      <c r="F80" s="114"/>
      <c r="G80" s="89"/>
      <c r="H80" s="11" t="str">
        <f>'Приложение 10'!H555</f>
        <v>Иные закупки товаров, работ и услуг для обеспечения государственных (муниципальных) нужд</v>
      </c>
      <c r="I80" s="10">
        <f>'Приложение 10'!I555</f>
        <v>664</v>
      </c>
      <c r="J80" s="7">
        <f>'Приложение 10'!J555</f>
        <v>1</v>
      </c>
      <c r="K80" s="7">
        <f>'Приложение 10'!K555</f>
        <v>13</v>
      </c>
      <c r="L80" s="95">
        <f>'Приложение 10'!L555</f>
        <v>48</v>
      </c>
      <c r="M80" s="96" t="str">
        <f>'Приложение 10'!M555</f>
        <v>0</v>
      </c>
      <c r="N80" s="96" t="str">
        <f>'Приложение 10'!N555</f>
        <v>02</v>
      </c>
      <c r="O80" s="96" t="str">
        <f>'Приложение 10'!O555</f>
        <v>20510</v>
      </c>
      <c r="P80" s="10">
        <f>'Приложение 10'!P555</f>
        <v>240</v>
      </c>
      <c r="Q80" s="214">
        <f>'Приложение 10'!Q555</f>
        <v>100</v>
      </c>
      <c r="R80" s="221">
        <f>'Приложение 10'!Q555</f>
        <v>100</v>
      </c>
      <c r="S80" s="240">
        <f>'Приложение 10'!R555</f>
        <v>100</v>
      </c>
    </row>
    <row r="81" spans="1:19" ht="30" customHeight="1">
      <c r="A81" s="97"/>
      <c r="B81" s="98"/>
      <c r="C81" s="114"/>
      <c r="D81" s="111"/>
      <c r="E81" s="114"/>
      <c r="F81" s="114"/>
      <c r="G81" s="89"/>
      <c r="H81" s="11" t="str">
        <f>'Приложение 10'!H556</f>
        <v>Основное мероприятие «Содержание объектов муниципальной собственности, находящихся в казне муниципального имущества Белозерского муниципального района»</v>
      </c>
      <c r="I81" s="10">
        <f>'Приложение 10'!I556</f>
        <v>664</v>
      </c>
      <c r="J81" s="7">
        <f>'Приложение 10'!J556</f>
        <v>1</v>
      </c>
      <c r="K81" s="7">
        <f>'Приложение 10'!K556</f>
        <v>13</v>
      </c>
      <c r="L81" s="95">
        <f>'Приложение 10'!L556</f>
        <v>48</v>
      </c>
      <c r="M81" s="96" t="str">
        <f>'Приложение 10'!M556</f>
        <v>0</v>
      </c>
      <c r="N81" s="96" t="str">
        <f>'Приложение 10'!N556</f>
        <v>03</v>
      </c>
      <c r="O81" s="96" t="str">
        <f>'Приложение 10'!O556</f>
        <v>00000</v>
      </c>
      <c r="P81" s="10" t="s">
        <v>614</v>
      </c>
      <c r="Q81" s="214">
        <f>'Приложение 10'!Q556</f>
        <v>185.6</v>
      </c>
      <c r="R81" s="221">
        <f>R82</f>
        <v>185.6</v>
      </c>
      <c r="S81" s="221">
        <f>S82</f>
        <v>185.6</v>
      </c>
    </row>
    <row r="82" spans="1:19" ht="30" customHeight="1">
      <c r="A82" s="97"/>
      <c r="B82" s="98"/>
      <c r="C82" s="114"/>
      <c r="D82" s="111"/>
      <c r="E82" s="114"/>
      <c r="F82" s="114"/>
      <c r="G82" s="89"/>
      <c r="H82" s="11" t="str">
        <f>'Приложение 10'!H557</f>
        <v>Выполнение других обязательств, связанных с содержанием имущества, находящегося в казне района</v>
      </c>
      <c r="I82" s="10">
        <f>'Приложение 10'!I557</f>
        <v>664</v>
      </c>
      <c r="J82" s="7">
        <f>'Приложение 10'!J557</f>
        <v>1</v>
      </c>
      <c r="K82" s="7">
        <f>'Приложение 10'!K557</f>
        <v>13</v>
      </c>
      <c r="L82" s="95">
        <f>'Приложение 10'!L557</f>
        <v>48</v>
      </c>
      <c r="M82" s="96" t="str">
        <f>'Приложение 10'!M557</f>
        <v>0</v>
      </c>
      <c r="N82" s="96" t="str">
        <f>'Приложение 10'!N557</f>
        <v>03</v>
      </c>
      <c r="O82" s="96" t="str">
        <f>'Приложение 10'!O557</f>
        <v>20530</v>
      </c>
      <c r="P82" s="10" t="s">
        <v>614</v>
      </c>
      <c r="Q82" s="214">
        <f>'Приложение 10'!Q557</f>
        <v>185.6</v>
      </c>
      <c r="R82" s="221">
        <f>R83+R84</f>
        <v>185.6</v>
      </c>
      <c r="S82" s="221">
        <f>S83+S84</f>
        <v>185.6</v>
      </c>
    </row>
    <row r="83" spans="1:19" ht="30" customHeight="1">
      <c r="A83" s="97"/>
      <c r="B83" s="98"/>
      <c r="C83" s="114"/>
      <c r="D83" s="111"/>
      <c r="E83" s="114"/>
      <c r="F83" s="114"/>
      <c r="G83" s="89"/>
      <c r="H83" s="11" t="str">
        <f>'Приложение 10'!H558</f>
        <v>Иные закупки товаров, работ и услуг для обеспечения государственных (муниципальных) нужд</v>
      </c>
      <c r="I83" s="10">
        <f>'Приложение 10'!I558</f>
        <v>664</v>
      </c>
      <c r="J83" s="7">
        <f>'Приложение 10'!J558</f>
        <v>1</v>
      </c>
      <c r="K83" s="7">
        <f>'Приложение 10'!K558</f>
        <v>13</v>
      </c>
      <c r="L83" s="95">
        <f>'Приложение 10'!L558</f>
        <v>48</v>
      </c>
      <c r="M83" s="96" t="str">
        <f>'Приложение 10'!M558</f>
        <v>0</v>
      </c>
      <c r="N83" s="96" t="str">
        <f>'Приложение 10'!N558</f>
        <v>03</v>
      </c>
      <c r="O83" s="96" t="str">
        <f>'Приложение 10'!O558</f>
        <v>20530</v>
      </c>
      <c r="P83" s="10">
        <f>'Приложение 10'!P558</f>
        <v>240</v>
      </c>
      <c r="Q83" s="214">
        <f>'Приложение 10'!Q558</f>
        <v>150</v>
      </c>
      <c r="R83" s="221">
        <f>'Приложение 10'!Q558</f>
        <v>150</v>
      </c>
      <c r="S83" s="240">
        <f>'Приложение 10'!R558</f>
        <v>150</v>
      </c>
    </row>
    <row r="84" spans="1:19" ht="30" customHeight="1">
      <c r="A84" s="97"/>
      <c r="B84" s="98"/>
      <c r="C84" s="114"/>
      <c r="D84" s="111"/>
      <c r="E84" s="114"/>
      <c r="F84" s="114"/>
      <c r="G84" s="89"/>
      <c r="H84" s="11" t="str">
        <f>'Приложение 10'!H559</f>
        <v>Уплата налогов, сборов и иных платежей</v>
      </c>
      <c r="I84" s="10">
        <f>'Приложение 10'!I559</f>
        <v>664</v>
      </c>
      <c r="J84" s="7">
        <f>'Приложение 10'!J559</f>
        <v>1</v>
      </c>
      <c r="K84" s="7">
        <f>'Приложение 10'!K559</f>
        <v>13</v>
      </c>
      <c r="L84" s="95">
        <f>'Приложение 10'!L559</f>
        <v>48</v>
      </c>
      <c r="M84" s="96" t="str">
        <f>'Приложение 10'!M559</f>
        <v>0</v>
      </c>
      <c r="N84" s="96" t="str">
        <f>'Приложение 10'!N559</f>
        <v>03</v>
      </c>
      <c r="O84" s="96" t="str">
        <f>'Приложение 10'!O559</f>
        <v>20530</v>
      </c>
      <c r="P84" s="10">
        <f>'Приложение 10'!P559</f>
        <v>850</v>
      </c>
      <c r="Q84" s="214">
        <f>'Приложение 10'!Q559</f>
        <v>35.6</v>
      </c>
      <c r="R84" s="221">
        <f>'Приложение 10'!Q559</f>
        <v>35.6</v>
      </c>
      <c r="S84" s="240">
        <f>'Приложение 10'!R559</f>
        <v>35.6</v>
      </c>
    </row>
    <row r="85" spans="1:19" ht="30" customHeight="1">
      <c r="A85" s="97"/>
      <c r="B85" s="98"/>
      <c r="C85" s="114"/>
      <c r="D85" s="111"/>
      <c r="E85" s="114"/>
      <c r="F85" s="114"/>
      <c r="G85" s="89"/>
      <c r="H85" s="11" t="str">
        <f>'Приложение 10'!H560</f>
        <v>Основное мероприятие «Обеспечение деятельности Управления имущественных отношений»</v>
      </c>
      <c r="I85" s="10">
        <f>'Приложение 10'!I560</f>
        <v>664</v>
      </c>
      <c r="J85" s="7">
        <f>'Приложение 10'!J560</f>
        <v>1</v>
      </c>
      <c r="K85" s="7">
        <f>'Приложение 10'!K560</f>
        <v>13</v>
      </c>
      <c r="L85" s="95">
        <f>'Приложение 10'!L560</f>
        <v>48</v>
      </c>
      <c r="M85" s="96" t="str">
        <f>'Приложение 10'!M560</f>
        <v>0</v>
      </c>
      <c r="N85" s="96" t="str">
        <f>'Приложение 10'!N560</f>
        <v>04</v>
      </c>
      <c r="O85" s="96" t="str">
        <f>'Приложение 10'!O560</f>
        <v>00000</v>
      </c>
      <c r="P85" s="10" t="s">
        <v>614</v>
      </c>
      <c r="Q85" s="214">
        <f>'Приложение 10'!Q560</f>
        <v>3921.2</v>
      </c>
      <c r="R85" s="221">
        <f>R86</f>
        <v>3921.2</v>
      </c>
      <c r="S85" s="221">
        <f>S86</f>
        <v>4921.2</v>
      </c>
    </row>
    <row r="86" spans="1:19" ht="30" customHeight="1">
      <c r="A86" s="97"/>
      <c r="B86" s="98"/>
      <c r="C86" s="114"/>
      <c r="D86" s="111"/>
      <c r="E86" s="114"/>
      <c r="F86" s="114"/>
      <c r="G86" s="89"/>
      <c r="H86" s="11" t="str">
        <f>'Приложение 10'!H561</f>
        <v>Расходы на обеспечение функций муниципальных органов</v>
      </c>
      <c r="I86" s="10">
        <f>'Приложение 10'!I561</f>
        <v>664</v>
      </c>
      <c r="J86" s="7">
        <f>'Приложение 10'!J561</f>
        <v>1</v>
      </c>
      <c r="K86" s="7">
        <f>'Приложение 10'!K561</f>
        <v>13</v>
      </c>
      <c r="L86" s="95">
        <f>'Приложение 10'!L561</f>
        <v>48</v>
      </c>
      <c r="M86" s="96" t="str">
        <f>'Приложение 10'!M561</f>
        <v>0</v>
      </c>
      <c r="N86" s="96" t="str">
        <f>'Приложение 10'!N561</f>
        <v>04</v>
      </c>
      <c r="O86" s="96" t="str">
        <f>'Приложение 10'!O561</f>
        <v>00190</v>
      </c>
      <c r="P86" s="10" t="s">
        <v>614</v>
      </c>
      <c r="Q86" s="214">
        <f>'Приложение 10'!Q561</f>
        <v>3921.2</v>
      </c>
      <c r="R86" s="221">
        <f>R87+R88+R89+R90</f>
        <v>3921.2</v>
      </c>
      <c r="S86" s="221">
        <f>S87+S88+S89+S90</f>
        <v>4921.2</v>
      </c>
    </row>
    <row r="87" spans="1:19" ht="30" customHeight="1">
      <c r="A87" s="97"/>
      <c r="B87" s="98"/>
      <c r="C87" s="114"/>
      <c r="D87" s="111"/>
      <c r="E87" s="114"/>
      <c r="F87" s="114"/>
      <c r="G87" s="89"/>
      <c r="H87" s="11" t="str">
        <f>'Приложение 10'!H562</f>
        <v>Расходы на выплаты персоналу государственных (муниципальных) органов</v>
      </c>
      <c r="I87" s="10">
        <f>'Приложение 10'!I562</f>
        <v>664</v>
      </c>
      <c r="J87" s="7">
        <f>'Приложение 10'!J562</f>
        <v>1</v>
      </c>
      <c r="K87" s="7">
        <f>'Приложение 10'!K562</f>
        <v>13</v>
      </c>
      <c r="L87" s="95">
        <f>'Приложение 10'!L562</f>
        <v>48</v>
      </c>
      <c r="M87" s="96" t="str">
        <f>'Приложение 10'!M562</f>
        <v>0</v>
      </c>
      <c r="N87" s="96" t="str">
        <f>'Приложение 10'!N562</f>
        <v>04</v>
      </c>
      <c r="O87" s="96" t="str">
        <f>'Приложение 10'!O562</f>
        <v>00190</v>
      </c>
      <c r="P87" s="10">
        <f>'Приложение 10'!P562</f>
        <v>120</v>
      </c>
      <c r="Q87" s="214">
        <f>'Приложение 10'!Q562</f>
        <v>3383.1</v>
      </c>
      <c r="R87" s="221">
        <f>'Приложение 10'!Q562</f>
        <v>3383.1</v>
      </c>
      <c r="S87" s="240">
        <f>'Приложение 10'!R562</f>
        <v>3383.1</v>
      </c>
    </row>
    <row r="88" spans="1:19" ht="30" customHeight="1">
      <c r="A88" s="97"/>
      <c r="B88" s="98"/>
      <c r="C88" s="114"/>
      <c r="D88" s="111"/>
      <c r="E88" s="114"/>
      <c r="F88" s="114"/>
      <c r="G88" s="89"/>
      <c r="H88" s="11" t="str">
        <f>'Приложение 10'!H563</f>
        <v>Иные закупки товаров, работ и услуг для обеспечения государственных (муниципальных) нужд</v>
      </c>
      <c r="I88" s="10">
        <f>'Приложение 10'!I563</f>
        <v>664</v>
      </c>
      <c r="J88" s="7">
        <f>'Приложение 10'!J563</f>
        <v>1</v>
      </c>
      <c r="K88" s="7">
        <f>'Приложение 10'!K563</f>
        <v>13</v>
      </c>
      <c r="L88" s="95">
        <f>'Приложение 10'!L563</f>
        <v>48</v>
      </c>
      <c r="M88" s="96" t="str">
        <f>'Приложение 10'!M563</f>
        <v>0</v>
      </c>
      <c r="N88" s="96" t="str">
        <f>'Приложение 10'!N563</f>
        <v>04</v>
      </c>
      <c r="O88" s="96" t="str">
        <f>'Приложение 10'!O563</f>
        <v>00190</v>
      </c>
      <c r="P88" s="10">
        <f>'Приложение 10'!P563</f>
        <v>240</v>
      </c>
      <c r="Q88" s="214">
        <f>'Приложение 10'!Q563</f>
        <v>518.1</v>
      </c>
      <c r="R88" s="221">
        <f>'Приложение 10'!Q563</f>
        <v>518.1</v>
      </c>
      <c r="S88" s="240">
        <f>'Приложение 10'!R563</f>
        <v>1518.1</v>
      </c>
    </row>
    <row r="89" spans="1:19" ht="30" customHeight="1">
      <c r="A89" s="97"/>
      <c r="B89" s="98"/>
      <c r="C89" s="114"/>
      <c r="D89" s="111"/>
      <c r="E89" s="114"/>
      <c r="F89" s="114"/>
      <c r="G89" s="89"/>
      <c r="H89" s="11" t="str">
        <f>'Приложение 10'!H564</f>
        <v>Исполнение судебных актов</v>
      </c>
      <c r="I89" s="10">
        <f>'Приложение 10'!I564</f>
        <v>664</v>
      </c>
      <c r="J89" s="7">
        <f>'Приложение 10'!J564</f>
        <v>1</v>
      </c>
      <c r="K89" s="7">
        <f>'Приложение 10'!K564</f>
        <v>13</v>
      </c>
      <c r="L89" s="95">
        <f>'Приложение 10'!L564</f>
        <v>48</v>
      </c>
      <c r="M89" s="96" t="str">
        <f>'Приложение 10'!M564</f>
        <v>0</v>
      </c>
      <c r="N89" s="96" t="str">
        <f>'Приложение 10'!N564</f>
        <v>04</v>
      </c>
      <c r="O89" s="96" t="str">
        <f>'Приложение 10'!O564</f>
        <v>00190</v>
      </c>
      <c r="P89" s="10">
        <f>'Приложение 10'!P564</f>
        <v>830</v>
      </c>
      <c r="Q89" s="214">
        <f>'Приложение 10'!Q564</f>
        <v>10</v>
      </c>
      <c r="R89" s="221">
        <f>'Приложение 10'!Q564</f>
        <v>10</v>
      </c>
      <c r="S89" s="240">
        <f>'Приложение 10'!R564</f>
        <v>10</v>
      </c>
    </row>
    <row r="90" spans="1:19" ht="30" customHeight="1">
      <c r="A90" s="97"/>
      <c r="B90" s="98"/>
      <c r="C90" s="114"/>
      <c r="D90" s="111"/>
      <c r="E90" s="114"/>
      <c r="F90" s="114"/>
      <c r="G90" s="89"/>
      <c r="H90" s="11" t="str">
        <f>'Приложение 10'!H565</f>
        <v>Уплата налогов, сборов и иных платежей</v>
      </c>
      <c r="I90" s="10">
        <f>'Приложение 10'!I565</f>
        <v>664</v>
      </c>
      <c r="J90" s="7">
        <f>'Приложение 10'!J565</f>
        <v>1</v>
      </c>
      <c r="K90" s="7">
        <f>'Приложение 10'!K565</f>
        <v>13</v>
      </c>
      <c r="L90" s="95">
        <f>'Приложение 10'!L565</f>
        <v>48</v>
      </c>
      <c r="M90" s="96" t="str">
        <f>'Приложение 10'!M565</f>
        <v>0</v>
      </c>
      <c r="N90" s="96" t="str">
        <f>'Приложение 10'!N565</f>
        <v>04</v>
      </c>
      <c r="O90" s="96" t="str">
        <f>'Приложение 10'!O565</f>
        <v>00190</v>
      </c>
      <c r="P90" s="10">
        <f>'Приложение 10'!P565</f>
        <v>850</v>
      </c>
      <c r="Q90" s="214">
        <f>'Приложение 10'!Q565</f>
        <v>10</v>
      </c>
      <c r="R90" s="221">
        <f>'Приложение 10'!Q565</f>
        <v>10</v>
      </c>
      <c r="S90" s="240">
        <f>'Приложение 10'!R565</f>
        <v>10</v>
      </c>
    </row>
    <row r="91" spans="1:19" ht="30" customHeight="1">
      <c r="A91" s="97"/>
      <c r="B91" s="98"/>
      <c r="C91" s="114"/>
      <c r="D91" s="111"/>
      <c r="E91" s="114"/>
      <c r="F91" s="114"/>
      <c r="G91" s="89"/>
      <c r="H91" s="11" t="str">
        <f>'Приложение 10'!H566</f>
        <v>Основное мероприятие «Реализация регионального проекта «Финансовая поддержка семей при рождении детей» в части организации и предоставления денежной выплаты взамен предоставления земельного участка гражданам, имеющих трех и более детей»</v>
      </c>
      <c r="I91" s="10">
        <f>'Приложение 10'!I566</f>
        <v>664</v>
      </c>
      <c r="J91" s="7">
        <f>'Приложение 10'!J566</f>
        <v>1</v>
      </c>
      <c r="K91" s="7">
        <f>'Приложение 10'!K566</f>
        <v>13</v>
      </c>
      <c r="L91" s="95" t="str">
        <f>'Приложение 10'!L566</f>
        <v>48</v>
      </c>
      <c r="M91" s="96" t="str">
        <f>'Приложение 10'!M566</f>
        <v>0</v>
      </c>
      <c r="N91" s="96" t="str">
        <f>'Приложение 10'!N566</f>
        <v>P1</v>
      </c>
      <c r="O91" s="96" t="str">
        <f>'Приложение 10'!O566</f>
        <v>00000</v>
      </c>
      <c r="P91" s="10" t="s">
        <v>614</v>
      </c>
      <c r="Q91" s="214">
        <f>'Приложение 10'!Q566</f>
        <v>73.7</v>
      </c>
      <c r="R91" s="221">
        <f>R92</f>
        <v>73.7</v>
      </c>
      <c r="S91" s="221">
        <f>S92</f>
        <v>73.7</v>
      </c>
    </row>
    <row r="92" spans="1:19" ht="30" customHeight="1">
      <c r="A92" s="97"/>
      <c r="B92" s="98"/>
      <c r="C92" s="114"/>
      <c r="D92" s="111"/>
      <c r="E92" s="114"/>
      <c r="F92" s="114"/>
      <c r="G92" s="89"/>
      <c r="H92" s="11" t="str">
        <f>'Приложение 10'!H567</f>
        <v>Осуществление отдельных государственных полномочий в соответствии с законом области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v>
      </c>
      <c r="I92" s="10">
        <f>'Приложение 10'!I567</f>
        <v>664</v>
      </c>
      <c r="J92" s="7">
        <f>'Приложение 10'!J567</f>
        <v>1</v>
      </c>
      <c r="K92" s="7">
        <f>'Приложение 10'!K567</f>
        <v>13</v>
      </c>
      <c r="L92" s="95">
        <f>'Приложение 10'!L567</f>
        <v>48</v>
      </c>
      <c r="M92" s="96" t="str">
        <f>'Приложение 10'!M567</f>
        <v>0</v>
      </c>
      <c r="N92" s="96" t="str">
        <f>'Приложение 10'!N567</f>
        <v>P1</v>
      </c>
      <c r="O92" s="96" t="str">
        <f>'Приложение 10'!O567</f>
        <v>72300</v>
      </c>
      <c r="P92" s="10" t="s">
        <v>614</v>
      </c>
      <c r="Q92" s="214">
        <f>'Приложение 10'!Q567</f>
        <v>73.7</v>
      </c>
      <c r="R92" s="221">
        <f>R93</f>
        <v>73.7</v>
      </c>
      <c r="S92" s="221">
        <f>S93</f>
        <v>73.7</v>
      </c>
    </row>
    <row r="93" spans="1:19" ht="30" customHeight="1">
      <c r="A93" s="97"/>
      <c r="B93" s="98"/>
      <c r="C93" s="114"/>
      <c r="D93" s="111"/>
      <c r="E93" s="114"/>
      <c r="F93" s="114"/>
      <c r="G93" s="89"/>
      <c r="H93" s="11" t="str">
        <f>'Приложение 10'!H568</f>
        <v>Иные закупки товаров, работ и услуг для обеспечения государственных (муниципальных) нужд</v>
      </c>
      <c r="I93" s="10">
        <f>'Приложение 10'!I568</f>
        <v>664</v>
      </c>
      <c r="J93" s="7">
        <f>'Приложение 10'!J568</f>
        <v>1</v>
      </c>
      <c r="K93" s="7">
        <f>'Приложение 10'!K568</f>
        <v>13</v>
      </c>
      <c r="L93" s="95">
        <f>'Приложение 10'!L568</f>
        <v>48</v>
      </c>
      <c r="M93" s="96" t="str">
        <f>'Приложение 10'!M568</f>
        <v>0</v>
      </c>
      <c r="N93" s="96" t="str">
        <f>'Приложение 10'!N568</f>
        <v>P1</v>
      </c>
      <c r="O93" s="96" t="str">
        <f>'Приложение 10'!O568</f>
        <v>72300</v>
      </c>
      <c r="P93" s="10">
        <f>'Приложение 10'!P568</f>
        <v>240</v>
      </c>
      <c r="Q93" s="214">
        <f>'Приложение 10'!Q568</f>
        <v>73.7</v>
      </c>
      <c r="R93" s="221">
        <f>'Приложение 10'!Q568</f>
        <v>73.7</v>
      </c>
      <c r="S93" s="240">
        <f>'Приложение 10'!R568</f>
        <v>73.7</v>
      </c>
    </row>
    <row r="94" spans="1:19" s="179" customFormat="1" ht="18.75" customHeight="1">
      <c r="A94" s="142"/>
      <c r="B94" s="143"/>
      <c r="C94" s="166"/>
      <c r="D94" s="135"/>
      <c r="E94" s="135"/>
      <c r="F94" s="135"/>
      <c r="G94" s="136"/>
      <c r="H94" s="11" t="s">
        <v>292</v>
      </c>
      <c r="I94" s="10">
        <v>660</v>
      </c>
      <c r="J94" s="7">
        <v>1</v>
      </c>
      <c r="K94" s="7">
        <v>13</v>
      </c>
      <c r="L94" s="95" t="s">
        <v>573</v>
      </c>
      <c r="M94" s="96" t="s">
        <v>556</v>
      </c>
      <c r="N94" s="96" t="s">
        <v>576</v>
      </c>
      <c r="O94" s="96" t="s">
        <v>613</v>
      </c>
      <c r="P94" s="138"/>
      <c r="Q94" s="214" t="e">
        <f>Q95+#REF!+Q99+Q104+Q107+Q110+#REF!+Q112+#REF!+#REF!+#REF!</f>
        <v>#REF!</v>
      </c>
      <c r="R94" s="214">
        <f>R95+R99+R104+R107+R110+R112+R115+R102</f>
        <v>14808.8</v>
      </c>
      <c r="S94" s="214">
        <f>S95+S99+S104+S107+S110+S112+S115+S102</f>
        <v>30763</v>
      </c>
    </row>
    <row r="95" spans="1:19" ht="18.75" customHeight="1">
      <c r="A95" s="99"/>
      <c r="B95" s="98"/>
      <c r="C95" s="97"/>
      <c r="D95" s="368">
        <v>5050000</v>
      </c>
      <c r="E95" s="369"/>
      <c r="F95" s="369"/>
      <c r="G95" s="89">
        <v>321</v>
      </c>
      <c r="H95" s="11" t="s">
        <v>335</v>
      </c>
      <c r="I95" s="10">
        <v>660</v>
      </c>
      <c r="J95" s="7">
        <v>1</v>
      </c>
      <c r="K95" s="7">
        <v>13</v>
      </c>
      <c r="L95" s="16" t="s">
        <v>573</v>
      </c>
      <c r="M95" s="96" t="s">
        <v>556</v>
      </c>
      <c r="N95" s="96" t="s">
        <v>576</v>
      </c>
      <c r="O95" s="96" t="s">
        <v>641</v>
      </c>
      <c r="P95" s="10" t="s">
        <v>527</v>
      </c>
      <c r="Q95" s="214">
        <f>SUM(Q96:Q98)</f>
        <v>1978.8</v>
      </c>
      <c r="R95" s="214">
        <f>SUM(R96:R98)</f>
        <v>1590.4999999999998</v>
      </c>
      <c r="S95" s="214">
        <f>SUM(S96:S98)</f>
        <v>2978.8</v>
      </c>
    </row>
    <row r="96" spans="1:19" ht="26.25" customHeight="1">
      <c r="A96" s="99"/>
      <c r="B96" s="98"/>
      <c r="C96" s="97"/>
      <c r="D96" s="101"/>
      <c r="E96" s="100"/>
      <c r="F96" s="100"/>
      <c r="G96" s="89"/>
      <c r="H96" s="11" t="s">
        <v>526</v>
      </c>
      <c r="I96" s="6">
        <v>660</v>
      </c>
      <c r="J96" s="7">
        <v>1</v>
      </c>
      <c r="K96" s="7">
        <v>13</v>
      </c>
      <c r="L96" s="16">
        <v>91</v>
      </c>
      <c r="M96" s="96" t="s">
        <v>556</v>
      </c>
      <c r="N96" s="96" t="s">
        <v>576</v>
      </c>
      <c r="O96" s="96" t="s">
        <v>641</v>
      </c>
      <c r="P96" s="10">
        <v>120</v>
      </c>
      <c r="Q96" s="214">
        <v>869.3</v>
      </c>
      <c r="R96" s="214">
        <f>869.3+150.7</f>
        <v>1020</v>
      </c>
      <c r="S96" s="214">
        <f>869.3+150.7</f>
        <v>1020</v>
      </c>
    </row>
    <row r="97" spans="1:19" ht="27.75" customHeight="1">
      <c r="A97" s="99"/>
      <c r="B97" s="98"/>
      <c r="C97" s="103"/>
      <c r="D97" s="101"/>
      <c r="E97" s="113"/>
      <c r="F97" s="113"/>
      <c r="G97" s="89"/>
      <c r="H97" s="5" t="s">
        <v>712</v>
      </c>
      <c r="I97" s="6">
        <v>660</v>
      </c>
      <c r="J97" s="7">
        <v>1</v>
      </c>
      <c r="K97" s="7">
        <v>13</v>
      </c>
      <c r="L97" s="16">
        <v>91</v>
      </c>
      <c r="M97" s="96" t="s">
        <v>556</v>
      </c>
      <c r="N97" s="96" t="s">
        <v>576</v>
      </c>
      <c r="O97" s="96" t="s">
        <v>641</v>
      </c>
      <c r="P97" s="6">
        <v>240</v>
      </c>
      <c r="Q97" s="214">
        <f>182+845</f>
        <v>1027</v>
      </c>
      <c r="R97" s="214">
        <f>182+2512.2-1000-150.7-1055.5</f>
        <v>487.9999999999998</v>
      </c>
      <c r="S97" s="214">
        <f>182+1845-150.7-1500+1500</f>
        <v>1876.3</v>
      </c>
    </row>
    <row r="98" spans="1:19" ht="20.25" customHeight="1">
      <c r="A98" s="110"/>
      <c r="B98" s="112"/>
      <c r="C98" s="106"/>
      <c r="D98" s="109"/>
      <c r="E98" s="104"/>
      <c r="F98" s="104"/>
      <c r="G98" s="89"/>
      <c r="H98" s="11" t="s">
        <v>713</v>
      </c>
      <c r="I98" s="6">
        <v>27</v>
      </c>
      <c r="J98" s="7">
        <v>1</v>
      </c>
      <c r="K98" s="7">
        <v>13</v>
      </c>
      <c r="L98" s="95" t="s">
        <v>573</v>
      </c>
      <c r="M98" s="96" t="s">
        <v>556</v>
      </c>
      <c r="N98" s="96" t="s">
        <v>576</v>
      </c>
      <c r="O98" s="96" t="s">
        <v>641</v>
      </c>
      <c r="P98" s="6">
        <v>850</v>
      </c>
      <c r="Q98" s="216">
        <v>82.5</v>
      </c>
      <c r="R98" s="216">
        <v>82.5</v>
      </c>
      <c r="S98" s="216">
        <v>82.5</v>
      </c>
    </row>
    <row r="99" spans="1:19" ht="26.25" customHeight="1">
      <c r="A99" s="99"/>
      <c r="B99" s="98"/>
      <c r="C99" s="97"/>
      <c r="D99" s="368">
        <v>5220000</v>
      </c>
      <c r="E99" s="369"/>
      <c r="F99" s="369"/>
      <c r="G99" s="89">
        <v>622</v>
      </c>
      <c r="H99" s="11" t="s">
        <v>337</v>
      </c>
      <c r="I99" s="10">
        <v>27</v>
      </c>
      <c r="J99" s="7">
        <v>1</v>
      </c>
      <c r="K99" s="7">
        <v>13</v>
      </c>
      <c r="L99" s="95" t="s">
        <v>573</v>
      </c>
      <c r="M99" s="96" t="s">
        <v>556</v>
      </c>
      <c r="N99" s="96" t="s">
        <v>576</v>
      </c>
      <c r="O99" s="96" t="s">
        <v>338</v>
      </c>
      <c r="P99" s="10"/>
      <c r="Q99" s="214">
        <f>SUM(Q100:Q101)</f>
        <v>20321.8</v>
      </c>
      <c r="R99" s="214">
        <f>SUM(R100:R101)</f>
        <v>4985.5</v>
      </c>
      <c r="S99" s="214">
        <f>SUM(S100:S101)</f>
        <v>19771.1</v>
      </c>
    </row>
    <row r="100" spans="1:19" ht="26.25" customHeight="1">
      <c r="A100" s="99"/>
      <c r="B100" s="98"/>
      <c r="C100" s="97"/>
      <c r="D100" s="101"/>
      <c r="E100" s="100"/>
      <c r="F100" s="100"/>
      <c r="G100" s="89"/>
      <c r="H100" s="11" t="s">
        <v>714</v>
      </c>
      <c r="I100" s="6">
        <v>27</v>
      </c>
      <c r="J100" s="7">
        <v>1</v>
      </c>
      <c r="K100" s="7">
        <v>13</v>
      </c>
      <c r="L100" s="95" t="s">
        <v>573</v>
      </c>
      <c r="M100" s="96" t="s">
        <v>556</v>
      </c>
      <c r="N100" s="96" t="s">
        <v>576</v>
      </c>
      <c r="O100" s="96" t="s">
        <v>338</v>
      </c>
      <c r="P100" s="10">
        <v>610</v>
      </c>
      <c r="Q100" s="214">
        <v>258.8</v>
      </c>
      <c r="R100" s="214">
        <v>260</v>
      </c>
      <c r="S100" s="214">
        <v>260</v>
      </c>
    </row>
    <row r="101" spans="1:19" ht="24.75" customHeight="1">
      <c r="A101" s="99"/>
      <c r="B101" s="98"/>
      <c r="C101" s="103"/>
      <c r="D101" s="107"/>
      <c r="E101" s="178"/>
      <c r="F101" s="178"/>
      <c r="G101" s="89"/>
      <c r="H101" s="11" t="s">
        <v>749</v>
      </c>
      <c r="I101" s="10">
        <v>27</v>
      </c>
      <c r="J101" s="7">
        <v>1</v>
      </c>
      <c r="K101" s="7">
        <v>13</v>
      </c>
      <c r="L101" s="95" t="s">
        <v>573</v>
      </c>
      <c r="M101" s="96" t="s">
        <v>556</v>
      </c>
      <c r="N101" s="96" t="s">
        <v>576</v>
      </c>
      <c r="O101" s="96" t="s">
        <v>338</v>
      </c>
      <c r="P101" s="10">
        <v>620</v>
      </c>
      <c r="Q101" s="214">
        <v>20063</v>
      </c>
      <c r="R101" s="214">
        <f>'Приложение 10'!Q57</f>
        <v>4725.5</v>
      </c>
      <c r="S101" s="214">
        <f>'Приложение 10'!R57</f>
        <v>19511.1</v>
      </c>
    </row>
    <row r="102" spans="1:19" ht="30" customHeight="1">
      <c r="A102" s="110"/>
      <c r="B102" s="111"/>
      <c r="C102" s="106"/>
      <c r="D102" s="107"/>
      <c r="E102" s="104"/>
      <c r="F102" s="104"/>
      <c r="G102" s="89"/>
      <c r="H102" s="11" t="str">
        <f>'Приложение 10'!H58</f>
        <v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v>
      </c>
      <c r="I102" s="13">
        <f>'Приложение 10'!I58</f>
        <v>27</v>
      </c>
      <c r="J102" s="7">
        <f>'Приложение 10'!J58</f>
        <v>1</v>
      </c>
      <c r="K102" s="7">
        <f>'Приложение 10'!K58</f>
        <v>13</v>
      </c>
      <c r="L102" s="95" t="str">
        <f>'Приложение 10'!L58</f>
        <v>91</v>
      </c>
      <c r="M102" s="96" t="str">
        <f>'Приложение 10'!M58</f>
        <v>0</v>
      </c>
      <c r="N102" s="96" t="str">
        <f>'Приложение 10'!N58</f>
        <v>00</v>
      </c>
      <c r="O102" s="96" t="str">
        <f>'Приложение 10'!O58</f>
        <v>70030</v>
      </c>
      <c r="P102" s="10" t="s">
        <v>614</v>
      </c>
      <c r="Q102" s="214">
        <f>'Приложение 10'!Q58</f>
        <v>2988.9</v>
      </c>
      <c r="R102" s="214">
        <f>R103</f>
        <v>2988.9</v>
      </c>
      <c r="S102" s="214">
        <f>S103</f>
        <v>2988.9</v>
      </c>
    </row>
    <row r="103" spans="1:19" ht="24.75" customHeight="1">
      <c r="A103" s="110"/>
      <c r="B103" s="111"/>
      <c r="C103" s="106"/>
      <c r="D103" s="107"/>
      <c r="E103" s="104"/>
      <c r="F103" s="104"/>
      <c r="G103" s="89"/>
      <c r="H103" s="11" t="str">
        <f>'Приложение 10'!H59</f>
        <v>Субсидии автономным учреждениям</v>
      </c>
      <c r="I103" s="13">
        <f>'Приложение 10'!I59</f>
        <v>27</v>
      </c>
      <c r="J103" s="7">
        <f>'Приложение 10'!J59</f>
        <v>1</v>
      </c>
      <c r="K103" s="7">
        <f>'Приложение 10'!K59</f>
        <v>13</v>
      </c>
      <c r="L103" s="95" t="str">
        <f>'Приложение 10'!L59</f>
        <v>91</v>
      </c>
      <c r="M103" s="96" t="str">
        <f>'Приложение 10'!M59</f>
        <v>0</v>
      </c>
      <c r="N103" s="96" t="str">
        <f>'Приложение 10'!N59</f>
        <v>00</v>
      </c>
      <c r="O103" s="96" t="str">
        <f>'Приложение 10'!O59</f>
        <v>70030</v>
      </c>
      <c r="P103" s="10">
        <f>'Приложение 10'!P59</f>
        <v>620</v>
      </c>
      <c r="Q103" s="214">
        <f>'Приложение 10'!Q59</f>
        <v>2988.9</v>
      </c>
      <c r="R103" s="214">
        <f>'Приложение 10'!Q59</f>
        <v>2988.9</v>
      </c>
      <c r="S103" s="214">
        <f>'Приложение 10'!R59</f>
        <v>2988.9</v>
      </c>
    </row>
    <row r="104" spans="1:19" ht="36" customHeight="1">
      <c r="A104" s="110"/>
      <c r="B104" s="111"/>
      <c r="C104" s="106"/>
      <c r="D104" s="107"/>
      <c r="E104" s="104"/>
      <c r="F104" s="104"/>
      <c r="G104" s="105"/>
      <c r="H104" s="5" t="s">
        <v>243</v>
      </c>
      <c r="I104" s="8">
        <v>28</v>
      </c>
      <c r="J104" s="7">
        <v>1</v>
      </c>
      <c r="K104" s="7">
        <v>13</v>
      </c>
      <c r="L104" s="95" t="s">
        <v>573</v>
      </c>
      <c r="M104" s="96" t="s">
        <v>556</v>
      </c>
      <c r="N104" s="96" t="s">
        <v>576</v>
      </c>
      <c r="O104" s="96" t="s">
        <v>244</v>
      </c>
      <c r="P104" s="6"/>
      <c r="Q104" s="214"/>
      <c r="R104" s="214">
        <f>SUM(R105:R106)</f>
        <v>320</v>
      </c>
      <c r="S104" s="214">
        <f>SUM(S105:S106)</f>
        <v>320</v>
      </c>
    </row>
    <row r="105" spans="1:19" ht="24.75" customHeight="1">
      <c r="A105" s="110"/>
      <c r="B105" s="111"/>
      <c r="C105" s="106"/>
      <c r="D105" s="107"/>
      <c r="E105" s="104"/>
      <c r="F105" s="104"/>
      <c r="G105" s="105"/>
      <c r="H105" s="5" t="s">
        <v>712</v>
      </c>
      <c r="I105" s="8">
        <v>28</v>
      </c>
      <c r="J105" s="7">
        <v>1</v>
      </c>
      <c r="K105" s="7">
        <v>13</v>
      </c>
      <c r="L105" s="95" t="s">
        <v>573</v>
      </c>
      <c r="M105" s="96" t="s">
        <v>556</v>
      </c>
      <c r="N105" s="96" t="s">
        <v>576</v>
      </c>
      <c r="O105" s="96" t="s">
        <v>244</v>
      </c>
      <c r="P105" s="6">
        <v>240</v>
      </c>
      <c r="Q105" s="214">
        <v>0</v>
      </c>
      <c r="R105" s="216">
        <v>60</v>
      </c>
      <c r="S105" s="216">
        <v>60</v>
      </c>
    </row>
    <row r="106" spans="1:19" ht="24.75" customHeight="1">
      <c r="A106" s="110"/>
      <c r="B106" s="111"/>
      <c r="C106" s="106"/>
      <c r="D106" s="107"/>
      <c r="E106" s="104"/>
      <c r="F106" s="104"/>
      <c r="G106" s="105"/>
      <c r="H106" s="5" t="s">
        <v>606</v>
      </c>
      <c r="I106" s="8">
        <v>28</v>
      </c>
      <c r="J106" s="7">
        <v>1</v>
      </c>
      <c r="K106" s="7">
        <v>13</v>
      </c>
      <c r="L106" s="95" t="s">
        <v>573</v>
      </c>
      <c r="M106" s="96" t="s">
        <v>556</v>
      </c>
      <c r="N106" s="96" t="s">
        <v>576</v>
      </c>
      <c r="O106" s="96" t="s">
        <v>244</v>
      </c>
      <c r="P106" s="6">
        <v>340</v>
      </c>
      <c r="Q106" s="214">
        <v>0</v>
      </c>
      <c r="R106" s="216">
        <v>260</v>
      </c>
      <c r="S106" s="216">
        <v>260</v>
      </c>
    </row>
    <row r="107" spans="1:19" ht="48" customHeight="1">
      <c r="A107" s="110"/>
      <c r="B107" s="112"/>
      <c r="C107" s="106"/>
      <c r="D107" s="109"/>
      <c r="E107" s="104"/>
      <c r="F107" s="104"/>
      <c r="G107" s="89"/>
      <c r="H107" s="34" t="s">
        <v>694</v>
      </c>
      <c r="I107" s="10">
        <v>27</v>
      </c>
      <c r="J107" s="7">
        <v>1</v>
      </c>
      <c r="K107" s="7">
        <v>13</v>
      </c>
      <c r="L107" s="95" t="s">
        <v>573</v>
      </c>
      <c r="M107" s="96" t="s">
        <v>556</v>
      </c>
      <c r="N107" s="96" t="s">
        <v>576</v>
      </c>
      <c r="O107" s="96" t="s">
        <v>648</v>
      </c>
      <c r="P107" s="6"/>
      <c r="Q107" s="216">
        <f>SUM(Q108:Q108)</f>
        <v>239.3</v>
      </c>
      <c r="R107" s="216">
        <f>SUM(R108:R109)</f>
        <v>480.79999999999995</v>
      </c>
      <c r="S107" s="216">
        <f>SUM(S108:S109)</f>
        <v>482.7</v>
      </c>
    </row>
    <row r="108" spans="1:19" ht="30" customHeight="1">
      <c r="A108" s="110"/>
      <c r="B108" s="112"/>
      <c r="C108" s="106"/>
      <c r="D108" s="109"/>
      <c r="E108" s="104"/>
      <c r="F108" s="104"/>
      <c r="G108" s="89"/>
      <c r="H108" s="34" t="s">
        <v>526</v>
      </c>
      <c r="I108" s="10">
        <v>27</v>
      </c>
      <c r="J108" s="7">
        <v>1</v>
      </c>
      <c r="K108" s="7">
        <v>13</v>
      </c>
      <c r="L108" s="95" t="s">
        <v>573</v>
      </c>
      <c r="M108" s="96" t="s">
        <v>556</v>
      </c>
      <c r="N108" s="96" t="s">
        <v>576</v>
      </c>
      <c r="O108" s="96" t="s">
        <v>648</v>
      </c>
      <c r="P108" s="10">
        <v>120</v>
      </c>
      <c r="Q108" s="214">
        <v>239.3</v>
      </c>
      <c r="R108" s="214">
        <v>268.9</v>
      </c>
      <c r="S108" s="214">
        <v>268.9</v>
      </c>
    </row>
    <row r="109" spans="1:19" ht="30" customHeight="1">
      <c r="A109" s="110"/>
      <c r="B109" s="112"/>
      <c r="C109" s="106"/>
      <c r="D109" s="109"/>
      <c r="E109" s="104"/>
      <c r="F109" s="104"/>
      <c r="G109" s="89"/>
      <c r="H109" s="5" t="s">
        <v>712</v>
      </c>
      <c r="I109" s="10"/>
      <c r="J109" s="7">
        <v>1</v>
      </c>
      <c r="K109" s="7">
        <v>13</v>
      </c>
      <c r="L109" s="95" t="s">
        <v>573</v>
      </c>
      <c r="M109" s="96" t="s">
        <v>556</v>
      </c>
      <c r="N109" s="96" t="s">
        <v>576</v>
      </c>
      <c r="O109" s="96" t="s">
        <v>648</v>
      </c>
      <c r="P109" s="6">
        <v>240</v>
      </c>
      <c r="Q109" s="216"/>
      <c r="R109" s="216">
        <v>211.9</v>
      </c>
      <c r="S109" s="216">
        <v>213.8</v>
      </c>
    </row>
    <row r="110" spans="1:19" ht="61.5" customHeight="1">
      <c r="A110" s="110"/>
      <c r="B110" s="112"/>
      <c r="C110" s="106"/>
      <c r="D110" s="109"/>
      <c r="E110" s="104"/>
      <c r="F110" s="104"/>
      <c r="G110" s="89"/>
      <c r="H110" s="11" t="s">
        <v>695</v>
      </c>
      <c r="I110" s="10">
        <v>27</v>
      </c>
      <c r="J110" s="7">
        <v>1</v>
      </c>
      <c r="K110" s="7">
        <v>13</v>
      </c>
      <c r="L110" s="95" t="s">
        <v>573</v>
      </c>
      <c r="M110" s="96" t="s">
        <v>556</v>
      </c>
      <c r="N110" s="96" t="s">
        <v>576</v>
      </c>
      <c r="O110" s="96" t="s">
        <v>642</v>
      </c>
      <c r="P110" s="6"/>
      <c r="Q110" s="216">
        <f>Q111</f>
        <v>3437.1</v>
      </c>
      <c r="R110" s="216">
        <f>R111</f>
        <v>3437.1</v>
      </c>
      <c r="S110" s="216">
        <f>S111</f>
        <v>3437.1</v>
      </c>
    </row>
    <row r="111" spans="1:19" ht="27" customHeight="1">
      <c r="A111" s="99"/>
      <c r="B111" s="98"/>
      <c r="C111" s="103"/>
      <c r="D111" s="101"/>
      <c r="E111" s="113"/>
      <c r="F111" s="113"/>
      <c r="G111" s="105">
        <v>120</v>
      </c>
      <c r="H111" s="11" t="s">
        <v>714</v>
      </c>
      <c r="I111" s="10">
        <v>27</v>
      </c>
      <c r="J111" s="7">
        <v>1</v>
      </c>
      <c r="K111" s="7">
        <v>13</v>
      </c>
      <c r="L111" s="95" t="s">
        <v>573</v>
      </c>
      <c r="M111" s="96" t="s">
        <v>556</v>
      </c>
      <c r="N111" s="96" t="s">
        <v>576</v>
      </c>
      <c r="O111" s="96" t="s">
        <v>642</v>
      </c>
      <c r="P111" s="6">
        <v>610</v>
      </c>
      <c r="Q111" s="216">
        <v>3437.1</v>
      </c>
      <c r="R111" s="216">
        <v>3437.1</v>
      </c>
      <c r="S111" s="216">
        <v>3437.1</v>
      </c>
    </row>
    <row r="112" spans="1:19" ht="21" customHeight="1">
      <c r="A112" s="97"/>
      <c r="B112" s="98"/>
      <c r="C112" s="106"/>
      <c r="D112" s="111"/>
      <c r="E112" s="114"/>
      <c r="F112" s="114"/>
      <c r="G112" s="89"/>
      <c r="H112" s="3" t="s">
        <v>807</v>
      </c>
      <c r="I112" s="10">
        <v>27</v>
      </c>
      <c r="J112" s="7">
        <v>1</v>
      </c>
      <c r="K112" s="7">
        <v>13</v>
      </c>
      <c r="L112" s="95" t="s">
        <v>573</v>
      </c>
      <c r="M112" s="96" t="s">
        <v>556</v>
      </c>
      <c r="N112" s="96" t="s">
        <v>576</v>
      </c>
      <c r="O112" s="96" t="s">
        <v>806</v>
      </c>
      <c r="P112" s="10"/>
      <c r="Q112" s="214">
        <f>SUM(Q113:Q114)</f>
        <v>784.4000000000001</v>
      </c>
      <c r="R112" s="214">
        <f>SUM(R113:R114)</f>
        <v>784.4000000000001</v>
      </c>
      <c r="S112" s="214">
        <f>SUM(S113:S114)</f>
        <v>784.4000000000001</v>
      </c>
    </row>
    <row r="113" spans="1:19" ht="26.25" customHeight="1">
      <c r="A113" s="97"/>
      <c r="B113" s="98"/>
      <c r="C113" s="106"/>
      <c r="D113" s="111"/>
      <c r="E113" s="114"/>
      <c r="F113" s="114"/>
      <c r="G113" s="89"/>
      <c r="H113" s="34" t="s">
        <v>526</v>
      </c>
      <c r="I113" s="10">
        <v>27</v>
      </c>
      <c r="J113" s="7">
        <v>1</v>
      </c>
      <c r="K113" s="7">
        <v>13</v>
      </c>
      <c r="L113" s="95" t="s">
        <v>573</v>
      </c>
      <c r="M113" s="96" t="s">
        <v>556</v>
      </c>
      <c r="N113" s="96" t="s">
        <v>576</v>
      </c>
      <c r="O113" s="96" t="s">
        <v>806</v>
      </c>
      <c r="P113" s="10">
        <v>120</v>
      </c>
      <c r="Q113" s="214">
        <v>479.1</v>
      </c>
      <c r="R113" s="215">
        <v>479.1</v>
      </c>
      <c r="S113" s="215">
        <v>479.1</v>
      </c>
    </row>
    <row r="114" spans="1:19" ht="30" customHeight="1">
      <c r="A114" s="97"/>
      <c r="B114" s="98"/>
      <c r="C114" s="106"/>
      <c r="D114" s="111"/>
      <c r="E114" s="114"/>
      <c r="F114" s="114"/>
      <c r="G114" s="89"/>
      <c r="H114" s="5" t="s">
        <v>712</v>
      </c>
      <c r="I114" s="10">
        <v>27</v>
      </c>
      <c r="J114" s="7">
        <v>1</v>
      </c>
      <c r="K114" s="7">
        <v>13</v>
      </c>
      <c r="L114" s="95" t="s">
        <v>573</v>
      </c>
      <c r="M114" s="96" t="s">
        <v>556</v>
      </c>
      <c r="N114" s="96" t="s">
        <v>576</v>
      </c>
      <c r="O114" s="96" t="s">
        <v>806</v>
      </c>
      <c r="P114" s="10">
        <v>240</v>
      </c>
      <c r="Q114" s="214">
        <v>305.3</v>
      </c>
      <c r="R114" s="215">
        <v>305.3</v>
      </c>
      <c r="S114" s="215">
        <v>305.3</v>
      </c>
    </row>
    <row r="115" spans="1:19" ht="27.75" customHeight="1">
      <c r="A115" s="97"/>
      <c r="B115" s="98"/>
      <c r="C115" s="106"/>
      <c r="D115" s="111"/>
      <c r="E115" s="114"/>
      <c r="F115" s="114"/>
      <c r="G115" s="89"/>
      <c r="H115" s="3" t="s">
        <v>278</v>
      </c>
      <c r="I115" s="10">
        <v>27</v>
      </c>
      <c r="J115" s="7">
        <v>1</v>
      </c>
      <c r="K115" s="7">
        <v>13</v>
      </c>
      <c r="L115" s="95" t="s">
        <v>573</v>
      </c>
      <c r="M115" s="96" t="s">
        <v>556</v>
      </c>
      <c r="N115" s="96" t="s">
        <v>576</v>
      </c>
      <c r="O115" s="96" t="s">
        <v>6</v>
      </c>
      <c r="P115" s="10"/>
      <c r="Q115" s="214">
        <f>Q116</f>
        <v>0</v>
      </c>
      <c r="R115" s="214">
        <f>R116</f>
        <v>221.6</v>
      </c>
      <c r="S115" s="214">
        <f>S116</f>
        <v>0</v>
      </c>
    </row>
    <row r="116" spans="1:19" ht="33.75" customHeight="1">
      <c r="A116" s="97"/>
      <c r="B116" s="98"/>
      <c r="C116" s="106"/>
      <c r="D116" s="111"/>
      <c r="E116" s="114"/>
      <c r="F116" s="114"/>
      <c r="G116" s="89"/>
      <c r="H116" s="3" t="s">
        <v>712</v>
      </c>
      <c r="I116" s="10">
        <v>27</v>
      </c>
      <c r="J116" s="7">
        <v>1</v>
      </c>
      <c r="K116" s="7">
        <v>13</v>
      </c>
      <c r="L116" s="95" t="s">
        <v>573</v>
      </c>
      <c r="M116" s="96" t="s">
        <v>556</v>
      </c>
      <c r="N116" s="96" t="s">
        <v>576</v>
      </c>
      <c r="O116" s="96" t="s">
        <v>6</v>
      </c>
      <c r="P116" s="10">
        <v>240</v>
      </c>
      <c r="Q116" s="214">
        <v>0</v>
      </c>
      <c r="R116" s="215">
        <v>221.6</v>
      </c>
      <c r="S116" s="239">
        <v>0</v>
      </c>
    </row>
    <row r="117" spans="1:19" s="179" customFormat="1" ht="27" customHeight="1">
      <c r="A117" s="135"/>
      <c r="B117" s="135"/>
      <c r="C117" s="135"/>
      <c r="D117" s="135"/>
      <c r="E117" s="135"/>
      <c r="F117" s="135"/>
      <c r="G117" s="136"/>
      <c r="H117" s="137" t="s">
        <v>548</v>
      </c>
      <c r="I117" s="138">
        <v>27</v>
      </c>
      <c r="J117" s="148">
        <v>3</v>
      </c>
      <c r="K117" s="148" t="s">
        <v>614</v>
      </c>
      <c r="L117" s="140"/>
      <c r="M117" s="141"/>
      <c r="N117" s="141"/>
      <c r="O117" s="141"/>
      <c r="P117" s="146"/>
      <c r="Q117" s="217" t="e">
        <f>Q118+Q123</f>
        <v>#REF!</v>
      </c>
      <c r="R117" s="217">
        <f>R118+R123</f>
        <v>1927</v>
      </c>
      <c r="S117" s="217">
        <f>S118+S123</f>
        <v>1927</v>
      </c>
    </row>
    <row r="118" spans="1:19" s="179" customFormat="1" ht="33" customHeight="1">
      <c r="A118" s="135"/>
      <c r="B118" s="135"/>
      <c r="C118" s="135"/>
      <c r="D118" s="135"/>
      <c r="E118" s="135"/>
      <c r="F118" s="135"/>
      <c r="G118" s="136"/>
      <c r="H118" s="137" t="s">
        <v>550</v>
      </c>
      <c r="I118" s="138">
        <v>27</v>
      </c>
      <c r="J118" s="148">
        <v>3</v>
      </c>
      <c r="K118" s="148">
        <v>9</v>
      </c>
      <c r="L118" s="140" t="s">
        <v>527</v>
      </c>
      <c r="M118" s="141" t="s">
        <v>527</v>
      </c>
      <c r="N118" s="141"/>
      <c r="O118" s="141" t="s">
        <v>527</v>
      </c>
      <c r="P118" s="146" t="s">
        <v>527</v>
      </c>
      <c r="Q118" s="217">
        <f aca="true" t="shared" si="6" ref="Q118:S119">Q119</f>
        <v>1755.8999999999999</v>
      </c>
      <c r="R118" s="217">
        <f t="shared" si="6"/>
        <v>1756</v>
      </c>
      <c r="S118" s="217">
        <f t="shared" si="6"/>
        <v>1756</v>
      </c>
    </row>
    <row r="119" spans="1:19" s="179" customFormat="1" ht="33" customHeight="1">
      <c r="A119" s="135"/>
      <c r="B119" s="135"/>
      <c r="C119" s="135"/>
      <c r="D119" s="135"/>
      <c r="E119" s="135"/>
      <c r="F119" s="135"/>
      <c r="G119" s="136"/>
      <c r="H119" s="11" t="s">
        <v>292</v>
      </c>
      <c r="I119" s="10">
        <v>27</v>
      </c>
      <c r="J119" s="7">
        <v>3</v>
      </c>
      <c r="K119" s="7">
        <v>9</v>
      </c>
      <c r="L119" s="95" t="s">
        <v>573</v>
      </c>
      <c r="M119" s="96" t="s">
        <v>556</v>
      </c>
      <c r="N119" s="96" t="s">
        <v>576</v>
      </c>
      <c r="O119" s="96" t="s">
        <v>613</v>
      </c>
      <c r="P119" s="146"/>
      <c r="Q119" s="217">
        <f t="shared" si="6"/>
        <v>1755.8999999999999</v>
      </c>
      <c r="R119" s="217">
        <f t="shared" si="6"/>
        <v>1756</v>
      </c>
      <c r="S119" s="217">
        <f t="shared" si="6"/>
        <v>1756</v>
      </c>
    </row>
    <row r="120" spans="1:19" ht="26.25" customHeight="1">
      <c r="A120" s="88"/>
      <c r="B120" s="88"/>
      <c r="C120" s="88"/>
      <c r="D120" s="88"/>
      <c r="E120" s="88"/>
      <c r="F120" s="88"/>
      <c r="G120" s="89"/>
      <c r="H120" s="11" t="s">
        <v>337</v>
      </c>
      <c r="I120" s="10">
        <v>27</v>
      </c>
      <c r="J120" s="7">
        <v>3</v>
      </c>
      <c r="K120" s="7">
        <v>9</v>
      </c>
      <c r="L120" s="95" t="s">
        <v>573</v>
      </c>
      <c r="M120" s="96" t="s">
        <v>556</v>
      </c>
      <c r="N120" s="96" t="s">
        <v>576</v>
      </c>
      <c r="O120" s="96" t="s">
        <v>338</v>
      </c>
      <c r="P120" s="6" t="s">
        <v>527</v>
      </c>
      <c r="Q120" s="216">
        <f>SUM(Q121:Q122)</f>
        <v>1755.8999999999999</v>
      </c>
      <c r="R120" s="216">
        <f>SUM(R121:R122)</f>
        <v>1756</v>
      </c>
      <c r="S120" s="216">
        <f>SUM(S121:S122)</f>
        <v>1756</v>
      </c>
    </row>
    <row r="121" spans="1:19" ht="26.25" customHeight="1">
      <c r="A121" s="88"/>
      <c r="B121" s="88"/>
      <c r="C121" s="88"/>
      <c r="D121" s="88"/>
      <c r="E121" s="88"/>
      <c r="F121" s="88"/>
      <c r="G121" s="89"/>
      <c r="H121" s="11" t="s">
        <v>715</v>
      </c>
      <c r="I121" s="6">
        <v>27</v>
      </c>
      <c r="J121" s="7">
        <v>3</v>
      </c>
      <c r="K121" s="7">
        <v>9</v>
      </c>
      <c r="L121" s="95" t="s">
        <v>573</v>
      </c>
      <c r="M121" s="96" t="s">
        <v>556</v>
      </c>
      <c r="N121" s="96" t="s">
        <v>576</v>
      </c>
      <c r="O121" s="96" t="s">
        <v>338</v>
      </c>
      <c r="P121" s="6">
        <v>110</v>
      </c>
      <c r="Q121" s="216">
        <v>1690.1</v>
      </c>
      <c r="R121" s="216">
        <v>1690.1</v>
      </c>
      <c r="S121" s="216">
        <v>1690.1</v>
      </c>
    </row>
    <row r="122" spans="1:19" ht="23.25" customHeight="1">
      <c r="A122" s="88"/>
      <c r="B122" s="88"/>
      <c r="C122" s="88"/>
      <c r="D122" s="88"/>
      <c r="E122" s="88"/>
      <c r="F122" s="88"/>
      <c r="G122" s="89"/>
      <c r="H122" s="5" t="s">
        <v>712</v>
      </c>
      <c r="I122" s="8">
        <v>27</v>
      </c>
      <c r="J122" s="7">
        <v>3</v>
      </c>
      <c r="K122" s="7">
        <v>9</v>
      </c>
      <c r="L122" s="95" t="s">
        <v>573</v>
      </c>
      <c r="M122" s="96" t="s">
        <v>556</v>
      </c>
      <c r="N122" s="96" t="s">
        <v>576</v>
      </c>
      <c r="O122" s="96" t="s">
        <v>338</v>
      </c>
      <c r="P122" s="6">
        <v>240</v>
      </c>
      <c r="Q122" s="214">
        <v>65.8</v>
      </c>
      <c r="R122" s="214">
        <v>65.9</v>
      </c>
      <c r="S122" s="214">
        <v>65.9</v>
      </c>
    </row>
    <row r="123" spans="1:19" s="179" customFormat="1" ht="25.5" customHeight="1">
      <c r="A123" s="135"/>
      <c r="B123" s="135"/>
      <c r="C123" s="135"/>
      <c r="D123" s="135"/>
      <c r="E123" s="135"/>
      <c r="F123" s="135"/>
      <c r="G123" s="136"/>
      <c r="H123" s="137" t="s">
        <v>549</v>
      </c>
      <c r="I123" s="138">
        <v>27</v>
      </c>
      <c r="J123" s="148">
        <v>3</v>
      </c>
      <c r="K123" s="148">
        <v>14</v>
      </c>
      <c r="L123" s="140"/>
      <c r="M123" s="141"/>
      <c r="N123" s="141"/>
      <c r="O123" s="141"/>
      <c r="P123" s="146"/>
      <c r="Q123" s="217" t="e">
        <f>#REF!+Q124</f>
        <v>#REF!</v>
      </c>
      <c r="R123" s="217">
        <f>R124</f>
        <v>171</v>
      </c>
      <c r="S123" s="217">
        <f>S124</f>
        <v>171</v>
      </c>
    </row>
    <row r="124" spans="1:19" ht="22.5" customHeight="1">
      <c r="A124" s="88"/>
      <c r="B124" s="88"/>
      <c r="C124" s="88"/>
      <c r="D124" s="88"/>
      <c r="E124" s="88"/>
      <c r="F124" s="88"/>
      <c r="G124" s="89"/>
      <c r="H124" s="11" t="s">
        <v>292</v>
      </c>
      <c r="I124" s="6">
        <v>27</v>
      </c>
      <c r="J124" s="7">
        <v>3</v>
      </c>
      <c r="K124" s="7">
        <v>14</v>
      </c>
      <c r="L124" s="16">
        <v>91</v>
      </c>
      <c r="M124" s="96" t="s">
        <v>556</v>
      </c>
      <c r="N124" s="96" t="s">
        <v>576</v>
      </c>
      <c r="O124" s="96" t="s">
        <v>613</v>
      </c>
      <c r="P124" s="6"/>
      <c r="Q124" s="216">
        <f aca="true" t="shared" si="7" ref="Q124:S125">Q125</f>
        <v>0</v>
      </c>
      <c r="R124" s="216">
        <f t="shared" si="7"/>
        <v>171</v>
      </c>
      <c r="S124" s="216">
        <f t="shared" si="7"/>
        <v>171</v>
      </c>
    </row>
    <row r="125" spans="1:19" ht="35.25" customHeight="1">
      <c r="A125" s="88"/>
      <c r="B125" s="88"/>
      <c r="C125" s="88"/>
      <c r="D125" s="88"/>
      <c r="E125" s="88"/>
      <c r="F125" s="88"/>
      <c r="G125" s="89"/>
      <c r="H125" s="11" t="s">
        <v>710</v>
      </c>
      <c r="I125" s="6">
        <v>27</v>
      </c>
      <c r="J125" s="7">
        <v>3</v>
      </c>
      <c r="K125" s="7">
        <v>14</v>
      </c>
      <c r="L125" s="16">
        <v>91</v>
      </c>
      <c r="M125" s="96" t="s">
        <v>556</v>
      </c>
      <c r="N125" s="96" t="s">
        <v>576</v>
      </c>
      <c r="O125" s="96" t="s">
        <v>344</v>
      </c>
      <c r="P125" s="6"/>
      <c r="Q125" s="216">
        <f t="shared" si="7"/>
        <v>0</v>
      </c>
      <c r="R125" s="216">
        <f t="shared" si="7"/>
        <v>171</v>
      </c>
      <c r="S125" s="216">
        <f t="shared" si="7"/>
        <v>171</v>
      </c>
    </row>
    <row r="126" spans="1:19" ht="29.25" customHeight="1">
      <c r="A126" s="88"/>
      <c r="B126" s="88"/>
      <c r="C126" s="88"/>
      <c r="D126" s="88"/>
      <c r="E126" s="88"/>
      <c r="F126" s="88"/>
      <c r="G126" s="89"/>
      <c r="H126" s="11" t="s">
        <v>712</v>
      </c>
      <c r="I126" s="6">
        <v>27</v>
      </c>
      <c r="J126" s="7">
        <v>3</v>
      </c>
      <c r="K126" s="7">
        <v>14</v>
      </c>
      <c r="L126" s="16">
        <v>91</v>
      </c>
      <c r="M126" s="96" t="s">
        <v>556</v>
      </c>
      <c r="N126" s="96" t="s">
        <v>576</v>
      </c>
      <c r="O126" s="96" t="s">
        <v>344</v>
      </c>
      <c r="P126" s="6">
        <v>240</v>
      </c>
      <c r="Q126" s="216">
        <v>0</v>
      </c>
      <c r="R126" s="240">
        <v>171</v>
      </c>
      <c r="S126" s="240">
        <v>171</v>
      </c>
    </row>
    <row r="127" spans="1:19" s="179" customFormat="1" ht="23.25" customHeight="1">
      <c r="A127" s="135"/>
      <c r="B127" s="135"/>
      <c r="C127" s="135"/>
      <c r="D127" s="135"/>
      <c r="E127" s="135"/>
      <c r="F127" s="135"/>
      <c r="G127" s="136"/>
      <c r="H127" s="137" t="s">
        <v>540</v>
      </c>
      <c r="I127" s="146">
        <v>27</v>
      </c>
      <c r="J127" s="148">
        <v>4</v>
      </c>
      <c r="K127" s="148"/>
      <c r="L127" s="140"/>
      <c r="M127" s="141"/>
      <c r="N127" s="141"/>
      <c r="O127" s="141"/>
      <c r="P127" s="146"/>
      <c r="Q127" s="217" t="e">
        <f>Q128+Q132+Q159</f>
        <v>#REF!</v>
      </c>
      <c r="R127" s="217">
        <f>R128+R132+R159</f>
        <v>21280.7</v>
      </c>
      <c r="S127" s="217">
        <f>S128+S132+S159</f>
        <v>21625.7</v>
      </c>
    </row>
    <row r="128" spans="1:19" s="179" customFormat="1" ht="26.25" customHeight="1">
      <c r="A128" s="142"/>
      <c r="B128" s="143"/>
      <c r="C128" s="153"/>
      <c r="D128" s="235"/>
      <c r="E128" s="166"/>
      <c r="F128" s="166"/>
      <c r="G128" s="136"/>
      <c r="H128" s="311" t="s">
        <v>345</v>
      </c>
      <c r="I128" s="152">
        <v>27</v>
      </c>
      <c r="J128" s="148">
        <v>4</v>
      </c>
      <c r="K128" s="148">
        <v>8</v>
      </c>
      <c r="L128" s="140"/>
      <c r="M128" s="141"/>
      <c r="N128" s="141"/>
      <c r="O128" s="141"/>
      <c r="P128" s="138"/>
      <c r="Q128" s="213">
        <f aca="true" t="shared" si="8" ref="Q128:S130">Q129</f>
        <v>600</v>
      </c>
      <c r="R128" s="213">
        <f t="shared" si="8"/>
        <v>600</v>
      </c>
      <c r="S128" s="213">
        <f t="shared" si="8"/>
        <v>600</v>
      </c>
    </row>
    <row r="129" spans="1:19" s="179" customFormat="1" ht="26.25" customHeight="1">
      <c r="A129" s="142"/>
      <c r="B129" s="143"/>
      <c r="C129" s="153"/>
      <c r="D129" s="235"/>
      <c r="E129" s="166"/>
      <c r="F129" s="166"/>
      <c r="G129" s="136"/>
      <c r="H129" s="11" t="s">
        <v>292</v>
      </c>
      <c r="I129" s="6">
        <v>27</v>
      </c>
      <c r="J129" s="7">
        <v>4</v>
      </c>
      <c r="K129" s="7">
        <v>8</v>
      </c>
      <c r="L129" s="95" t="s">
        <v>573</v>
      </c>
      <c r="M129" s="96" t="s">
        <v>556</v>
      </c>
      <c r="N129" s="96" t="s">
        <v>576</v>
      </c>
      <c r="O129" s="96" t="s">
        <v>613</v>
      </c>
      <c r="P129" s="138"/>
      <c r="Q129" s="213">
        <f t="shared" si="8"/>
        <v>600</v>
      </c>
      <c r="R129" s="213">
        <f t="shared" si="8"/>
        <v>600</v>
      </c>
      <c r="S129" s="213">
        <f t="shared" si="8"/>
        <v>600</v>
      </c>
    </row>
    <row r="130" spans="1:19" ht="26.25" customHeight="1">
      <c r="A130" s="99"/>
      <c r="B130" s="98"/>
      <c r="C130" s="103"/>
      <c r="D130" s="111"/>
      <c r="E130" s="114"/>
      <c r="F130" s="114"/>
      <c r="G130" s="89"/>
      <c r="H130" s="30" t="s">
        <v>738</v>
      </c>
      <c r="I130" s="8">
        <v>27</v>
      </c>
      <c r="J130" s="7">
        <v>4</v>
      </c>
      <c r="K130" s="7">
        <v>8</v>
      </c>
      <c r="L130" s="95" t="s">
        <v>573</v>
      </c>
      <c r="M130" s="96" t="s">
        <v>556</v>
      </c>
      <c r="N130" s="96" t="s">
        <v>576</v>
      </c>
      <c r="O130" s="96" t="s">
        <v>719</v>
      </c>
      <c r="P130" s="10"/>
      <c r="Q130" s="214">
        <f t="shared" si="8"/>
        <v>600</v>
      </c>
      <c r="R130" s="214">
        <f t="shared" si="8"/>
        <v>600</v>
      </c>
      <c r="S130" s="214">
        <f t="shared" si="8"/>
        <v>600</v>
      </c>
    </row>
    <row r="131" spans="1:19" ht="28.5" customHeight="1">
      <c r="A131" s="99"/>
      <c r="B131" s="98"/>
      <c r="C131" s="103"/>
      <c r="D131" s="111"/>
      <c r="E131" s="114"/>
      <c r="F131" s="114"/>
      <c r="G131" s="89"/>
      <c r="H131" s="30" t="s">
        <v>712</v>
      </c>
      <c r="I131" s="8">
        <v>27</v>
      </c>
      <c r="J131" s="7">
        <v>4</v>
      </c>
      <c r="K131" s="7">
        <v>8</v>
      </c>
      <c r="L131" s="95" t="s">
        <v>573</v>
      </c>
      <c r="M131" s="96" t="s">
        <v>556</v>
      </c>
      <c r="N131" s="96" t="s">
        <v>576</v>
      </c>
      <c r="O131" s="96" t="s">
        <v>719</v>
      </c>
      <c r="P131" s="10">
        <v>240</v>
      </c>
      <c r="Q131" s="214">
        <v>600</v>
      </c>
      <c r="R131" s="214">
        <v>600</v>
      </c>
      <c r="S131" s="216">
        <v>600</v>
      </c>
    </row>
    <row r="132" spans="1:19" s="179" customFormat="1" ht="24.75" customHeight="1">
      <c r="A132" s="142"/>
      <c r="B132" s="143"/>
      <c r="C132" s="153"/>
      <c r="D132" s="150"/>
      <c r="E132" s="154"/>
      <c r="F132" s="154"/>
      <c r="G132" s="155">
        <v>321</v>
      </c>
      <c r="H132" s="149" t="s">
        <v>330</v>
      </c>
      <c r="I132" s="152">
        <v>27</v>
      </c>
      <c r="J132" s="148">
        <v>4</v>
      </c>
      <c r="K132" s="148">
        <v>9</v>
      </c>
      <c r="L132" s="140"/>
      <c r="M132" s="141"/>
      <c r="N132" s="141"/>
      <c r="O132" s="141"/>
      <c r="P132" s="146"/>
      <c r="Q132" s="217" t="e">
        <f>Q133</f>
        <v>#REF!</v>
      </c>
      <c r="R132" s="217">
        <f>R133</f>
        <v>13020.7</v>
      </c>
      <c r="S132" s="217">
        <f>S146</f>
        <v>13445.7</v>
      </c>
    </row>
    <row r="133" spans="1:19" ht="35.25" customHeight="1">
      <c r="A133" s="99"/>
      <c r="B133" s="98"/>
      <c r="C133" s="103"/>
      <c r="D133" s="101"/>
      <c r="E133" s="113"/>
      <c r="F133" s="113"/>
      <c r="G133" s="105">
        <v>530</v>
      </c>
      <c r="H133" s="5" t="s">
        <v>766</v>
      </c>
      <c r="I133" s="10">
        <v>27</v>
      </c>
      <c r="J133" s="7">
        <v>4</v>
      </c>
      <c r="K133" s="7">
        <v>9</v>
      </c>
      <c r="L133" s="95" t="s">
        <v>581</v>
      </c>
      <c r="M133" s="96" t="s">
        <v>556</v>
      </c>
      <c r="N133" s="96" t="s">
        <v>576</v>
      </c>
      <c r="O133" s="96" t="s">
        <v>613</v>
      </c>
      <c r="P133" s="6"/>
      <c r="Q133" s="216" t="e">
        <f>Q134+#REF!+Q137+Q143+#REF!+Q140</f>
        <v>#REF!</v>
      </c>
      <c r="R133" s="216">
        <f>R134+R137+R143+R140</f>
        <v>13020.7</v>
      </c>
      <c r="S133" s="216">
        <f>S134+S137+S143+S140</f>
        <v>0</v>
      </c>
    </row>
    <row r="134" spans="1:19" ht="29.25" customHeight="1">
      <c r="A134" s="99"/>
      <c r="B134" s="98"/>
      <c r="C134" s="103"/>
      <c r="D134" s="101"/>
      <c r="E134" s="113"/>
      <c r="F134" s="113"/>
      <c r="G134" s="105"/>
      <c r="H134" s="11" t="s">
        <v>654</v>
      </c>
      <c r="I134" s="10">
        <v>27</v>
      </c>
      <c r="J134" s="7">
        <v>4</v>
      </c>
      <c r="K134" s="7">
        <v>9</v>
      </c>
      <c r="L134" s="95" t="s">
        <v>581</v>
      </c>
      <c r="M134" s="96" t="s">
        <v>556</v>
      </c>
      <c r="N134" s="96" t="s">
        <v>557</v>
      </c>
      <c r="O134" s="96" t="s">
        <v>613</v>
      </c>
      <c r="P134" s="6"/>
      <c r="Q134" s="216" t="e">
        <f>Q135</f>
        <v>#REF!</v>
      </c>
      <c r="R134" s="216">
        <f>R135</f>
        <v>1428</v>
      </c>
      <c r="S134" s="216">
        <f>S135</f>
        <v>0</v>
      </c>
    </row>
    <row r="135" spans="1:19" ht="35.25" customHeight="1">
      <c r="A135" s="99"/>
      <c r="B135" s="98"/>
      <c r="C135" s="103"/>
      <c r="D135" s="101"/>
      <c r="E135" s="113"/>
      <c r="F135" s="113"/>
      <c r="G135" s="105"/>
      <c r="H135" s="11" t="s">
        <v>732</v>
      </c>
      <c r="I135" s="10">
        <v>27</v>
      </c>
      <c r="J135" s="7">
        <v>4</v>
      </c>
      <c r="K135" s="7">
        <v>9</v>
      </c>
      <c r="L135" s="95" t="s">
        <v>581</v>
      </c>
      <c r="M135" s="96" t="s">
        <v>556</v>
      </c>
      <c r="N135" s="96" t="s">
        <v>557</v>
      </c>
      <c r="O135" s="96" t="s">
        <v>342</v>
      </c>
      <c r="P135" s="6"/>
      <c r="Q135" s="216" t="e">
        <f>Q136+#REF!</f>
        <v>#REF!</v>
      </c>
      <c r="R135" s="216">
        <f>R136</f>
        <v>1428</v>
      </c>
      <c r="S135" s="216">
        <f>S136</f>
        <v>0</v>
      </c>
    </row>
    <row r="136" spans="1:19" ht="26.25" customHeight="1">
      <c r="A136" s="99"/>
      <c r="B136" s="98"/>
      <c r="C136" s="103"/>
      <c r="D136" s="101"/>
      <c r="E136" s="113"/>
      <c r="F136" s="113"/>
      <c r="G136" s="105"/>
      <c r="H136" s="30" t="s">
        <v>712</v>
      </c>
      <c r="I136" s="10">
        <v>27</v>
      </c>
      <c r="J136" s="7">
        <v>4</v>
      </c>
      <c r="K136" s="7">
        <v>9</v>
      </c>
      <c r="L136" s="95" t="s">
        <v>581</v>
      </c>
      <c r="M136" s="96" t="s">
        <v>556</v>
      </c>
      <c r="N136" s="96" t="s">
        <v>557</v>
      </c>
      <c r="O136" s="96" t="s">
        <v>342</v>
      </c>
      <c r="P136" s="6">
        <v>240</v>
      </c>
      <c r="Q136" s="216">
        <v>10533.2</v>
      </c>
      <c r="R136" s="216">
        <v>1428</v>
      </c>
      <c r="S136" s="216">
        <v>0</v>
      </c>
    </row>
    <row r="137" spans="1:19" ht="24.75" customHeight="1">
      <c r="A137" s="99"/>
      <c r="B137" s="98"/>
      <c r="C137" s="103"/>
      <c r="D137" s="101"/>
      <c r="E137" s="104"/>
      <c r="F137" s="104"/>
      <c r="G137" s="105"/>
      <c r="H137" s="5" t="s">
        <v>249</v>
      </c>
      <c r="I137" s="13">
        <v>27</v>
      </c>
      <c r="J137" s="7">
        <v>4</v>
      </c>
      <c r="K137" s="7">
        <v>9</v>
      </c>
      <c r="L137" s="95" t="s">
        <v>581</v>
      </c>
      <c r="M137" s="96" t="s">
        <v>556</v>
      </c>
      <c r="N137" s="96" t="s">
        <v>586</v>
      </c>
      <c r="O137" s="96" t="s">
        <v>613</v>
      </c>
      <c r="P137" s="6"/>
      <c r="Q137" s="216">
        <f aca="true" t="shared" si="9" ref="Q137:S138">Q138</f>
        <v>6728.8</v>
      </c>
      <c r="R137" s="216">
        <f t="shared" si="9"/>
        <v>10491</v>
      </c>
      <c r="S137" s="216">
        <f t="shared" si="9"/>
        <v>0</v>
      </c>
    </row>
    <row r="138" spans="1:19" ht="24.75" customHeight="1">
      <c r="A138" s="99"/>
      <c r="B138" s="98"/>
      <c r="C138" s="103"/>
      <c r="D138" s="101"/>
      <c r="E138" s="104"/>
      <c r="F138" s="104"/>
      <c r="G138" s="105"/>
      <c r="H138" s="5" t="s">
        <v>754</v>
      </c>
      <c r="I138" s="13">
        <v>27</v>
      </c>
      <c r="J138" s="7">
        <v>4</v>
      </c>
      <c r="K138" s="7">
        <v>9</v>
      </c>
      <c r="L138" s="95" t="s">
        <v>581</v>
      </c>
      <c r="M138" s="96" t="s">
        <v>556</v>
      </c>
      <c r="N138" s="96" t="s">
        <v>586</v>
      </c>
      <c r="O138" s="96" t="s">
        <v>753</v>
      </c>
      <c r="P138" s="6"/>
      <c r="Q138" s="216">
        <f t="shared" si="9"/>
        <v>6728.8</v>
      </c>
      <c r="R138" s="216">
        <f t="shared" si="9"/>
        <v>10491</v>
      </c>
      <c r="S138" s="216">
        <f t="shared" si="9"/>
        <v>0</v>
      </c>
    </row>
    <row r="139" spans="1:19" ht="24.75" customHeight="1">
      <c r="A139" s="99"/>
      <c r="B139" s="98"/>
      <c r="C139" s="103"/>
      <c r="D139" s="101"/>
      <c r="E139" s="104"/>
      <c r="F139" s="104"/>
      <c r="G139" s="105"/>
      <c r="H139" s="5" t="s">
        <v>712</v>
      </c>
      <c r="I139" s="13">
        <v>27</v>
      </c>
      <c r="J139" s="7">
        <v>4</v>
      </c>
      <c r="K139" s="7">
        <v>9</v>
      </c>
      <c r="L139" s="95" t="s">
        <v>581</v>
      </c>
      <c r="M139" s="96" t="s">
        <v>556</v>
      </c>
      <c r="N139" s="96" t="s">
        <v>586</v>
      </c>
      <c r="O139" s="96" t="s">
        <v>753</v>
      </c>
      <c r="P139" s="6">
        <v>240</v>
      </c>
      <c r="Q139" s="216">
        <v>6728.8</v>
      </c>
      <c r="R139" s="216">
        <v>10491</v>
      </c>
      <c r="S139" s="216">
        <v>0</v>
      </c>
    </row>
    <row r="140" spans="1:19" ht="35.25" customHeight="1">
      <c r="A140" s="99"/>
      <c r="B140" s="98"/>
      <c r="C140" s="97"/>
      <c r="D140" s="94"/>
      <c r="E140" s="94"/>
      <c r="F140" s="94"/>
      <c r="G140" s="89"/>
      <c r="H140" s="5" t="s">
        <v>776</v>
      </c>
      <c r="I140" s="10">
        <v>664</v>
      </c>
      <c r="J140" s="7">
        <v>4</v>
      </c>
      <c r="K140" s="7">
        <v>9</v>
      </c>
      <c r="L140" s="95" t="s">
        <v>581</v>
      </c>
      <c r="M140" s="96" t="s">
        <v>556</v>
      </c>
      <c r="N140" s="96" t="s">
        <v>581</v>
      </c>
      <c r="O140" s="96" t="s">
        <v>613</v>
      </c>
      <c r="P140" s="23"/>
      <c r="Q140" s="219">
        <f aca="true" t="shared" si="10" ref="Q140:S141">Q141</f>
        <v>200</v>
      </c>
      <c r="R140" s="219">
        <f t="shared" si="10"/>
        <v>200</v>
      </c>
      <c r="S140" s="219">
        <f t="shared" si="10"/>
        <v>0</v>
      </c>
    </row>
    <row r="141" spans="1:19" ht="23.25" customHeight="1">
      <c r="A141" s="99"/>
      <c r="B141" s="98"/>
      <c r="C141" s="97"/>
      <c r="D141" s="94"/>
      <c r="E141" s="94"/>
      <c r="F141" s="94"/>
      <c r="G141" s="89"/>
      <c r="H141" s="5" t="s">
        <v>777</v>
      </c>
      <c r="I141" s="10">
        <v>664</v>
      </c>
      <c r="J141" s="7">
        <v>4</v>
      </c>
      <c r="K141" s="7">
        <v>9</v>
      </c>
      <c r="L141" s="95" t="s">
        <v>581</v>
      </c>
      <c r="M141" s="96" t="s">
        <v>556</v>
      </c>
      <c r="N141" s="96" t="s">
        <v>581</v>
      </c>
      <c r="O141" s="96" t="s">
        <v>753</v>
      </c>
      <c r="P141" s="23"/>
      <c r="Q141" s="219">
        <f t="shared" si="10"/>
        <v>200</v>
      </c>
      <c r="R141" s="219">
        <f t="shared" si="10"/>
        <v>200</v>
      </c>
      <c r="S141" s="219">
        <f t="shared" si="10"/>
        <v>0</v>
      </c>
    </row>
    <row r="142" spans="1:19" ht="20.25" customHeight="1">
      <c r="A142" s="99"/>
      <c r="B142" s="98"/>
      <c r="C142" s="97"/>
      <c r="D142" s="94"/>
      <c r="E142" s="94"/>
      <c r="F142" s="94"/>
      <c r="G142" s="89"/>
      <c r="H142" s="5" t="s">
        <v>765</v>
      </c>
      <c r="I142" s="10">
        <v>664</v>
      </c>
      <c r="J142" s="7">
        <v>4</v>
      </c>
      <c r="K142" s="7">
        <v>9</v>
      </c>
      <c r="L142" s="95" t="s">
        <v>581</v>
      </c>
      <c r="M142" s="96" t="s">
        <v>556</v>
      </c>
      <c r="N142" s="96" t="s">
        <v>581</v>
      </c>
      <c r="O142" s="96" t="s">
        <v>753</v>
      </c>
      <c r="P142" s="23">
        <v>240</v>
      </c>
      <c r="Q142" s="219">
        <v>200</v>
      </c>
      <c r="R142" s="219">
        <v>200</v>
      </c>
      <c r="S142" s="219">
        <v>0</v>
      </c>
    </row>
    <row r="143" spans="1:19" ht="30.75" customHeight="1">
      <c r="A143" s="99"/>
      <c r="B143" s="98"/>
      <c r="C143" s="103"/>
      <c r="D143" s="101"/>
      <c r="E143" s="104"/>
      <c r="F143" s="104"/>
      <c r="G143" s="105"/>
      <c r="H143" s="5" t="s">
        <v>161</v>
      </c>
      <c r="I143" s="13">
        <v>27</v>
      </c>
      <c r="J143" s="7">
        <v>4</v>
      </c>
      <c r="K143" s="7">
        <v>9</v>
      </c>
      <c r="L143" s="95" t="s">
        <v>581</v>
      </c>
      <c r="M143" s="96" t="s">
        <v>556</v>
      </c>
      <c r="N143" s="96" t="s">
        <v>559</v>
      </c>
      <c r="O143" s="96" t="s">
        <v>613</v>
      </c>
      <c r="P143" s="6"/>
      <c r="Q143" s="216" t="e">
        <f>Q144</f>
        <v>#REF!</v>
      </c>
      <c r="R143" s="216">
        <f>R144</f>
        <v>901.7</v>
      </c>
      <c r="S143" s="216">
        <f>S144</f>
        <v>0</v>
      </c>
    </row>
    <row r="144" spans="1:19" ht="31.5" customHeight="1">
      <c r="A144" s="99"/>
      <c r="B144" s="98"/>
      <c r="C144" s="103"/>
      <c r="D144" s="101"/>
      <c r="E144" s="104"/>
      <c r="F144" s="104"/>
      <c r="G144" s="105"/>
      <c r="H144" s="5" t="s">
        <v>267</v>
      </c>
      <c r="I144" s="13">
        <v>27</v>
      </c>
      <c r="J144" s="7">
        <v>4</v>
      </c>
      <c r="K144" s="7">
        <v>9</v>
      </c>
      <c r="L144" s="95" t="s">
        <v>581</v>
      </c>
      <c r="M144" s="96" t="s">
        <v>556</v>
      </c>
      <c r="N144" s="96" t="s">
        <v>559</v>
      </c>
      <c r="O144" s="96" t="s">
        <v>266</v>
      </c>
      <c r="P144" s="6"/>
      <c r="Q144" s="216" t="e">
        <f>#REF!</f>
        <v>#REF!</v>
      </c>
      <c r="R144" s="216">
        <f>R145</f>
        <v>901.7</v>
      </c>
      <c r="S144" s="216">
        <f>S145</f>
        <v>0</v>
      </c>
    </row>
    <row r="145" spans="1:19" ht="31.5" customHeight="1">
      <c r="A145" s="99"/>
      <c r="B145" s="98"/>
      <c r="C145" s="103"/>
      <c r="D145" s="101"/>
      <c r="E145" s="104"/>
      <c r="F145" s="104"/>
      <c r="G145" s="105"/>
      <c r="H145" s="5" t="s">
        <v>712</v>
      </c>
      <c r="I145" s="13">
        <v>27</v>
      </c>
      <c r="J145" s="7">
        <v>4</v>
      </c>
      <c r="K145" s="7">
        <v>9</v>
      </c>
      <c r="L145" s="95" t="s">
        <v>581</v>
      </c>
      <c r="M145" s="96" t="s">
        <v>556</v>
      </c>
      <c r="N145" s="96" t="s">
        <v>559</v>
      </c>
      <c r="O145" s="96" t="s">
        <v>266</v>
      </c>
      <c r="P145" s="6">
        <v>240</v>
      </c>
      <c r="Q145" s="216"/>
      <c r="R145" s="216">
        <v>901.7</v>
      </c>
      <c r="S145" s="216">
        <v>0</v>
      </c>
    </row>
    <row r="146" spans="1:19" ht="35.25" customHeight="1">
      <c r="A146" s="99"/>
      <c r="B146" s="98"/>
      <c r="C146" s="103"/>
      <c r="D146" s="101"/>
      <c r="E146" s="113"/>
      <c r="F146" s="113"/>
      <c r="G146" s="105">
        <v>530</v>
      </c>
      <c r="H146" s="5" t="s">
        <v>375</v>
      </c>
      <c r="I146" s="10">
        <v>27</v>
      </c>
      <c r="J146" s="7">
        <v>4</v>
      </c>
      <c r="K146" s="7">
        <v>9</v>
      </c>
      <c r="L146" s="95" t="s">
        <v>702</v>
      </c>
      <c r="M146" s="96" t="s">
        <v>556</v>
      </c>
      <c r="N146" s="96" t="s">
        <v>576</v>
      </c>
      <c r="O146" s="96" t="s">
        <v>613</v>
      </c>
      <c r="P146" s="6"/>
      <c r="Q146" s="216" t="e">
        <f>Q147+#REF!+Q150+Q156+#REF!+Q153</f>
        <v>#REF!</v>
      </c>
      <c r="R146" s="216">
        <f>R147+R150+R156+R153</f>
        <v>0</v>
      </c>
      <c r="S146" s="216">
        <f>S147+S150+S156+S153</f>
        <v>13445.7</v>
      </c>
    </row>
    <row r="147" spans="1:19" ht="29.25" customHeight="1">
      <c r="A147" s="99"/>
      <c r="B147" s="98"/>
      <c r="C147" s="103"/>
      <c r="D147" s="101"/>
      <c r="E147" s="113"/>
      <c r="F147" s="113"/>
      <c r="G147" s="105"/>
      <c r="H147" s="11" t="s">
        <v>654</v>
      </c>
      <c r="I147" s="10">
        <v>27</v>
      </c>
      <c r="J147" s="7">
        <v>4</v>
      </c>
      <c r="K147" s="7">
        <v>9</v>
      </c>
      <c r="L147" s="95" t="s">
        <v>702</v>
      </c>
      <c r="M147" s="96" t="s">
        <v>556</v>
      </c>
      <c r="N147" s="96" t="s">
        <v>557</v>
      </c>
      <c r="O147" s="96" t="s">
        <v>613</v>
      </c>
      <c r="P147" s="6"/>
      <c r="Q147" s="216" t="e">
        <f>Q148</f>
        <v>#REF!</v>
      </c>
      <c r="R147" s="216">
        <f>R148</f>
        <v>0</v>
      </c>
      <c r="S147" s="216">
        <f>S148</f>
        <v>1428</v>
      </c>
    </row>
    <row r="148" spans="1:19" ht="35.25" customHeight="1">
      <c r="A148" s="99"/>
      <c r="B148" s="98"/>
      <c r="C148" s="103"/>
      <c r="D148" s="101"/>
      <c r="E148" s="113"/>
      <c r="F148" s="113"/>
      <c r="G148" s="105"/>
      <c r="H148" s="11" t="s">
        <v>732</v>
      </c>
      <c r="I148" s="10">
        <v>27</v>
      </c>
      <c r="J148" s="7">
        <v>4</v>
      </c>
      <c r="K148" s="7">
        <v>9</v>
      </c>
      <c r="L148" s="95" t="s">
        <v>702</v>
      </c>
      <c r="M148" s="96" t="s">
        <v>556</v>
      </c>
      <c r="N148" s="96" t="s">
        <v>557</v>
      </c>
      <c r="O148" s="96" t="s">
        <v>342</v>
      </c>
      <c r="P148" s="6"/>
      <c r="Q148" s="216" t="e">
        <f>Q149+#REF!</f>
        <v>#REF!</v>
      </c>
      <c r="R148" s="216">
        <f>R149</f>
        <v>0</v>
      </c>
      <c r="S148" s="216">
        <f>S149</f>
        <v>1428</v>
      </c>
    </row>
    <row r="149" spans="1:19" ht="26.25" customHeight="1">
      <c r="A149" s="99"/>
      <c r="B149" s="98"/>
      <c r="C149" s="103"/>
      <c r="D149" s="101"/>
      <c r="E149" s="113"/>
      <c r="F149" s="113"/>
      <c r="G149" s="105"/>
      <c r="H149" s="30" t="s">
        <v>712</v>
      </c>
      <c r="I149" s="10">
        <v>27</v>
      </c>
      <c r="J149" s="7">
        <v>4</v>
      </c>
      <c r="K149" s="7">
        <v>9</v>
      </c>
      <c r="L149" s="95" t="s">
        <v>702</v>
      </c>
      <c r="M149" s="96" t="s">
        <v>556</v>
      </c>
      <c r="N149" s="96" t="s">
        <v>557</v>
      </c>
      <c r="O149" s="96" t="s">
        <v>342</v>
      </c>
      <c r="P149" s="6">
        <v>240</v>
      </c>
      <c r="Q149" s="216">
        <v>10533.2</v>
      </c>
      <c r="R149" s="216">
        <v>0</v>
      </c>
      <c r="S149" s="216">
        <v>1428</v>
      </c>
    </row>
    <row r="150" spans="1:19" ht="24.75" customHeight="1">
      <c r="A150" s="99"/>
      <c r="B150" s="98"/>
      <c r="C150" s="103"/>
      <c r="D150" s="101"/>
      <c r="E150" s="104"/>
      <c r="F150" s="104"/>
      <c r="G150" s="105"/>
      <c r="H150" s="5" t="s">
        <v>249</v>
      </c>
      <c r="I150" s="13">
        <v>27</v>
      </c>
      <c r="J150" s="7">
        <v>4</v>
      </c>
      <c r="K150" s="7">
        <v>9</v>
      </c>
      <c r="L150" s="95" t="s">
        <v>702</v>
      </c>
      <c r="M150" s="96" t="s">
        <v>556</v>
      </c>
      <c r="N150" s="96" t="s">
        <v>586</v>
      </c>
      <c r="O150" s="96" t="s">
        <v>613</v>
      </c>
      <c r="P150" s="6"/>
      <c r="Q150" s="216">
        <f aca="true" t="shared" si="11" ref="Q150:S151">Q151</f>
        <v>6728.8</v>
      </c>
      <c r="R150" s="216">
        <f t="shared" si="11"/>
        <v>0</v>
      </c>
      <c r="S150" s="216">
        <f t="shared" si="11"/>
        <v>10916</v>
      </c>
    </row>
    <row r="151" spans="1:19" ht="24.75" customHeight="1">
      <c r="A151" s="99"/>
      <c r="B151" s="98"/>
      <c r="C151" s="103"/>
      <c r="D151" s="101"/>
      <c r="E151" s="104"/>
      <c r="F151" s="104"/>
      <c r="G151" s="105"/>
      <c r="H151" s="5" t="s">
        <v>754</v>
      </c>
      <c r="I151" s="13">
        <v>27</v>
      </c>
      <c r="J151" s="7">
        <v>4</v>
      </c>
      <c r="K151" s="7">
        <v>9</v>
      </c>
      <c r="L151" s="95" t="s">
        <v>702</v>
      </c>
      <c r="M151" s="96" t="s">
        <v>556</v>
      </c>
      <c r="N151" s="96" t="s">
        <v>586</v>
      </c>
      <c r="O151" s="96" t="s">
        <v>753</v>
      </c>
      <c r="P151" s="6"/>
      <c r="Q151" s="216">
        <f t="shared" si="11"/>
        <v>6728.8</v>
      </c>
      <c r="R151" s="216">
        <f t="shared" si="11"/>
        <v>0</v>
      </c>
      <c r="S151" s="216">
        <f t="shared" si="11"/>
        <v>10916</v>
      </c>
    </row>
    <row r="152" spans="1:19" ht="24.75" customHeight="1">
      <c r="A152" s="99"/>
      <c r="B152" s="98"/>
      <c r="C152" s="103"/>
      <c r="D152" s="101"/>
      <c r="E152" s="104"/>
      <c r="F152" s="104"/>
      <c r="G152" s="105"/>
      <c r="H152" s="5" t="s">
        <v>712</v>
      </c>
      <c r="I152" s="13">
        <v>27</v>
      </c>
      <c r="J152" s="7">
        <v>4</v>
      </c>
      <c r="K152" s="7">
        <v>9</v>
      </c>
      <c r="L152" s="95" t="s">
        <v>702</v>
      </c>
      <c r="M152" s="96" t="s">
        <v>556</v>
      </c>
      <c r="N152" s="96" t="s">
        <v>586</v>
      </c>
      <c r="O152" s="96" t="s">
        <v>753</v>
      </c>
      <c r="P152" s="6">
        <v>240</v>
      </c>
      <c r="Q152" s="216">
        <v>6728.8</v>
      </c>
      <c r="R152" s="216">
        <v>0</v>
      </c>
      <c r="S152" s="216">
        <v>10916</v>
      </c>
    </row>
    <row r="153" spans="1:19" ht="35.25" customHeight="1">
      <c r="A153" s="99"/>
      <c r="B153" s="98"/>
      <c r="C153" s="97"/>
      <c r="D153" s="94"/>
      <c r="E153" s="94"/>
      <c r="F153" s="94"/>
      <c r="G153" s="89"/>
      <c r="H153" s="5" t="s">
        <v>768</v>
      </c>
      <c r="I153" s="10">
        <v>664</v>
      </c>
      <c r="J153" s="7">
        <v>4</v>
      </c>
      <c r="K153" s="7">
        <v>9</v>
      </c>
      <c r="L153" s="95" t="s">
        <v>702</v>
      </c>
      <c r="M153" s="96" t="s">
        <v>556</v>
      </c>
      <c r="N153" s="96" t="s">
        <v>581</v>
      </c>
      <c r="O153" s="96" t="s">
        <v>613</v>
      </c>
      <c r="P153" s="23"/>
      <c r="Q153" s="219">
        <f aca="true" t="shared" si="12" ref="Q153:S154">Q154</f>
        <v>200</v>
      </c>
      <c r="R153" s="219">
        <f t="shared" si="12"/>
        <v>0</v>
      </c>
      <c r="S153" s="219">
        <f t="shared" si="12"/>
        <v>200</v>
      </c>
    </row>
    <row r="154" spans="1:19" ht="23.25" customHeight="1">
      <c r="A154" s="99"/>
      <c r="B154" s="98"/>
      <c r="C154" s="97"/>
      <c r="D154" s="94"/>
      <c r="E154" s="94"/>
      <c r="F154" s="94"/>
      <c r="G154" s="89"/>
      <c r="H154" s="5" t="s">
        <v>777</v>
      </c>
      <c r="I154" s="10">
        <v>664</v>
      </c>
      <c r="J154" s="7">
        <v>4</v>
      </c>
      <c r="K154" s="7">
        <v>9</v>
      </c>
      <c r="L154" s="95" t="s">
        <v>702</v>
      </c>
      <c r="M154" s="96" t="s">
        <v>556</v>
      </c>
      <c r="N154" s="96" t="s">
        <v>581</v>
      </c>
      <c r="O154" s="96" t="s">
        <v>753</v>
      </c>
      <c r="P154" s="23"/>
      <c r="Q154" s="219">
        <f t="shared" si="12"/>
        <v>200</v>
      </c>
      <c r="R154" s="219">
        <f t="shared" si="12"/>
        <v>0</v>
      </c>
      <c r="S154" s="219">
        <f t="shared" si="12"/>
        <v>200</v>
      </c>
    </row>
    <row r="155" spans="1:19" ht="20.25" customHeight="1">
      <c r="A155" s="99"/>
      <c r="B155" s="98"/>
      <c r="C155" s="97"/>
      <c r="D155" s="94"/>
      <c r="E155" s="94"/>
      <c r="F155" s="94"/>
      <c r="G155" s="89"/>
      <c r="H155" s="5" t="s">
        <v>765</v>
      </c>
      <c r="I155" s="10">
        <v>664</v>
      </c>
      <c r="J155" s="7">
        <v>4</v>
      </c>
      <c r="K155" s="7">
        <v>9</v>
      </c>
      <c r="L155" s="95" t="s">
        <v>702</v>
      </c>
      <c r="M155" s="96" t="s">
        <v>556</v>
      </c>
      <c r="N155" s="96" t="s">
        <v>581</v>
      </c>
      <c r="O155" s="96" t="s">
        <v>753</v>
      </c>
      <c r="P155" s="23">
        <v>240</v>
      </c>
      <c r="Q155" s="219">
        <v>200</v>
      </c>
      <c r="R155" s="219">
        <v>0</v>
      </c>
      <c r="S155" s="219">
        <v>200</v>
      </c>
    </row>
    <row r="156" spans="1:19" ht="40.5" customHeight="1">
      <c r="A156" s="99"/>
      <c r="B156" s="98"/>
      <c r="C156" s="103"/>
      <c r="D156" s="101"/>
      <c r="E156" s="104"/>
      <c r="F156" s="104"/>
      <c r="G156" s="105"/>
      <c r="H156" s="5" t="s">
        <v>161</v>
      </c>
      <c r="I156" s="13">
        <v>27</v>
      </c>
      <c r="J156" s="7">
        <v>4</v>
      </c>
      <c r="K156" s="7">
        <v>9</v>
      </c>
      <c r="L156" s="95" t="s">
        <v>702</v>
      </c>
      <c r="M156" s="96" t="s">
        <v>556</v>
      </c>
      <c r="N156" s="96" t="s">
        <v>559</v>
      </c>
      <c r="O156" s="96" t="s">
        <v>613</v>
      </c>
      <c r="P156" s="6"/>
      <c r="Q156" s="216" t="e">
        <f>Q157</f>
        <v>#REF!</v>
      </c>
      <c r="R156" s="216">
        <f>R157</f>
        <v>0</v>
      </c>
      <c r="S156" s="216">
        <f>S157</f>
        <v>901.7</v>
      </c>
    </row>
    <row r="157" spans="1:19" ht="31.5" customHeight="1">
      <c r="A157" s="99"/>
      <c r="B157" s="98"/>
      <c r="C157" s="103"/>
      <c r="D157" s="101"/>
      <c r="E157" s="104"/>
      <c r="F157" s="104"/>
      <c r="G157" s="105"/>
      <c r="H157" s="5" t="s">
        <v>267</v>
      </c>
      <c r="I157" s="13">
        <v>27</v>
      </c>
      <c r="J157" s="7">
        <v>4</v>
      </c>
      <c r="K157" s="7">
        <v>9</v>
      </c>
      <c r="L157" s="95" t="s">
        <v>702</v>
      </c>
      <c r="M157" s="96" t="s">
        <v>556</v>
      </c>
      <c r="N157" s="96" t="s">
        <v>559</v>
      </c>
      <c r="O157" s="96" t="s">
        <v>266</v>
      </c>
      <c r="P157" s="6"/>
      <c r="Q157" s="216" t="e">
        <f>#REF!</f>
        <v>#REF!</v>
      </c>
      <c r="R157" s="216">
        <f>R158</f>
        <v>0</v>
      </c>
      <c r="S157" s="216">
        <f>S158</f>
        <v>901.7</v>
      </c>
    </row>
    <row r="158" spans="1:19" ht="31.5" customHeight="1">
      <c r="A158" s="99"/>
      <c r="B158" s="98"/>
      <c r="C158" s="103"/>
      <c r="D158" s="101"/>
      <c r="E158" s="104"/>
      <c r="F158" s="104"/>
      <c r="G158" s="105"/>
      <c r="H158" s="5" t="s">
        <v>712</v>
      </c>
      <c r="I158" s="13">
        <v>27</v>
      </c>
      <c r="J158" s="7">
        <v>4</v>
      </c>
      <c r="K158" s="7">
        <v>9</v>
      </c>
      <c r="L158" s="95" t="s">
        <v>702</v>
      </c>
      <c r="M158" s="96" t="s">
        <v>556</v>
      </c>
      <c r="N158" s="96" t="s">
        <v>559</v>
      </c>
      <c r="O158" s="96" t="s">
        <v>266</v>
      </c>
      <c r="P158" s="6">
        <v>240</v>
      </c>
      <c r="Q158" s="216"/>
      <c r="R158" s="216">
        <v>0</v>
      </c>
      <c r="S158" s="216">
        <v>901.7</v>
      </c>
    </row>
    <row r="159" spans="1:19" s="179" customFormat="1" ht="24" customHeight="1">
      <c r="A159" s="142"/>
      <c r="B159" s="143"/>
      <c r="C159" s="153"/>
      <c r="D159" s="150"/>
      <c r="E159" s="145"/>
      <c r="F159" s="145"/>
      <c r="G159" s="155">
        <v>850</v>
      </c>
      <c r="H159" s="149" t="s">
        <v>539</v>
      </c>
      <c r="I159" s="152">
        <v>27</v>
      </c>
      <c r="J159" s="148">
        <v>4</v>
      </c>
      <c r="K159" s="148">
        <v>12</v>
      </c>
      <c r="L159" s="140"/>
      <c r="M159" s="141"/>
      <c r="N159" s="141"/>
      <c r="O159" s="141"/>
      <c r="P159" s="146"/>
      <c r="Q159" s="217" t="e">
        <f>Q160+Q172+#REF!+Q176</f>
        <v>#REF!</v>
      </c>
      <c r="R159" s="217">
        <f>R160+R172+R176</f>
        <v>7660</v>
      </c>
      <c r="S159" s="217">
        <f>S160+S172+S176</f>
        <v>7580</v>
      </c>
    </row>
    <row r="160" spans="1:19" ht="40.5" customHeight="1">
      <c r="A160" s="99"/>
      <c r="B160" s="98"/>
      <c r="C160" s="97"/>
      <c r="D160" s="101"/>
      <c r="E160" s="115"/>
      <c r="F160" s="115"/>
      <c r="G160" s="89"/>
      <c r="H160" s="200" t="s">
        <v>376</v>
      </c>
      <c r="I160" s="6">
        <v>27</v>
      </c>
      <c r="J160" s="7">
        <v>4</v>
      </c>
      <c r="K160" s="7">
        <v>12</v>
      </c>
      <c r="L160" s="95" t="s">
        <v>703</v>
      </c>
      <c r="M160" s="96" t="s">
        <v>556</v>
      </c>
      <c r="N160" s="96" t="s">
        <v>576</v>
      </c>
      <c r="O160" s="96" t="s">
        <v>613</v>
      </c>
      <c r="P160" s="6"/>
      <c r="Q160" s="216">
        <f>Q161+Q164+Q169</f>
        <v>6178.1</v>
      </c>
      <c r="R160" s="216">
        <f>R161+R164+R169</f>
        <v>7300</v>
      </c>
      <c r="S160" s="216">
        <f>S161+S164+S169</f>
        <v>7250</v>
      </c>
    </row>
    <row r="161" spans="1:19" ht="36" customHeight="1">
      <c r="A161" s="99"/>
      <c r="B161" s="98"/>
      <c r="C161" s="97"/>
      <c r="D161" s="101"/>
      <c r="E161" s="115"/>
      <c r="F161" s="115"/>
      <c r="G161" s="89"/>
      <c r="H161" s="108" t="s">
        <v>341</v>
      </c>
      <c r="I161" s="6">
        <v>27</v>
      </c>
      <c r="J161" s="7">
        <v>4</v>
      </c>
      <c r="K161" s="7">
        <v>12</v>
      </c>
      <c r="L161" s="95" t="s">
        <v>703</v>
      </c>
      <c r="M161" s="96" t="s">
        <v>556</v>
      </c>
      <c r="N161" s="96" t="s">
        <v>557</v>
      </c>
      <c r="O161" s="96" t="s">
        <v>613</v>
      </c>
      <c r="P161" s="6"/>
      <c r="Q161" s="216">
        <f aca="true" t="shared" si="13" ref="Q161:S162">Q162</f>
        <v>50</v>
      </c>
      <c r="R161" s="216">
        <f t="shared" si="13"/>
        <v>200</v>
      </c>
      <c r="S161" s="216">
        <f t="shared" si="13"/>
        <v>150</v>
      </c>
    </row>
    <row r="162" spans="1:19" ht="21.75" customHeight="1">
      <c r="A162" s="99"/>
      <c r="B162" s="98"/>
      <c r="C162" s="97"/>
      <c r="D162" s="101"/>
      <c r="E162" s="115"/>
      <c r="F162" s="115"/>
      <c r="G162" s="89"/>
      <c r="H162" s="108" t="s">
        <v>255</v>
      </c>
      <c r="I162" s="6">
        <v>27</v>
      </c>
      <c r="J162" s="7">
        <v>4</v>
      </c>
      <c r="K162" s="7">
        <v>12</v>
      </c>
      <c r="L162" s="95" t="s">
        <v>703</v>
      </c>
      <c r="M162" s="96" t="s">
        <v>556</v>
      </c>
      <c r="N162" s="96" t="s">
        <v>557</v>
      </c>
      <c r="O162" s="96" t="s">
        <v>256</v>
      </c>
      <c r="P162" s="6"/>
      <c r="Q162" s="216">
        <f t="shared" si="13"/>
        <v>50</v>
      </c>
      <c r="R162" s="216">
        <f t="shared" si="13"/>
        <v>200</v>
      </c>
      <c r="S162" s="216">
        <f t="shared" si="13"/>
        <v>150</v>
      </c>
    </row>
    <row r="163" spans="1:19" ht="24" customHeight="1">
      <c r="A163" s="99"/>
      <c r="B163" s="98"/>
      <c r="C163" s="97"/>
      <c r="D163" s="101"/>
      <c r="E163" s="115"/>
      <c r="F163" s="115"/>
      <c r="G163" s="89"/>
      <c r="H163" s="108" t="s">
        <v>714</v>
      </c>
      <c r="I163" s="6">
        <v>27</v>
      </c>
      <c r="J163" s="7">
        <v>4</v>
      </c>
      <c r="K163" s="7">
        <v>12</v>
      </c>
      <c r="L163" s="95" t="s">
        <v>703</v>
      </c>
      <c r="M163" s="96" t="s">
        <v>556</v>
      </c>
      <c r="N163" s="96" t="s">
        <v>557</v>
      </c>
      <c r="O163" s="96" t="s">
        <v>256</v>
      </c>
      <c r="P163" s="6">
        <v>610</v>
      </c>
      <c r="Q163" s="216">
        <v>50</v>
      </c>
      <c r="R163" s="216">
        <v>200</v>
      </c>
      <c r="S163" s="216">
        <v>150</v>
      </c>
    </row>
    <row r="164" spans="1:19" ht="27.75" customHeight="1">
      <c r="A164" s="99"/>
      <c r="B164" s="98"/>
      <c r="C164" s="97"/>
      <c r="D164" s="101"/>
      <c r="E164" s="115"/>
      <c r="F164" s="115"/>
      <c r="G164" s="89"/>
      <c r="H164" s="5" t="s">
        <v>652</v>
      </c>
      <c r="I164" s="8">
        <v>27</v>
      </c>
      <c r="J164" s="7">
        <v>4</v>
      </c>
      <c r="K164" s="7">
        <v>12</v>
      </c>
      <c r="L164" s="95" t="s">
        <v>703</v>
      </c>
      <c r="M164" s="96" t="s">
        <v>556</v>
      </c>
      <c r="N164" s="96" t="s">
        <v>559</v>
      </c>
      <c r="O164" s="96" t="s">
        <v>613</v>
      </c>
      <c r="P164" s="6"/>
      <c r="Q164" s="216">
        <f aca="true" t="shared" si="14" ref="Q164:S165">Q165</f>
        <v>6078.1</v>
      </c>
      <c r="R164" s="216">
        <f>R165+R167</f>
        <v>6750</v>
      </c>
      <c r="S164" s="216">
        <f>S165+S167</f>
        <v>6800</v>
      </c>
    </row>
    <row r="165" spans="1:19" ht="27.75" customHeight="1">
      <c r="A165" s="99"/>
      <c r="B165" s="98"/>
      <c r="C165" s="97"/>
      <c r="D165" s="101"/>
      <c r="E165" s="115"/>
      <c r="F165" s="115"/>
      <c r="G165" s="89"/>
      <c r="H165" s="5" t="s">
        <v>255</v>
      </c>
      <c r="I165" s="8">
        <v>27</v>
      </c>
      <c r="J165" s="7">
        <v>4</v>
      </c>
      <c r="K165" s="7">
        <v>12</v>
      </c>
      <c r="L165" s="95" t="s">
        <v>703</v>
      </c>
      <c r="M165" s="96" t="s">
        <v>556</v>
      </c>
      <c r="N165" s="96" t="s">
        <v>559</v>
      </c>
      <c r="O165" s="96" t="s">
        <v>256</v>
      </c>
      <c r="P165" s="6"/>
      <c r="Q165" s="216">
        <f t="shared" si="14"/>
        <v>6078.1</v>
      </c>
      <c r="R165" s="216">
        <f t="shared" si="14"/>
        <v>5881.6</v>
      </c>
      <c r="S165" s="216">
        <f t="shared" si="14"/>
        <v>5689.3</v>
      </c>
    </row>
    <row r="166" spans="1:19" ht="27.75" customHeight="1">
      <c r="A166" s="99"/>
      <c r="B166" s="98"/>
      <c r="C166" s="97"/>
      <c r="D166" s="101"/>
      <c r="E166" s="115"/>
      <c r="F166" s="115"/>
      <c r="G166" s="89"/>
      <c r="H166" s="5" t="s">
        <v>714</v>
      </c>
      <c r="I166" s="8">
        <v>27</v>
      </c>
      <c r="J166" s="7">
        <v>4</v>
      </c>
      <c r="K166" s="7">
        <v>12</v>
      </c>
      <c r="L166" s="95" t="s">
        <v>703</v>
      </c>
      <c r="M166" s="96" t="s">
        <v>556</v>
      </c>
      <c r="N166" s="96" t="s">
        <v>559</v>
      </c>
      <c r="O166" s="96" t="s">
        <v>256</v>
      </c>
      <c r="P166" s="6">
        <v>610</v>
      </c>
      <c r="Q166" s="216">
        <v>6078.1</v>
      </c>
      <c r="R166" s="216">
        <v>5881.6</v>
      </c>
      <c r="S166" s="216">
        <v>5689.3</v>
      </c>
    </row>
    <row r="167" spans="1:19" ht="33.75" customHeight="1">
      <c r="A167" s="99"/>
      <c r="B167" s="98"/>
      <c r="C167" s="97"/>
      <c r="D167" s="101"/>
      <c r="E167" s="115"/>
      <c r="F167" s="115"/>
      <c r="G167" s="89"/>
      <c r="H167" s="5" t="str">
        <f>'Приложение 10'!H134</f>
        <v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v>
      </c>
      <c r="I167" s="8">
        <f>'Приложение 10'!I134</f>
        <v>27</v>
      </c>
      <c r="J167" s="7">
        <f>'Приложение 10'!J134</f>
        <v>4</v>
      </c>
      <c r="K167" s="7">
        <f>'Приложение 10'!K134</f>
        <v>12</v>
      </c>
      <c r="L167" s="95" t="str">
        <f>'Приложение 10'!L134</f>
        <v>31</v>
      </c>
      <c r="M167" s="96" t="str">
        <f>'Приложение 10'!M134</f>
        <v>0</v>
      </c>
      <c r="N167" s="96" t="str">
        <f>'Приложение 10'!N134</f>
        <v>05</v>
      </c>
      <c r="O167" s="96" t="str">
        <f>'Приложение 10'!O134</f>
        <v>70030</v>
      </c>
      <c r="P167" s="6" t="s">
        <v>614</v>
      </c>
      <c r="Q167" s="216">
        <f>'Приложение 10'!Q134</f>
        <v>868.4</v>
      </c>
      <c r="R167" s="216">
        <f>R168</f>
        <v>868.4</v>
      </c>
      <c r="S167" s="216">
        <f>S168</f>
        <v>1110.7</v>
      </c>
    </row>
    <row r="168" spans="1:19" ht="27.75" customHeight="1">
      <c r="A168" s="99"/>
      <c r="B168" s="98"/>
      <c r="C168" s="97"/>
      <c r="D168" s="101"/>
      <c r="E168" s="115"/>
      <c r="F168" s="115"/>
      <c r="G168" s="89"/>
      <c r="H168" s="5" t="str">
        <f>'Приложение 10'!H135</f>
        <v>Субсидии бюджетным учреждениям</v>
      </c>
      <c r="I168" s="8">
        <f>'Приложение 10'!I135</f>
        <v>27</v>
      </c>
      <c r="J168" s="7">
        <f>'Приложение 10'!J135</f>
        <v>4</v>
      </c>
      <c r="K168" s="7">
        <f>'Приложение 10'!K135</f>
        <v>12</v>
      </c>
      <c r="L168" s="95" t="str">
        <f>'Приложение 10'!L135</f>
        <v>31</v>
      </c>
      <c r="M168" s="96" t="str">
        <f>'Приложение 10'!M135</f>
        <v>0</v>
      </c>
      <c r="N168" s="96" t="str">
        <f>'Приложение 10'!N135</f>
        <v>05</v>
      </c>
      <c r="O168" s="96" t="str">
        <f>'Приложение 10'!O135</f>
        <v>70030</v>
      </c>
      <c r="P168" s="6">
        <f>'Приложение 10'!P135</f>
        <v>610</v>
      </c>
      <c r="Q168" s="216">
        <f>'Приложение 10'!Q135</f>
        <v>868.4</v>
      </c>
      <c r="R168" s="216">
        <f>'Приложение 10'!Q135</f>
        <v>868.4</v>
      </c>
      <c r="S168" s="216">
        <f>'Приложение 10'!R135</f>
        <v>1110.7</v>
      </c>
    </row>
    <row r="169" spans="1:19" ht="39" customHeight="1">
      <c r="A169" s="99"/>
      <c r="B169" s="98"/>
      <c r="C169" s="97"/>
      <c r="D169" s="101"/>
      <c r="E169" s="115"/>
      <c r="F169" s="115"/>
      <c r="G169" s="89"/>
      <c r="H169" s="5" t="s">
        <v>279</v>
      </c>
      <c r="I169" s="8">
        <v>27</v>
      </c>
      <c r="J169" s="7">
        <v>4</v>
      </c>
      <c r="K169" s="7">
        <v>12</v>
      </c>
      <c r="L169" s="95" t="s">
        <v>703</v>
      </c>
      <c r="M169" s="96" t="s">
        <v>556</v>
      </c>
      <c r="N169" s="96" t="s">
        <v>561</v>
      </c>
      <c r="O169" s="96" t="s">
        <v>613</v>
      </c>
      <c r="P169" s="6"/>
      <c r="Q169" s="216">
        <f aca="true" t="shared" si="15" ref="Q169:S170">Q170</f>
        <v>50</v>
      </c>
      <c r="R169" s="216">
        <f t="shared" si="15"/>
        <v>350</v>
      </c>
      <c r="S169" s="216">
        <f t="shared" si="15"/>
        <v>300</v>
      </c>
    </row>
    <row r="170" spans="1:19" ht="29.25" customHeight="1">
      <c r="A170" s="99"/>
      <c r="B170" s="98"/>
      <c r="C170" s="97"/>
      <c r="D170" s="101"/>
      <c r="E170" s="115"/>
      <c r="F170" s="115"/>
      <c r="G170" s="89"/>
      <c r="H170" s="5" t="s">
        <v>255</v>
      </c>
      <c r="I170" s="8">
        <v>27</v>
      </c>
      <c r="J170" s="7">
        <v>4</v>
      </c>
      <c r="K170" s="7">
        <v>12</v>
      </c>
      <c r="L170" s="95" t="s">
        <v>703</v>
      </c>
      <c r="M170" s="96" t="s">
        <v>556</v>
      </c>
      <c r="N170" s="96" t="s">
        <v>561</v>
      </c>
      <c r="O170" s="96" t="s">
        <v>256</v>
      </c>
      <c r="P170" s="6"/>
      <c r="Q170" s="216">
        <f t="shared" si="15"/>
        <v>50</v>
      </c>
      <c r="R170" s="216">
        <f t="shared" si="15"/>
        <v>350</v>
      </c>
      <c r="S170" s="216">
        <f t="shared" si="15"/>
        <v>300</v>
      </c>
    </row>
    <row r="171" spans="1:19" ht="20.25" customHeight="1">
      <c r="A171" s="99"/>
      <c r="B171" s="98"/>
      <c r="C171" s="97"/>
      <c r="D171" s="101"/>
      <c r="E171" s="115"/>
      <c r="F171" s="115"/>
      <c r="G171" s="89"/>
      <c r="H171" s="5" t="s">
        <v>714</v>
      </c>
      <c r="I171" s="8">
        <v>27</v>
      </c>
      <c r="J171" s="7">
        <v>4</v>
      </c>
      <c r="K171" s="7">
        <v>12</v>
      </c>
      <c r="L171" s="95" t="s">
        <v>703</v>
      </c>
      <c r="M171" s="96" t="s">
        <v>556</v>
      </c>
      <c r="N171" s="96" t="s">
        <v>561</v>
      </c>
      <c r="O171" s="96" t="s">
        <v>256</v>
      </c>
      <c r="P171" s="6">
        <v>610</v>
      </c>
      <c r="Q171" s="216">
        <v>50</v>
      </c>
      <c r="R171" s="216">
        <v>350</v>
      </c>
      <c r="S171" s="216">
        <v>300</v>
      </c>
    </row>
    <row r="172" spans="1:19" ht="39" customHeight="1">
      <c r="A172" s="99"/>
      <c r="B172" s="98"/>
      <c r="C172" s="97"/>
      <c r="D172" s="101"/>
      <c r="E172" s="115"/>
      <c r="F172" s="115"/>
      <c r="G172" s="89"/>
      <c r="H172" s="117" t="s">
        <v>282</v>
      </c>
      <c r="I172" s="6">
        <v>27</v>
      </c>
      <c r="J172" s="7">
        <v>4</v>
      </c>
      <c r="K172" s="7">
        <v>12</v>
      </c>
      <c r="L172" s="95" t="s">
        <v>551</v>
      </c>
      <c r="M172" s="96" t="s">
        <v>556</v>
      </c>
      <c r="N172" s="96" t="s">
        <v>576</v>
      </c>
      <c r="O172" s="96" t="s">
        <v>613</v>
      </c>
      <c r="P172" s="6"/>
      <c r="Q172" s="216">
        <f aca="true" t="shared" si="16" ref="Q172:S174">Q173</f>
        <v>30</v>
      </c>
      <c r="R172" s="216">
        <f t="shared" si="16"/>
        <v>30</v>
      </c>
      <c r="S172" s="216">
        <f t="shared" si="16"/>
        <v>0</v>
      </c>
    </row>
    <row r="173" spans="1:19" ht="41.25" customHeight="1">
      <c r="A173" s="99"/>
      <c r="B173" s="98"/>
      <c r="C173" s="97"/>
      <c r="D173" s="101"/>
      <c r="E173" s="115"/>
      <c r="F173" s="115"/>
      <c r="G173" s="89"/>
      <c r="H173" s="5" t="s">
        <v>283</v>
      </c>
      <c r="I173" s="6">
        <v>27</v>
      </c>
      <c r="J173" s="7">
        <v>4</v>
      </c>
      <c r="K173" s="7">
        <v>12</v>
      </c>
      <c r="L173" s="95" t="s">
        <v>551</v>
      </c>
      <c r="M173" s="96" t="s">
        <v>556</v>
      </c>
      <c r="N173" s="96" t="s">
        <v>557</v>
      </c>
      <c r="O173" s="96" t="s">
        <v>613</v>
      </c>
      <c r="P173" s="6"/>
      <c r="Q173" s="216">
        <f t="shared" si="16"/>
        <v>30</v>
      </c>
      <c r="R173" s="216">
        <f t="shared" si="16"/>
        <v>30</v>
      </c>
      <c r="S173" s="216">
        <f t="shared" si="16"/>
        <v>0</v>
      </c>
    </row>
    <row r="174" spans="1:19" ht="30.75" customHeight="1">
      <c r="A174" s="99"/>
      <c r="B174" s="98"/>
      <c r="C174" s="97"/>
      <c r="D174" s="101"/>
      <c r="E174" s="115"/>
      <c r="F174" s="115"/>
      <c r="G174" s="89"/>
      <c r="H174" s="5" t="s">
        <v>285</v>
      </c>
      <c r="I174" s="6">
        <v>27</v>
      </c>
      <c r="J174" s="7">
        <v>4</v>
      </c>
      <c r="K174" s="7">
        <v>12</v>
      </c>
      <c r="L174" s="95" t="s">
        <v>551</v>
      </c>
      <c r="M174" s="96" t="s">
        <v>556</v>
      </c>
      <c r="N174" s="96" t="s">
        <v>557</v>
      </c>
      <c r="O174" s="96" t="s">
        <v>284</v>
      </c>
      <c r="P174" s="6"/>
      <c r="Q174" s="216">
        <f t="shared" si="16"/>
        <v>30</v>
      </c>
      <c r="R174" s="216">
        <f t="shared" si="16"/>
        <v>30</v>
      </c>
      <c r="S174" s="216">
        <f t="shared" si="16"/>
        <v>0</v>
      </c>
    </row>
    <row r="175" spans="1:19" ht="29.25" customHeight="1">
      <c r="A175" s="99"/>
      <c r="B175" s="98"/>
      <c r="C175" s="97"/>
      <c r="D175" s="101"/>
      <c r="E175" s="115"/>
      <c r="F175" s="115"/>
      <c r="G175" s="89"/>
      <c r="H175" s="5" t="s">
        <v>712</v>
      </c>
      <c r="I175" s="6">
        <v>27</v>
      </c>
      <c r="J175" s="7">
        <v>4</v>
      </c>
      <c r="K175" s="7">
        <v>12</v>
      </c>
      <c r="L175" s="95" t="s">
        <v>551</v>
      </c>
      <c r="M175" s="96" t="s">
        <v>556</v>
      </c>
      <c r="N175" s="96" t="s">
        <v>557</v>
      </c>
      <c r="O175" s="96" t="s">
        <v>284</v>
      </c>
      <c r="P175" s="6">
        <v>240</v>
      </c>
      <c r="Q175" s="216">
        <v>30</v>
      </c>
      <c r="R175" s="216">
        <v>30</v>
      </c>
      <c r="S175" s="216">
        <v>0</v>
      </c>
    </row>
    <row r="176" spans="1:19" ht="33" customHeight="1">
      <c r="A176" s="99"/>
      <c r="B176" s="98"/>
      <c r="C176" s="97"/>
      <c r="D176" s="101"/>
      <c r="E176" s="115"/>
      <c r="F176" s="115"/>
      <c r="G176" s="89"/>
      <c r="H176" s="11" t="s">
        <v>292</v>
      </c>
      <c r="I176" s="6">
        <v>27</v>
      </c>
      <c r="J176" s="7">
        <v>4</v>
      </c>
      <c r="K176" s="7">
        <v>12</v>
      </c>
      <c r="L176" s="95" t="s">
        <v>573</v>
      </c>
      <c r="M176" s="96" t="s">
        <v>556</v>
      </c>
      <c r="N176" s="96" t="s">
        <v>576</v>
      </c>
      <c r="O176" s="96" t="s">
        <v>613</v>
      </c>
      <c r="P176" s="6"/>
      <c r="Q176" s="216">
        <f aca="true" t="shared" si="17" ref="Q176:S177">Q177</f>
        <v>0</v>
      </c>
      <c r="R176" s="216">
        <f t="shared" si="17"/>
        <v>330</v>
      </c>
      <c r="S176" s="216">
        <f t="shared" si="17"/>
        <v>330</v>
      </c>
    </row>
    <row r="177" spans="1:19" ht="20.25" customHeight="1">
      <c r="A177" s="99"/>
      <c r="B177" s="98"/>
      <c r="C177" s="97"/>
      <c r="D177" s="101"/>
      <c r="E177" s="115"/>
      <c r="F177" s="115"/>
      <c r="G177" s="89"/>
      <c r="H177" s="5" t="s">
        <v>8</v>
      </c>
      <c r="I177" s="8">
        <v>27</v>
      </c>
      <c r="J177" s="7">
        <v>4</v>
      </c>
      <c r="K177" s="7">
        <v>12</v>
      </c>
      <c r="L177" s="95" t="s">
        <v>573</v>
      </c>
      <c r="M177" s="96" t="s">
        <v>556</v>
      </c>
      <c r="N177" s="96" t="s">
        <v>576</v>
      </c>
      <c r="O177" s="96" t="s">
        <v>7</v>
      </c>
      <c r="P177" s="6"/>
      <c r="Q177" s="216">
        <f t="shared" si="17"/>
        <v>0</v>
      </c>
      <c r="R177" s="216">
        <f t="shared" si="17"/>
        <v>330</v>
      </c>
      <c r="S177" s="216">
        <f t="shared" si="17"/>
        <v>330</v>
      </c>
    </row>
    <row r="178" spans="1:19" ht="37.5" customHeight="1">
      <c r="A178" s="99"/>
      <c r="B178" s="98"/>
      <c r="C178" s="97"/>
      <c r="D178" s="101"/>
      <c r="E178" s="115"/>
      <c r="F178" s="115"/>
      <c r="G178" s="89"/>
      <c r="H178" s="5" t="s">
        <v>9</v>
      </c>
      <c r="I178" s="8">
        <v>27</v>
      </c>
      <c r="J178" s="7">
        <v>4</v>
      </c>
      <c r="K178" s="7">
        <v>12</v>
      </c>
      <c r="L178" s="95" t="s">
        <v>573</v>
      </c>
      <c r="M178" s="96" t="s">
        <v>556</v>
      </c>
      <c r="N178" s="96" t="s">
        <v>576</v>
      </c>
      <c r="O178" s="96" t="s">
        <v>7</v>
      </c>
      <c r="P178" s="6">
        <v>810</v>
      </c>
      <c r="Q178" s="216">
        <v>0</v>
      </c>
      <c r="R178" s="216">
        <v>330</v>
      </c>
      <c r="S178" s="216">
        <v>330</v>
      </c>
    </row>
    <row r="179" spans="1:19" s="179" customFormat="1" ht="26.25" customHeight="1">
      <c r="A179" s="142"/>
      <c r="B179" s="143"/>
      <c r="C179" s="142"/>
      <c r="D179" s="150"/>
      <c r="E179" s="151"/>
      <c r="F179" s="151"/>
      <c r="G179" s="136"/>
      <c r="H179" s="312" t="s">
        <v>610</v>
      </c>
      <c r="I179" s="152">
        <v>27</v>
      </c>
      <c r="J179" s="148">
        <v>5</v>
      </c>
      <c r="K179" s="148" t="s">
        <v>614</v>
      </c>
      <c r="L179" s="140"/>
      <c r="M179" s="141"/>
      <c r="N179" s="141"/>
      <c r="O179" s="141"/>
      <c r="P179" s="146"/>
      <c r="Q179" s="217" t="e">
        <f>Q180+#REF!+Q198+Q203</f>
        <v>#REF!</v>
      </c>
      <c r="R179" s="217">
        <f>R180+R198+R203+R189</f>
        <v>67967.5</v>
      </c>
      <c r="S179" s="217">
        <f>S180+S198+S203+S189</f>
        <v>4425.2</v>
      </c>
    </row>
    <row r="180" spans="1:19" s="179" customFormat="1" ht="29.25" customHeight="1">
      <c r="A180" s="142"/>
      <c r="B180" s="143"/>
      <c r="C180" s="142"/>
      <c r="D180" s="150"/>
      <c r="E180" s="151"/>
      <c r="F180" s="151"/>
      <c r="G180" s="136"/>
      <c r="H180" s="312" t="s">
        <v>611</v>
      </c>
      <c r="I180" s="152">
        <v>27</v>
      </c>
      <c r="J180" s="148">
        <v>5</v>
      </c>
      <c r="K180" s="148">
        <v>1</v>
      </c>
      <c r="L180" s="140"/>
      <c r="M180" s="141"/>
      <c r="N180" s="141"/>
      <c r="O180" s="141"/>
      <c r="P180" s="146"/>
      <c r="Q180" s="217">
        <f aca="true" t="shared" si="18" ref="Q180:S181">Q181</f>
        <v>3825.5</v>
      </c>
      <c r="R180" s="217">
        <f t="shared" si="18"/>
        <v>3941.9</v>
      </c>
      <c r="S180" s="217">
        <f t="shared" si="18"/>
        <v>3299.5</v>
      </c>
    </row>
    <row r="181" spans="1:19" ht="39.75" customHeight="1">
      <c r="A181" s="97"/>
      <c r="B181" s="98"/>
      <c r="C181" s="97"/>
      <c r="D181" s="101"/>
      <c r="E181" s="115"/>
      <c r="F181" s="115"/>
      <c r="G181" s="89"/>
      <c r="H181" s="18" t="s">
        <v>808</v>
      </c>
      <c r="I181" s="8">
        <v>27</v>
      </c>
      <c r="J181" s="7">
        <v>5</v>
      </c>
      <c r="K181" s="7">
        <v>1</v>
      </c>
      <c r="L181" s="95" t="s">
        <v>275</v>
      </c>
      <c r="M181" s="96" t="s">
        <v>556</v>
      </c>
      <c r="N181" s="96" t="s">
        <v>576</v>
      </c>
      <c r="O181" s="96" t="s">
        <v>613</v>
      </c>
      <c r="P181" s="6"/>
      <c r="Q181" s="216">
        <f t="shared" si="18"/>
        <v>3825.5</v>
      </c>
      <c r="R181" s="216">
        <f t="shared" si="18"/>
        <v>3941.9</v>
      </c>
      <c r="S181" s="216">
        <f t="shared" si="18"/>
        <v>3299.5</v>
      </c>
    </row>
    <row r="182" spans="1:19" ht="26.25" customHeight="1">
      <c r="A182" s="97"/>
      <c r="B182" s="98"/>
      <c r="C182" s="97"/>
      <c r="D182" s="101"/>
      <c r="E182" s="115"/>
      <c r="F182" s="115"/>
      <c r="G182" s="89"/>
      <c r="H182" s="18" t="s">
        <v>117</v>
      </c>
      <c r="I182" s="8">
        <v>27</v>
      </c>
      <c r="J182" s="7">
        <v>5</v>
      </c>
      <c r="K182" s="7">
        <v>1</v>
      </c>
      <c r="L182" s="95" t="s">
        <v>275</v>
      </c>
      <c r="M182" s="96" t="s">
        <v>556</v>
      </c>
      <c r="N182" s="96" t="s">
        <v>809</v>
      </c>
      <c r="O182" s="96" t="s">
        <v>613</v>
      </c>
      <c r="P182" s="6"/>
      <c r="Q182" s="216">
        <f>Q183+Q185+Q187</f>
        <v>3825.5</v>
      </c>
      <c r="R182" s="216">
        <f>R183+R185+R187</f>
        <v>3941.9</v>
      </c>
      <c r="S182" s="216">
        <f>S183+S185+S187</f>
        <v>3299.5</v>
      </c>
    </row>
    <row r="183" spans="1:19" ht="38.25" customHeight="1" hidden="1">
      <c r="A183" s="99"/>
      <c r="B183" s="98"/>
      <c r="C183" s="97"/>
      <c r="D183" s="101"/>
      <c r="E183" s="115"/>
      <c r="F183" s="115"/>
      <c r="G183" s="89"/>
      <c r="H183" s="18" t="s">
        <v>802</v>
      </c>
      <c r="I183" s="8">
        <v>27</v>
      </c>
      <c r="J183" s="7">
        <v>5</v>
      </c>
      <c r="K183" s="7">
        <v>1</v>
      </c>
      <c r="L183" s="95" t="s">
        <v>275</v>
      </c>
      <c r="M183" s="96" t="s">
        <v>556</v>
      </c>
      <c r="N183" s="96" t="s">
        <v>809</v>
      </c>
      <c r="O183" s="96" t="s">
        <v>812</v>
      </c>
      <c r="P183" s="6"/>
      <c r="Q183" s="216">
        <f>Q184</f>
        <v>0</v>
      </c>
      <c r="R183" s="216"/>
      <c r="S183" s="216"/>
    </row>
    <row r="184" spans="1:19" ht="23.25" customHeight="1" hidden="1">
      <c r="A184" s="99"/>
      <c r="B184" s="98"/>
      <c r="C184" s="97"/>
      <c r="D184" s="101"/>
      <c r="E184" s="115"/>
      <c r="F184" s="115"/>
      <c r="G184" s="89"/>
      <c r="H184" s="18" t="s">
        <v>518</v>
      </c>
      <c r="I184" s="8">
        <v>27</v>
      </c>
      <c r="J184" s="7">
        <v>5</v>
      </c>
      <c r="K184" s="7">
        <v>1</v>
      </c>
      <c r="L184" s="95" t="s">
        <v>275</v>
      </c>
      <c r="M184" s="96" t="s">
        <v>556</v>
      </c>
      <c r="N184" s="96" t="s">
        <v>809</v>
      </c>
      <c r="O184" s="96" t="s">
        <v>812</v>
      </c>
      <c r="P184" s="6">
        <v>410</v>
      </c>
      <c r="Q184" s="214">
        <v>0</v>
      </c>
      <c r="R184" s="216"/>
      <c r="S184" s="216"/>
    </row>
    <row r="185" spans="1:19" ht="39.75" customHeight="1">
      <c r="A185" s="99"/>
      <c r="B185" s="98"/>
      <c r="C185" s="97"/>
      <c r="D185" s="101"/>
      <c r="E185" s="115"/>
      <c r="F185" s="115"/>
      <c r="G185" s="89"/>
      <c r="H185" s="18" t="s">
        <v>803</v>
      </c>
      <c r="I185" s="8">
        <v>27</v>
      </c>
      <c r="J185" s="7">
        <v>5</v>
      </c>
      <c r="K185" s="7">
        <v>1</v>
      </c>
      <c r="L185" s="95" t="s">
        <v>275</v>
      </c>
      <c r="M185" s="96" t="s">
        <v>556</v>
      </c>
      <c r="N185" s="96" t="s">
        <v>809</v>
      </c>
      <c r="O185" s="96" t="s">
        <v>813</v>
      </c>
      <c r="P185" s="6"/>
      <c r="Q185" s="216">
        <f>Q186</f>
        <v>3125.5</v>
      </c>
      <c r="R185" s="216">
        <f>R186</f>
        <v>2941.9</v>
      </c>
      <c r="S185" s="216">
        <f>S186</f>
        <v>2299.5</v>
      </c>
    </row>
    <row r="186" spans="1:19" ht="24" customHeight="1">
      <c r="A186" s="99"/>
      <c r="B186" s="98"/>
      <c r="C186" s="97"/>
      <c r="D186" s="101"/>
      <c r="E186" s="115"/>
      <c r="F186" s="115"/>
      <c r="G186" s="89"/>
      <c r="H186" s="18" t="s">
        <v>518</v>
      </c>
      <c r="I186" s="8">
        <v>27</v>
      </c>
      <c r="J186" s="7">
        <v>5</v>
      </c>
      <c r="K186" s="7">
        <v>1</v>
      </c>
      <c r="L186" s="95" t="s">
        <v>275</v>
      </c>
      <c r="M186" s="96" t="s">
        <v>556</v>
      </c>
      <c r="N186" s="96" t="s">
        <v>809</v>
      </c>
      <c r="O186" s="96" t="s">
        <v>813</v>
      </c>
      <c r="P186" s="6">
        <v>410</v>
      </c>
      <c r="Q186" s="214">
        <v>3125.5</v>
      </c>
      <c r="R186" s="216">
        <v>2941.9</v>
      </c>
      <c r="S186" s="216">
        <v>2299.5</v>
      </c>
    </row>
    <row r="187" spans="1:19" ht="42" customHeight="1">
      <c r="A187" s="99"/>
      <c r="B187" s="98"/>
      <c r="C187" s="97"/>
      <c r="D187" s="101"/>
      <c r="E187" s="115"/>
      <c r="F187" s="115"/>
      <c r="G187" s="89"/>
      <c r="H187" s="18" t="s">
        <v>817</v>
      </c>
      <c r="I187" s="8">
        <v>27</v>
      </c>
      <c r="J187" s="7">
        <v>5</v>
      </c>
      <c r="K187" s="7">
        <v>1</v>
      </c>
      <c r="L187" s="95" t="s">
        <v>275</v>
      </c>
      <c r="M187" s="96" t="s">
        <v>556</v>
      </c>
      <c r="N187" s="96" t="s">
        <v>809</v>
      </c>
      <c r="O187" s="96" t="s">
        <v>816</v>
      </c>
      <c r="P187" s="6"/>
      <c r="Q187" s="216">
        <f>Q188</f>
        <v>700</v>
      </c>
      <c r="R187" s="216">
        <f>R188</f>
        <v>1000</v>
      </c>
      <c r="S187" s="216">
        <f>S188</f>
        <v>1000</v>
      </c>
    </row>
    <row r="188" spans="1:19" ht="24" customHeight="1">
      <c r="A188" s="99"/>
      <c r="B188" s="98"/>
      <c r="C188" s="97"/>
      <c r="D188" s="101"/>
      <c r="E188" s="115"/>
      <c r="F188" s="115"/>
      <c r="G188" s="89"/>
      <c r="H188" s="18" t="s">
        <v>712</v>
      </c>
      <c r="I188" s="8">
        <v>27</v>
      </c>
      <c r="J188" s="7">
        <v>5</v>
      </c>
      <c r="K188" s="7">
        <v>1</v>
      </c>
      <c r="L188" s="95" t="s">
        <v>275</v>
      </c>
      <c r="M188" s="96" t="s">
        <v>556</v>
      </c>
      <c r="N188" s="96" t="s">
        <v>809</v>
      </c>
      <c r="O188" s="96" t="s">
        <v>816</v>
      </c>
      <c r="P188" s="6">
        <v>240</v>
      </c>
      <c r="Q188" s="216">
        <v>700</v>
      </c>
      <c r="R188" s="216">
        <v>1000</v>
      </c>
      <c r="S188" s="216">
        <v>1000</v>
      </c>
    </row>
    <row r="189" spans="1:19" ht="24" customHeight="1">
      <c r="A189" s="99"/>
      <c r="B189" s="98"/>
      <c r="C189" s="97"/>
      <c r="D189" s="101"/>
      <c r="E189" s="115"/>
      <c r="F189" s="115"/>
      <c r="G189" s="89"/>
      <c r="H189" s="312" t="s">
        <v>731</v>
      </c>
      <c r="I189" s="27"/>
      <c r="J189" s="147">
        <v>5</v>
      </c>
      <c r="K189" s="139">
        <v>2</v>
      </c>
      <c r="L189" s="140"/>
      <c r="M189" s="141"/>
      <c r="N189" s="141"/>
      <c r="O189" s="141"/>
      <c r="P189" s="146"/>
      <c r="Q189" s="146"/>
      <c r="R189" s="220">
        <f>R190</f>
        <v>63341.3</v>
      </c>
      <c r="S189" s="220">
        <f>S190</f>
        <v>500</v>
      </c>
    </row>
    <row r="190" spans="1:19" ht="30" customHeight="1">
      <c r="A190" s="99"/>
      <c r="B190" s="98"/>
      <c r="C190" s="97"/>
      <c r="D190" s="101"/>
      <c r="E190" s="115"/>
      <c r="F190" s="115"/>
      <c r="G190" s="89"/>
      <c r="H190" s="18" t="s">
        <v>190</v>
      </c>
      <c r="I190" s="27"/>
      <c r="J190" s="19">
        <v>5</v>
      </c>
      <c r="K190" s="16">
        <v>2</v>
      </c>
      <c r="L190" s="95" t="s">
        <v>189</v>
      </c>
      <c r="M190" s="96" t="s">
        <v>556</v>
      </c>
      <c r="N190" s="96" t="s">
        <v>576</v>
      </c>
      <c r="O190" s="96" t="s">
        <v>613</v>
      </c>
      <c r="P190" s="6"/>
      <c r="Q190" s="6"/>
      <c r="R190" s="216">
        <f>R196+R191</f>
        <v>63341.3</v>
      </c>
      <c r="S190" s="216">
        <f>S191</f>
        <v>500</v>
      </c>
    </row>
    <row r="191" spans="1:19" ht="30" customHeight="1">
      <c r="A191" s="99"/>
      <c r="B191" s="98"/>
      <c r="C191" s="97"/>
      <c r="D191" s="101"/>
      <c r="E191" s="115"/>
      <c r="F191" s="115"/>
      <c r="G191" s="89"/>
      <c r="H191" s="18" t="str">
        <f>'Приложение 10'!H180</f>
        <v>Основное мероприятие "Мероприятия по охране и комплексному использованию водных ресурсов, обеспечение населения качественной питьевой водой""</v>
      </c>
      <c r="I191" s="27">
        <f>'Приложение 10'!I180</f>
        <v>27</v>
      </c>
      <c r="J191" s="19">
        <f>'Приложение 10'!J180</f>
        <v>5</v>
      </c>
      <c r="K191" s="16">
        <f>'Приложение 10'!K180</f>
        <v>2</v>
      </c>
      <c r="L191" s="95" t="str">
        <f>'Приложение 10'!L180</f>
        <v>32</v>
      </c>
      <c r="M191" s="96" t="str">
        <f>'Приложение 10'!M180</f>
        <v>0</v>
      </c>
      <c r="N191" s="96" t="str">
        <f>'Приложение 10'!N180</f>
        <v>01</v>
      </c>
      <c r="O191" s="96" t="str">
        <f>'Приложение 10'!O180</f>
        <v>00000</v>
      </c>
      <c r="P191" s="6" t="s">
        <v>614</v>
      </c>
      <c r="Q191" s="6">
        <f>'Приложение 10'!Q180</f>
        <v>20000</v>
      </c>
      <c r="R191" s="216">
        <f>R194</f>
        <v>20000</v>
      </c>
      <c r="S191" s="216">
        <f>S192</f>
        <v>500</v>
      </c>
    </row>
    <row r="192" spans="1:19" ht="30" customHeight="1">
      <c r="A192" s="99"/>
      <c r="B192" s="98"/>
      <c r="C192" s="97"/>
      <c r="D192" s="101"/>
      <c r="E192" s="115"/>
      <c r="F192" s="115"/>
      <c r="G192" s="89"/>
      <c r="H192" s="18" t="str">
        <f>'Приложение 10'!H181</f>
        <v>Расходы по охране и комплексному использованию водных ресурсов, обеспечение населения качественной питьевой водой</v>
      </c>
      <c r="I192" s="27">
        <f>'Приложение 10'!I181</f>
        <v>27</v>
      </c>
      <c r="J192" s="19">
        <f>'Приложение 10'!J181</f>
        <v>5</v>
      </c>
      <c r="K192" s="16">
        <f>'Приложение 10'!K181</f>
        <v>2</v>
      </c>
      <c r="L192" s="95" t="str">
        <f>'Приложение 10'!L181</f>
        <v>32</v>
      </c>
      <c r="M192" s="96" t="str">
        <f>'Приложение 10'!M181</f>
        <v>0</v>
      </c>
      <c r="N192" s="96" t="str">
        <f>'Приложение 10'!N181</f>
        <v>01</v>
      </c>
      <c r="O192" s="96" t="str">
        <f>'Приложение 10'!O181</f>
        <v>20110</v>
      </c>
      <c r="P192" s="6" t="s">
        <v>614</v>
      </c>
      <c r="Q192" s="6">
        <f>'Приложение 10'!Q181</f>
        <v>0</v>
      </c>
      <c r="R192" s="216">
        <v>0</v>
      </c>
      <c r="S192" s="216">
        <f>S193</f>
        <v>500</v>
      </c>
    </row>
    <row r="193" spans="1:19" ht="30" customHeight="1">
      <c r="A193" s="99"/>
      <c r="B193" s="98"/>
      <c r="C193" s="97"/>
      <c r="D193" s="101"/>
      <c r="E193" s="115"/>
      <c r="F193" s="115"/>
      <c r="G193" s="89"/>
      <c r="H193" s="18" t="str">
        <f>'Приложение 10'!H182</f>
        <v>Иные закупки товаров, работ и услуг для обеспечения государственных (муниципальных) нужд</v>
      </c>
      <c r="I193" s="27">
        <f>'Приложение 10'!I182</f>
        <v>27</v>
      </c>
      <c r="J193" s="19">
        <f>'Приложение 10'!J182</f>
        <v>5</v>
      </c>
      <c r="K193" s="16">
        <f>'Приложение 10'!K182</f>
        <v>2</v>
      </c>
      <c r="L193" s="95" t="str">
        <f>'Приложение 10'!L182</f>
        <v>32</v>
      </c>
      <c r="M193" s="96" t="str">
        <f>'Приложение 10'!M182</f>
        <v>0</v>
      </c>
      <c r="N193" s="96" t="str">
        <f>'Приложение 10'!N182</f>
        <v>01</v>
      </c>
      <c r="O193" s="96" t="str">
        <f>'Приложение 10'!O182</f>
        <v>20110</v>
      </c>
      <c r="P193" s="6">
        <f>'Приложение 10'!P182</f>
        <v>240</v>
      </c>
      <c r="Q193" s="6">
        <f>'Приложение 10'!Q182</f>
        <v>0</v>
      </c>
      <c r="R193" s="216">
        <v>0</v>
      </c>
      <c r="S193" s="216">
        <f>'Приложение 10'!R182</f>
        <v>500</v>
      </c>
    </row>
    <row r="194" spans="1:19" ht="30" customHeight="1">
      <c r="A194" s="99"/>
      <c r="B194" s="98"/>
      <c r="C194" s="97"/>
      <c r="D194" s="101"/>
      <c r="E194" s="115"/>
      <c r="F194" s="115"/>
      <c r="G194" s="89"/>
      <c r="H194" s="18" t="str">
        <f>'Приложение 10'!H183</f>
        <v>Строительство, реконструкция и капитальный ремонт централизованных систем водоснабжения и водоотведения</v>
      </c>
      <c r="I194" s="27">
        <f>'Приложение 10'!I183</f>
        <v>27</v>
      </c>
      <c r="J194" s="19">
        <f>'Приложение 10'!J183</f>
        <v>5</v>
      </c>
      <c r="K194" s="16">
        <f>'Приложение 10'!K183</f>
        <v>2</v>
      </c>
      <c r="L194" s="95" t="str">
        <f>'Приложение 10'!L183</f>
        <v>32</v>
      </c>
      <c r="M194" s="96" t="str">
        <f>'Приложение 10'!M183</f>
        <v>0</v>
      </c>
      <c r="N194" s="96" t="str">
        <f>'Приложение 10'!N183</f>
        <v>01</v>
      </c>
      <c r="O194" s="96" t="str">
        <f>'Приложение 10'!O183</f>
        <v>S3040</v>
      </c>
      <c r="P194" s="6" t="s">
        <v>614</v>
      </c>
      <c r="Q194" s="6">
        <f>'Приложение 10'!Q183</f>
        <v>20000</v>
      </c>
      <c r="R194" s="216">
        <f>R195</f>
        <v>20000</v>
      </c>
      <c r="S194" s="216">
        <f>'Приложение 10'!S183</f>
        <v>0</v>
      </c>
    </row>
    <row r="195" spans="1:19" ht="30" customHeight="1">
      <c r="A195" s="99"/>
      <c r="B195" s="98"/>
      <c r="C195" s="97"/>
      <c r="D195" s="101"/>
      <c r="E195" s="115"/>
      <c r="F195" s="115"/>
      <c r="G195" s="89"/>
      <c r="H195" s="18" t="str">
        <f>'Приложение 10'!H184</f>
        <v>Иные закупки товаров, работ и услуг для обеспечения государственных (муниципальных) нужд</v>
      </c>
      <c r="I195" s="27">
        <f>'Приложение 10'!I184</f>
        <v>27</v>
      </c>
      <c r="J195" s="19">
        <f>'Приложение 10'!J184</f>
        <v>5</v>
      </c>
      <c r="K195" s="16">
        <f>'Приложение 10'!K184</f>
        <v>2</v>
      </c>
      <c r="L195" s="95" t="str">
        <f>'Приложение 10'!L184</f>
        <v>32</v>
      </c>
      <c r="M195" s="96" t="str">
        <f>'Приложение 10'!M184</f>
        <v>0</v>
      </c>
      <c r="N195" s="96" t="str">
        <f>'Приложение 10'!N184</f>
        <v>01</v>
      </c>
      <c r="O195" s="96" t="str">
        <f>'Приложение 10'!O184</f>
        <v>S3040</v>
      </c>
      <c r="P195" s="6">
        <f>'Приложение 10'!P184</f>
        <v>240</v>
      </c>
      <c r="Q195" s="6">
        <f>'Приложение 10'!Q184</f>
        <v>20000</v>
      </c>
      <c r="R195" s="216">
        <f>'Приложение 10'!Q184</f>
        <v>20000</v>
      </c>
      <c r="S195" s="216">
        <f>'Приложение 10'!S184</f>
        <v>0</v>
      </c>
    </row>
    <row r="196" spans="1:19" ht="30" customHeight="1">
      <c r="A196" s="99"/>
      <c r="B196" s="98"/>
      <c r="C196" s="97"/>
      <c r="D196" s="101"/>
      <c r="E196" s="115"/>
      <c r="F196" s="115"/>
      <c r="G196" s="89"/>
      <c r="H196" s="18" t="str">
        <f>'Приложение 10'!H185</f>
        <v>Основное мероприятие "Строительство и реконструкция (модернизация) объектов питьевого водоснабжения в рамках федерального проекта "Чистая вода"</v>
      </c>
      <c r="I196" s="27">
        <f>'Приложение 10'!I185</f>
        <v>27</v>
      </c>
      <c r="J196" s="19">
        <f>'Приложение 10'!J185</f>
        <v>5</v>
      </c>
      <c r="K196" s="16">
        <f>'Приложение 10'!K185</f>
        <v>2</v>
      </c>
      <c r="L196" s="95" t="str">
        <f>'Приложение 10'!L185</f>
        <v>32</v>
      </c>
      <c r="M196" s="96" t="str">
        <f>'Приложение 10'!M185</f>
        <v>0</v>
      </c>
      <c r="N196" s="96" t="str">
        <f>'Приложение 10'!N185</f>
        <v>G5</v>
      </c>
      <c r="O196" s="96" t="str">
        <f>'Приложение 10'!O185</f>
        <v>00000</v>
      </c>
      <c r="P196" s="6" t="s">
        <v>614</v>
      </c>
      <c r="Q196" s="6">
        <f>'Приложение 10'!Q185</f>
        <v>43341.3</v>
      </c>
      <c r="R196" s="216">
        <f>R197</f>
        <v>43341.3</v>
      </c>
      <c r="S196" s="216">
        <f>S197</f>
        <v>0</v>
      </c>
    </row>
    <row r="197" spans="1:19" ht="24" customHeight="1">
      <c r="A197" s="99"/>
      <c r="B197" s="98"/>
      <c r="C197" s="97"/>
      <c r="D197" s="101"/>
      <c r="E197" s="115"/>
      <c r="F197" s="115"/>
      <c r="G197" s="89"/>
      <c r="H197" s="18" t="s">
        <v>657</v>
      </c>
      <c r="I197" s="27"/>
      <c r="J197" s="19">
        <v>5</v>
      </c>
      <c r="K197" s="16">
        <v>2</v>
      </c>
      <c r="L197" s="95" t="s">
        <v>189</v>
      </c>
      <c r="M197" s="96" t="s">
        <v>556</v>
      </c>
      <c r="N197" s="96" t="s">
        <v>656</v>
      </c>
      <c r="O197" s="96" t="s">
        <v>74</v>
      </c>
      <c r="P197" s="6">
        <v>244</v>
      </c>
      <c r="Q197" s="6">
        <v>244</v>
      </c>
      <c r="R197" s="216">
        <f>'Приложение 10'!Q186</f>
        <v>43341.3</v>
      </c>
      <c r="S197" s="216">
        <v>0</v>
      </c>
    </row>
    <row r="198" spans="1:19" s="179" customFormat="1" ht="26.25" customHeight="1">
      <c r="A198" s="142"/>
      <c r="B198" s="143"/>
      <c r="C198" s="142"/>
      <c r="D198" s="150"/>
      <c r="E198" s="151"/>
      <c r="F198" s="151"/>
      <c r="G198" s="136"/>
      <c r="H198" s="236" t="s">
        <v>274</v>
      </c>
      <c r="I198" s="248">
        <v>27</v>
      </c>
      <c r="J198" s="148">
        <v>5</v>
      </c>
      <c r="K198" s="148">
        <v>3</v>
      </c>
      <c r="L198" s="140"/>
      <c r="M198" s="141"/>
      <c r="N198" s="141"/>
      <c r="O198" s="141"/>
      <c r="P198" s="146"/>
      <c r="Q198" s="217">
        <f aca="true" t="shared" si="19" ref="Q198:S201">Q199</f>
        <v>124.1</v>
      </c>
      <c r="R198" s="217">
        <f t="shared" si="19"/>
        <v>284.3</v>
      </c>
      <c r="S198" s="217">
        <f t="shared" si="19"/>
        <v>225.7</v>
      </c>
    </row>
    <row r="199" spans="1:19" ht="34.5" customHeight="1">
      <c r="A199" s="97"/>
      <c r="B199" s="98"/>
      <c r="C199" s="97"/>
      <c r="D199" s="101"/>
      <c r="E199" s="115"/>
      <c r="F199" s="115"/>
      <c r="G199" s="89"/>
      <c r="H199" s="18" t="s">
        <v>792</v>
      </c>
      <c r="I199" s="6">
        <v>27</v>
      </c>
      <c r="J199" s="7">
        <v>5</v>
      </c>
      <c r="K199" s="7">
        <v>3</v>
      </c>
      <c r="L199" s="95" t="s">
        <v>790</v>
      </c>
      <c r="M199" s="96" t="s">
        <v>556</v>
      </c>
      <c r="N199" s="96" t="s">
        <v>576</v>
      </c>
      <c r="O199" s="96" t="s">
        <v>613</v>
      </c>
      <c r="P199" s="6"/>
      <c r="Q199" s="216">
        <f t="shared" si="19"/>
        <v>124.1</v>
      </c>
      <c r="R199" s="216">
        <f t="shared" si="19"/>
        <v>284.3</v>
      </c>
      <c r="S199" s="216">
        <f t="shared" si="19"/>
        <v>225.7</v>
      </c>
    </row>
    <row r="200" spans="1:19" ht="31.5" customHeight="1">
      <c r="A200" s="97"/>
      <c r="B200" s="98"/>
      <c r="C200" s="97"/>
      <c r="D200" s="101"/>
      <c r="E200" s="115"/>
      <c r="F200" s="115"/>
      <c r="G200" s="89"/>
      <c r="H200" s="128" t="s">
        <v>793</v>
      </c>
      <c r="I200" s="6">
        <v>27</v>
      </c>
      <c r="J200" s="7">
        <v>5</v>
      </c>
      <c r="K200" s="7">
        <v>3</v>
      </c>
      <c r="L200" s="95" t="s">
        <v>790</v>
      </c>
      <c r="M200" s="96" t="s">
        <v>556</v>
      </c>
      <c r="N200" s="96" t="s">
        <v>810</v>
      </c>
      <c r="O200" s="96" t="s">
        <v>613</v>
      </c>
      <c r="P200" s="6"/>
      <c r="Q200" s="216">
        <f t="shared" si="19"/>
        <v>124.1</v>
      </c>
      <c r="R200" s="216">
        <f t="shared" si="19"/>
        <v>284.3</v>
      </c>
      <c r="S200" s="216">
        <f t="shared" si="19"/>
        <v>225.7</v>
      </c>
    </row>
    <row r="201" spans="1:19" ht="33" customHeight="1">
      <c r="A201" s="97"/>
      <c r="B201" s="98"/>
      <c r="C201" s="97"/>
      <c r="D201" s="101"/>
      <c r="E201" s="115"/>
      <c r="F201" s="115"/>
      <c r="G201" s="89"/>
      <c r="H201" s="18" t="s">
        <v>791</v>
      </c>
      <c r="I201" s="6">
        <v>27</v>
      </c>
      <c r="J201" s="7">
        <v>5</v>
      </c>
      <c r="K201" s="7">
        <v>3</v>
      </c>
      <c r="L201" s="95" t="s">
        <v>790</v>
      </c>
      <c r="M201" s="96" t="s">
        <v>556</v>
      </c>
      <c r="N201" s="96" t="s">
        <v>810</v>
      </c>
      <c r="O201" s="96" t="s">
        <v>811</v>
      </c>
      <c r="P201" s="6"/>
      <c r="Q201" s="216">
        <f t="shared" si="19"/>
        <v>124.1</v>
      </c>
      <c r="R201" s="216">
        <f t="shared" si="19"/>
        <v>284.3</v>
      </c>
      <c r="S201" s="216">
        <f t="shared" si="19"/>
        <v>225.7</v>
      </c>
    </row>
    <row r="202" spans="1:19" ht="27" customHeight="1">
      <c r="A202" s="97"/>
      <c r="B202" s="98"/>
      <c r="C202" s="97"/>
      <c r="D202" s="101"/>
      <c r="E202" s="115"/>
      <c r="F202" s="115"/>
      <c r="G202" s="89"/>
      <c r="H202" s="18" t="s">
        <v>712</v>
      </c>
      <c r="I202" s="6">
        <v>27</v>
      </c>
      <c r="J202" s="7">
        <v>5</v>
      </c>
      <c r="K202" s="7">
        <v>3</v>
      </c>
      <c r="L202" s="95" t="s">
        <v>790</v>
      </c>
      <c r="M202" s="96" t="s">
        <v>556</v>
      </c>
      <c r="N202" s="96" t="s">
        <v>810</v>
      </c>
      <c r="O202" s="96" t="s">
        <v>811</v>
      </c>
      <c r="P202" s="6">
        <v>240</v>
      </c>
      <c r="Q202" s="216">
        <v>124.1</v>
      </c>
      <c r="R202" s="216">
        <v>284.3</v>
      </c>
      <c r="S202" s="216">
        <v>225.7</v>
      </c>
    </row>
    <row r="203" spans="1:19" s="179" customFormat="1" ht="24.75" customHeight="1">
      <c r="A203" s="142"/>
      <c r="B203" s="143"/>
      <c r="C203" s="142"/>
      <c r="D203" s="150"/>
      <c r="E203" s="151"/>
      <c r="F203" s="151"/>
      <c r="G203" s="136"/>
      <c r="H203" s="249" t="s">
        <v>639</v>
      </c>
      <c r="I203" s="250">
        <v>27</v>
      </c>
      <c r="J203" s="148">
        <v>5</v>
      </c>
      <c r="K203" s="148">
        <v>5</v>
      </c>
      <c r="L203" s="140"/>
      <c r="M203" s="141"/>
      <c r="N203" s="141"/>
      <c r="O203" s="141"/>
      <c r="P203" s="146"/>
      <c r="Q203" s="217" t="e">
        <f>#REF!+Q204</f>
        <v>#REF!</v>
      </c>
      <c r="R203" s="217">
        <f>R204</f>
        <v>400</v>
      </c>
      <c r="S203" s="217">
        <f>S204</f>
        <v>400</v>
      </c>
    </row>
    <row r="204" spans="1:19" ht="28.5" customHeight="1">
      <c r="A204" s="99"/>
      <c r="B204" s="98"/>
      <c r="C204" s="97"/>
      <c r="D204" s="101"/>
      <c r="E204" s="115"/>
      <c r="F204" s="115"/>
      <c r="G204" s="89"/>
      <c r="H204" s="5" t="s">
        <v>260</v>
      </c>
      <c r="I204" s="8">
        <v>27</v>
      </c>
      <c r="J204" s="7">
        <v>5</v>
      </c>
      <c r="K204" s="7">
        <v>5</v>
      </c>
      <c r="L204" s="95" t="s">
        <v>578</v>
      </c>
      <c r="M204" s="96" t="s">
        <v>558</v>
      </c>
      <c r="N204" s="96" t="s">
        <v>576</v>
      </c>
      <c r="O204" s="96" t="s">
        <v>347</v>
      </c>
      <c r="P204" s="6"/>
      <c r="Q204" s="216">
        <f>Q205</f>
        <v>366</v>
      </c>
      <c r="R204" s="216">
        <f>R205</f>
        <v>400</v>
      </c>
      <c r="S204" s="216">
        <f>S205</f>
        <v>400</v>
      </c>
    </row>
    <row r="205" spans="1:19" ht="28.5" customHeight="1">
      <c r="A205" s="99"/>
      <c r="B205" s="98"/>
      <c r="C205" s="97"/>
      <c r="D205" s="101"/>
      <c r="E205" s="115"/>
      <c r="F205" s="115"/>
      <c r="G205" s="89"/>
      <c r="H205" s="117" t="s">
        <v>712</v>
      </c>
      <c r="I205" s="6">
        <v>27</v>
      </c>
      <c r="J205" s="7">
        <v>5</v>
      </c>
      <c r="K205" s="7">
        <v>5</v>
      </c>
      <c r="L205" s="95" t="s">
        <v>578</v>
      </c>
      <c r="M205" s="96" t="s">
        <v>558</v>
      </c>
      <c r="N205" s="96" t="s">
        <v>576</v>
      </c>
      <c r="O205" s="96" t="s">
        <v>347</v>
      </c>
      <c r="P205" s="6">
        <v>240</v>
      </c>
      <c r="Q205" s="216">
        <v>366</v>
      </c>
      <c r="R205" s="216">
        <v>400</v>
      </c>
      <c r="S205" s="216">
        <v>400</v>
      </c>
    </row>
    <row r="206" spans="1:19" s="179" customFormat="1" ht="24" customHeight="1">
      <c r="A206" s="142"/>
      <c r="B206" s="143"/>
      <c r="C206" s="153"/>
      <c r="D206" s="150"/>
      <c r="E206" s="154"/>
      <c r="F206" s="154"/>
      <c r="G206" s="155">
        <v>611</v>
      </c>
      <c r="H206" s="149" t="s">
        <v>543</v>
      </c>
      <c r="I206" s="152">
        <v>27</v>
      </c>
      <c r="J206" s="148">
        <v>6</v>
      </c>
      <c r="K206" s="148"/>
      <c r="L206" s="140"/>
      <c r="M206" s="141"/>
      <c r="N206" s="141"/>
      <c r="O206" s="141"/>
      <c r="P206" s="146"/>
      <c r="Q206" s="217" t="e">
        <f>Q207+Q210</f>
        <v>#REF!</v>
      </c>
      <c r="R206" s="217">
        <f>R207+R210</f>
        <v>136.9</v>
      </c>
      <c r="S206" s="217">
        <f>S207+S210</f>
        <v>636.8</v>
      </c>
    </row>
    <row r="207" spans="1:19" s="179" customFormat="1" ht="24" customHeight="1">
      <c r="A207" s="142"/>
      <c r="B207" s="143"/>
      <c r="C207" s="153"/>
      <c r="D207" s="150"/>
      <c r="E207" s="154"/>
      <c r="F207" s="154"/>
      <c r="G207" s="155"/>
      <c r="H207" s="149" t="s">
        <v>542</v>
      </c>
      <c r="I207" s="152">
        <v>27</v>
      </c>
      <c r="J207" s="148">
        <v>6</v>
      </c>
      <c r="K207" s="148">
        <v>3</v>
      </c>
      <c r="L207" s="140"/>
      <c r="M207" s="141"/>
      <c r="N207" s="141"/>
      <c r="O207" s="141"/>
      <c r="P207" s="146"/>
      <c r="Q207" s="217">
        <f aca="true" t="shared" si="20" ref="Q207:S208">Q208</f>
        <v>27.4</v>
      </c>
      <c r="R207" s="217">
        <f t="shared" si="20"/>
        <v>27.4</v>
      </c>
      <c r="S207" s="217">
        <f t="shared" si="20"/>
        <v>27.4</v>
      </c>
    </row>
    <row r="208" spans="1:19" ht="48" customHeight="1">
      <c r="A208" s="97"/>
      <c r="B208" s="98"/>
      <c r="C208" s="103"/>
      <c r="D208" s="101"/>
      <c r="E208" s="113"/>
      <c r="F208" s="113"/>
      <c r="G208" s="105"/>
      <c r="H208" s="5" t="s">
        <v>760</v>
      </c>
      <c r="I208" s="8">
        <v>27</v>
      </c>
      <c r="J208" s="7">
        <v>6</v>
      </c>
      <c r="K208" s="7">
        <v>3</v>
      </c>
      <c r="L208" s="95" t="s">
        <v>573</v>
      </c>
      <c r="M208" s="96" t="s">
        <v>556</v>
      </c>
      <c r="N208" s="96" t="s">
        <v>576</v>
      </c>
      <c r="O208" s="96" t="s">
        <v>759</v>
      </c>
      <c r="P208" s="6"/>
      <c r="Q208" s="216">
        <f t="shared" si="20"/>
        <v>27.4</v>
      </c>
      <c r="R208" s="216">
        <f t="shared" si="20"/>
        <v>27.4</v>
      </c>
      <c r="S208" s="216">
        <f t="shared" si="20"/>
        <v>27.4</v>
      </c>
    </row>
    <row r="209" spans="1:19" ht="24" customHeight="1">
      <c r="A209" s="97"/>
      <c r="B209" s="98"/>
      <c r="C209" s="103"/>
      <c r="D209" s="101"/>
      <c r="E209" s="113"/>
      <c r="F209" s="113"/>
      <c r="G209" s="105"/>
      <c r="H209" s="5" t="s">
        <v>712</v>
      </c>
      <c r="I209" s="8">
        <v>27</v>
      </c>
      <c r="J209" s="7">
        <v>6</v>
      </c>
      <c r="K209" s="7">
        <v>3</v>
      </c>
      <c r="L209" s="95" t="s">
        <v>573</v>
      </c>
      <c r="M209" s="96" t="s">
        <v>556</v>
      </c>
      <c r="N209" s="96" t="s">
        <v>576</v>
      </c>
      <c r="O209" s="96" t="s">
        <v>759</v>
      </c>
      <c r="P209" s="6">
        <v>240</v>
      </c>
      <c r="Q209" s="216">
        <v>27.4</v>
      </c>
      <c r="R209" s="216">
        <v>27.4</v>
      </c>
      <c r="S209" s="216">
        <v>27.4</v>
      </c>
    </row>
    <row r="210" spans="1:19" s="179" customFormat="1" ht="24.75" customHeight="1">
      <c r="A210" s="142"/>
      <c r="B210" s="143"/>
      <c r="C210" s="153"/>
      <c r="D210" s="150"/>
      <c r="E210" s="154"/>
      <c r="F210" s="154"/>
      <c r="G210" s="155">
        <v>621</v>
      </c>
      <c r="H210" s="149" t="s">
        <v>541</v>
      </c>
      <c r="I210" s="152">
        <v>27</v>
      </c>
      <c r="J210" s="148">
        <v>6</v>
      </c>
      <c r="K210" s="148">
        <v>5</v>
      </c>
      <c r="L210" s="140"/>
      <c r="M210" s="141"/>
      <c r="N210" s="141"/>
      <c r="O210" s="141"/>
      <c r="P210" s="146"/>
      <c r="Q210" s="217" t="e">
        <f>Q211+#REF!</f>
        <v>#REF!</v>
      </c>
      <c r="R210" s="217">
        <f>R211+R213</f>
        <v>109.5</v>
      </c>
      <c r="S210" s="217">
        <f>S211+S213</f>
        <v>609.4</v>
      </c>
    </row>
    <row r="211" spans="1:19" ht="18.75" customHeight="1">
      <c r="A211" s="99"/>
      <c r="B211" s="98"/>
      <c r="C211" s="103"/>
      <c r="D211" s="107"/>
      <c r="E211" s="104"/>
      <c r="F211" s="104"/>
      <c r="G211" s="105"/>
      <c r="H211" s="172" t="s">
        <v>807</v>
      </c>
      <c r="I211" s="8">
        <v>27</v>
      </c>
      <c r="J211" s="7">
        <v>6</v>
      </c>
      <c r="K211" s="7">
        <v>5</v>
      </c>
      <c r="L211" s="95" t="s">
        <v>573</v>
      </c>
      <c r="M211" s="96" t="s">
        <v>556</v>
      </c>
      <c r="N211" s="96" t="s">
        <v>576</v>
      </c>
      <c r="O211" s="96" t="s">
        <v>806</v>
      </c>
      <c r="P211" s="6"/>
      <c r="Q211" s="216">
        <f>SUM(Q212:Q212)</f>
        <v>110</v>
      </c>
      <c r="R211" s="216">
        <f>SUM(R212:R212)</f>
        <v>109.5</v>
      </c>
      <c r="S211" s="216">
        <f>SUM(S212:S212)</f>
        <v>109.4</v>
      </c>
    </row>
    <row r="212" spans="1:19" ht="23.25" customHeight="1">
      <c r="A212" s="99"/>
      <c r="B212" s="98"/>
      <c r="C212" s="103"/>
      <c r="D212" s="107"/>
      <c r="E212" s="104"/>
      <c r="F212" s="104"/>
      <c r="G212" s="105"/>
      <c r="H212" s="3" t="s">
        <v>526</v>
      </c>
      <c r="I212" s="8">
        <v>27</v>
      </c>
      <c r="J212" s="7">
        <v>6</v>
      </c>
      <c r="K212" s="7">
        <v>5</v>
      </c>
      <c r="L212" s="95" t="s">
        <v>573</v>
      </c>
      <c r="M212" s="96" t="s">
        <v>556</v>
      </c>
      <c r="N212" s="96" t="s">
        <v>576</v>
      </c>
      <c r="O212" s="96" t="s">
        <v>806</v>
      </c>
      <c r="P212" s="6">
        <v>120</v>
      </c>
      <c r="Q212" s="216">
        <v>110</v>
      </c>
      <c r="R212" s="239">
        <v>109.5</v>
      </c>
      <c r="S212" s="239">
        <v>109.4</v>
      </c>
    </row>
    <row r="213" spans="1:19" ht="35.25" customHeight="1">
      <c r="A213" s="99"/>
      <c r="B213" s="98"/>
      <c r="C213" s="97"/>
      <c r="D213" s="107"/>
      <c r="E213" s="104"/>
      <c r="F213" s="104"/>
      <c r="G213" s="89"/>
      <c r="H213" s="320" t="str">
        <f>'Приложение 10'!H207</f>
        <v>Муниципальная программа охраны окружающей среды и рационального использования природных ресурсов на 2021-2025 годы</v>
      </c>
      <c r="I213" s="13">
        <f>'Приложение 10'!I207</f>
        <v>27</v>
      </c>
      <c r="J213" s="7">
        <f>'Приложение 10'!J207</f>
        <v>6</v>
      </c>
      <c r="K213" s="7">
        <f>'Приложение 10'!K207</f>
        <v>5</v>
      </c>
      <c r="L213" s="95" t="str">
        <f>'Приложение 10'!L207</f>
        <v>32</v>
      </c>
      <c r="M213" s="96" t="str">
        <f>'Приложение 10'!M207</f>
        <v>0</v>
      </c>
      <c r="N213" s="96" t="str">
        <f>'Приложение 10'!N207</f>
        <v>00</v>
      </c>
      <c r="O213" s="96" t="str">
        <f>'Приложение 10'!O207</f>
        <v>00000</v>
      </c>
      <c r="P213" s="10" t="s">
        <v>614</v>
      </c>
      <c r="Q213" s="216">
        <f>'Приложение 10'!Q207</f>
        <v>0</v>
      </c>
      <c r="R213" s="215">
        <f aca="true" t="shared" si="21" ref="R213:S215">R214</f>
        <v>0</v>
      </c>
      <c r="S213" s="239">
        <f t="shared" si="21"/>
        <v>500</v>
      </c>
    </row>
    <row r="214" spans="1:19" ht="23.25" customHeight="1">
      <c r="A214" s="99"/>
      <c r="B214" s="98"/>
      <c r="C214" s="97"/>
      <c r="D214" s="107"/>
      <c r="E214" s="104"/>
      <c r="F214" s="104"/>
      <c r="G214" s="89"/>
      <c r="H214" s="320" t="str">
        <f>'Приложение 10'!H208</f>
        <v>Основное мероприятие "Мероприятия по предотвращению загрязнения природной среды отходами производства и потребления"</v>
      </c>
      <c r="I214" s="13">
        <f>'Приложение 10'!I208</f>
        <v>27</v>
      </c>
      <c r="J214" s="7">
        <f>'Приложение 10'!J208</f>
        <v>6</v>
      </c>
      <c r="K214" s="7">
        <f>'Приложение 10'!K208</f>
        <v>5</v>
      </c>
      <c r="L214" s="95" t="str">
        <f>'Приложение 10'!L208</f>
        <v>32</v>
      </c>
      <c r="M214" s="96" t="str">
        <f>'Приложение 10'!M208</f>
        <v>0</v>
      </c>
      <c r="N214" s="96" t="str">
        <f>'Приложение 10'!N208</f>
        <v>02</v>
      </c>
      <c r="O214" s="96" t="str">
        <f>'Приложение 10'!O208</f>
        <v>00000</v>
      </c>
      <c r="P214" s="10" t="s">
        <v>614</v>
      </c>
      <c r="Q214" s="216">
        <f>'Приложение 10'!Q208</f>
        <v>0</v>
      </c>
      <c r="R214" s="215">
        <f t="shared" si="21"/>
        <v>0</v>
      </c>
      <c r="S214" s="239">
        <f t="shared" si="21"/>
        <v>500</v>
      </c>
    </row>
    <row r="215" spans="1:19" ht="23.25" customHeight="1">
      <c r="A215" s="99"/>
      <c r="B215" s="98"/>
      <c r="C215" s="97"/>
      <c r="D215" s="107"/>
      <c r="E215" s="104"/>
      <c r="F215" s="104"/>
      <c r="G215" s="89"/>
      <c r="H215" s="320" t="str">
        <f>'Приложение 10'!H209</f>
        <v>Природоохранные мероприятия</v>
      </c>
      <c r="I215" s="13">
        <f>'Приложение 10'!I209</f>
        <v>27</v>
      </c>
      <c r="J215" s="7">
        <f>'Приложение 10'!J209</f>
        <v>6</v>
      </c>
      <c r="K215" s="7">
        <f>'Приложение 10'!K209</f>
        <v>5</v>
      </c>
      <c r="L215" s="95" t="str">
        <f>'Приложение 10'!L209</f>
        <v>32</v>
      </c>
      <c r="M215" s="96" t="str">
        <f>'Приложение 10'!M209</f>
        <v>0</v>
      </c>
      <c r="N215" s="96" t="str">
        <f>'Приложение 10'!N209</f>
        <v>02</v>
      </c>
      <c r="O215" s="96" t="str">
        <f>'Приложение 10'!O209</f>
        <v>20110</v>
      </c>
      <c r="P215" s="10" t="s">
        <v>614</v>
      </c>
      <c r="Q215" s="216">
        <f>'Приложение 10'!Q209</f>
        <v>0</v>
      </c>
      <c r="R215" s="215">
        <f t="shared" si="21"/>
        <v>0</v>
      </c>
      <c r="S215" s="239">
        <f t="shared" si="21"/>
        <v>500</v>
      </c>
    </row>
    <row r="216" spans="1:19" ht="23.25" customHeight="1">
      <c r="A216" s="99"/>
      <c r="B216" s="98"/>
      <c r="C216" s="97"/>
      <c r="D216" s="107"/>
      <c r="E216" s="104"/>
      <c r="F216" s="104"/>
      <c r="G216" s="89"/>
      <c r="H216" s="320" t="str">
        <f>'Приложение 10'!H210</f>
        <v>Иные закупки товаров, работ и услуг для обеспечения государственных (муниципальных) нужд</v>
      </c>
      <c r="I216" s="13">
        <f>'Приложение 10'!I210</f>
        <v>27</v>
      </c>
      <c r="J216" s="7">
        <f>'Приложение 10'!J210</f>
        <v>6</v>
      </c>
      <c r="K216" s="7">
        <f>'Приложение 10'!K210</f>
        <v>5</v>
      </c>
      <c r="L216" s="95" t="str">
        <f>'Приложение 10'!L210</f>
        <v>32</v>
      </c>
      <c r="M216" s="96" t="str">
        <f>'Приложение 10'!M210</f>
        <v>0</v>
      </c>
      <c r="N216" s="96" t="str">
        <f>'Приложение 10'!N210</f>
        <v>02</v>
      </c>
      <c r="O216" s="96" t="str">
        <f>'Приложение 10'!O210</f>
        <v>20110</v>
      </c>
      <c r="P216" s="10">
        <f>'Приложение 10'!P210</f>
        <v>240</v>
      </c>
      <c r="Q216" s="216">
        <f>'Приложение 10'!Q210</f>
        <v>0</v>
      </c>
      <c r="R216" s="215">
        <f>'Приложение 10'!Q210</f>
        <v>0</v>
      </c>
      <c r="S216" s="239">
        <f>'Приложение 10'!R210</f>
        <v>500</v>
      </c>
    </row>
    <row r="217" spans="1:19" s="179" customFormat="1" ht="18" customHeight="1">
      <c r="A217" s="142"/>
      <c r="B217" s="143"/>
      <c r="C217" s="142"/>
      <c r="D217" s="385">
        <v>5550000</v>
      </c>
      <c r="E217" s="386"/>
      <c r="F217" s="386"/>
      <c r="G217" s="136">
        <v>314</v>
      </c>
      <c r="H217" s="137" t="s">
        <v>538</v>
      </c>
      <c r="I217" s="138">
        <v>663</v>
      </c>
      <c r="J217" s="148">
        <v>7</v>
      </c>
      <c r="K217" s="148" t="s">
        <v>614</v>
      </c>
      <c r="L217" s="140" t="s">
        <v>527</v>
      </c>
      <c r="M217" s="141" t="s">
        <v>527</v>
      </c>
      <c r="N217" s="141"/>
      <c r="O217" s="141" t="s">
        <v>527</v>
      </c>
      <c r="P217" s="138"/>
      <c r="Q217" s="213" t="e">
        <f>Q218+Q236+Q260+Q283+Q272</f>
        <v>#REF!</v>
      </c>
      <c r="R217" s="213">
        <f>R218+R236+R260+R283+R272</f>
        <v>270190.00000000006</v>
      </c>
      <c r="S217" s="213">
        <f>S218+S236+S260+S283+S272</f>
        <v>290393.4</v>
      </c>
    </row>
    <row r="218" spans="1:19" s="179" customFormat="1" ht="18.75" customHeight="1">
      <c r="A218" s="142"/>
      <c r="B218" s="143"/>
      <c r="C218" s="153"/>
      <c r="D218" s="150"/>
      <c r="E218" s="384">
        <v>5551700</v>
      </c>
      <c r="F218" s="384"/>
      <c r="G218" s="136">
        <v>314</v>
      </c>
      <c r="H218" s="137" t="s">
        <v>369</v>
      </c>
      <c r="I218" s="138">
        <v>663</v>
      </c>
      <c r="J218" s="148">
        <v>7</v>
      </c>
      <c r="K218" s="148">
        <v>1</v>
      </c>
      <c r="L218" s="140" t="s">
        <v>527</v>
      </c>
      <c r="M218" s="141" t="s">
        <v>527</v>
      </c>
      <c r="N218" s="141"/>
      <c r="O218" s="141" t="s">
        <v>527</v>
      </c>
      <c r="P218" s="138"/>
      <c r="Q218" s="213" t="e">
        <f>#REF!+Q219+Q229</f>
        <v>#REF!</v>
      </c>
      <c r="R218" s="213">
        <f>R219+R229</f>
        <v>78520.2</v>
      </c>
      <c r="S218" s="213">
        <f>S219+S229</f>
        <v>81322.4</v>
      </c>
    </row>
    <row r="219" spans="1:19" ht="33" customHeight="1">
      <c r="A219" s="99"/>
      <c r="B219" s="98"/>
      <c r="C219" s="103"/>
      <c r="D219" s="101"/>
      <c r="E219" s="104"/>
      <c r="F219" s="104"/>
      <c r="G219" s="89"/>
      <c r="H219" s="5" t="s">
        <v>680</v>
      </c>
      <c r="I219" s="10">
        <v>663</v>
      </c>
      <c r="J219" s="7">
        <v>7</v>
      </c>
      <c r="K219" s="7">
        <v>1</v>
      </c>
      <c r="L219" s="95" t="s">
        <v>681</v>
      </c>
      <c r="M219" s="96" t="s">
        <v>556</v>
      </c>
      <c r="N219" s="96" t="s">
        <v>576</v>
      </c>
      <c r="O219" s="96" t="s">
        <v>613</v>
      </c>
      <c r="P219" s="10"/>
      <c r="Q219" s="214">
        <f>Q220+Q223+Q226</f>
        <v>149</v>
      </c>
      <c r="R219" s="214">
        <f>R220+R223+R226</f>
        <v>149</v>
      </c>
      <c r="S219" s="214">
        <f>S220+S223+S226</f>
        <v>149</v>
      </c>
    </row>
    <row r="220" spans="1:19" ht="33" customHeight="1">
      <c r="A220" s="99"/>
      <c r="B220" s="98"/>
      <c r="C220" s="103"/>
      <c r="D220" s="101"/>
      <c r="E220" s="104"/>
      <c r="F220" s="104"/>
      <c r="G220" s="89"/>
      <c r="H220" s="5" t="s">
        <v>317</v>
      </c>
      <c r="I220" s="10">
        <v>663</v>
      </c>
      <c r="J220" s="7">
        <v>7</v>
      </c>
      <c r="K220" s="7">
        <v>1</v>
      </c>
      <c r="L220" s="95" t="s">
        <v>681</v>
      </c>
      <c r="M220" s="96" t="s">
        <v>556</v>
      </c>
      <c r="N220" s="96" t="s">
        <v>585</v>
      </c>
      <c r="O220" s="96" t="s">
        <v>613</v>
      </c>
      <c r="P220" s="10"/>
      <c r="Q220" s="214">
        <f aca="true" t="shared" si="22" ref="Q220:S221">Q221</f>
        <v>131</v>
      </c>
      <c r="R220" s="214">
        <f t="shared" si="22"/>
        <v>131</v>
      </c>
      <c r="S220" s="214">
        <f t="shared" si="22"/>
        <v>131</v>
      </c>
    </row>
    <row r="221" spans="1:19" ht="24" customHeight="1">
      <c r="A221" s="99"/>
      <c r="B221" s="98"/>
      <c r="C221" s="103"/>
      <c r="D221" s="101"/>
      <c r="E221" s="104"/>
      <c r="F221" s="104"/>
      <c r="G221" s="89"/>
      <c r="H221" s="5" t="s">
        <v>324</v>
      </c>
      <c r="I221" s="10">
        <v>663</v>
      </c>
      <c r="J221" s="7">
        <v>7</v>
      </c>
      <c r="K221" s="7">
        <v>1</v>
      </c>
      <c r="L221" s="95" t="s">
        <v>681</v>
      </c>
      <c r="M221" s="96" t="s">
        <v>556</v>
      </c>
      <c r="N221" s="96" t="s">
        <v>585</v>
      </c>
      <c r="O221" s="96" t="s">
        <v>314</v>
      </c>
      <c r="P221" s="10"/>
      <c r="Q221" s="214">
        <f t="shared" si="22"/>
        <v>131</v>
      </c>
      <c r="R221" s="214">
        <f t="shared" si="22"/>
        <v>131</v>
      </c>
      <c r="S221" s="214">
        <f t="shared" si="22"/>
        <v>131</v>
      </c>
    </row>
    <row r="222" spans="1:19" ht="24" customHeight="1">
      <c r="A222" s="99"/>
      <c r="B222" s="98"/>
      <c r="C222" s="103"/>
      <c r="D222" s="101"/>
      <c r="E222" s="104"/>
      <c r="F222" s="104"/>
      <c r="G222" s="89"/>
      <c r="H222" s="5" t="s">
        <v>714</v>
      </c>
      <c r="I222" s="10">
        <v>663</v>
      </c>
      <c r="J222" s="7">
        <v>7</v>
      </c>
      <c r="K222" s="7">
        <v>1</v>
      </c>
      <c r="L222" s="95" t="s">
        <v>681</v>
      </c>
      <c r="M222" s="96" t="s">
        <v>556</v>
      </c>
      <c r="N222" s="96" t="s">
        <v>585</v>
      </c>
      <c r="O222" s="96" t="s">
        <v>314</v>
      </c>
      <c r="P222" s="10">
        <v>610</v>
      </c>
      <c r="Q222" s="214">
        <v>131</v>
      </c>
      <c r="R222" s="214">
        <v>131</v>
      </c>
      <c r="S222" s="214">
        <v>131</v>
      </c>
    </row>
    <row r="223" spans="1:19" ht="26.25" customHeight="1">
      <c r="A223" s="99"/>
      <c r="B223" s="98"/>
      <c r="C223" s="103"/>
      <c r="D223" s="101"/>
      <c r="E223" s="104"/>
      <c r="F223" s="104"/>
      <c r="G223" s="89"/>
      <c r="H223" s="200" t="s">
        <v>313</v>
      </c>
      <c r="I223" s="10">
        <v>663</v>
      </c>
      <c r="J223" s="7">
        <v>7</v>
      </c>
      <c r="K223" s="7">
        <v>1</v>
      </c>
      <c r="L223" s="95" t="s">
        <v>681</v>
      </c>
      <c r="M223" s="96" t="s">
        <v>556</v>
      </c>
      <c r="N223" s="96" t="s">
        <v>586</v>
      </c>
      <c r="O223" s="96" t="s">
        <v>613</v>
      </c>
      <c r="P223" s="10"/>
      <c r="Q223" s="214">
        <f aca="true" t="shared" si="23" ref="Q223:S224">Q224</f>
        <v>9</v>
      </c>
      <c r="R223" s="214">
        <f t="shared" si="23"/>
        <v>9</v>
      </c>
      <c r="S223" s="214">
        <f t="shared" si="23"/>
        <v>9</v>
      </c>
    </row>
    <row r="224" spans="1:19" ht="22.5" customHeight="1">
      <c r="A224" s="99"/>
      <c r="B224" s="98"/>
      <c r="C224" s="103"/>
      <c r="D224" s="101"/>
      <c r="E224" s="104"/>
      <c r="F224" s="104"/>
      <c r="G224" s="89"/>
      <c r="H224" s="18" t="s">
        <v>315</v>
      </c>
      <c r="I224" s="10">
        <v>663</v>
      </c>
      <c r="J224" s="7">
        <v>7</v>
      </c>
      <c r="K224" s="7">
        <v>1</v>
      </c>
      <c r="L224" s="95" t="s">
        <v>681</v>
      </c>
      <c r="M224" s="96" t="s">
        <v>556</v>
      </c>
      <c r="N224" s="96" t="s">
        <v>586</v>
      </c>
      <c r="O224" s="96" t="s">
        <v>314</v>
      </c>
      <c r="P224" s="10"/>
      <c r="Q224" s="214">
        <f t="shared" si="23"/>
        <v>9</v>
      </c>
      <c r="R224" s="214">
        <f t="shared" si="23"/>
        <v>9</v>
      </c>
      <c r="S224" s="214">
        <f t="shared" si="23"/>
        <v>9</v>
      </c>
    </row>
    <row r="225" spans="1:19" ht="22.5" customHeight="1">
      <c r="A225" s="99"/>
      <c r="B225" s="98"/>
      <c r="C225" s="103"/>
      <c r="D225" s="101"/>
      <c r="E225" s="104"/>
      <c r="F225" s="104"/>
      <c r="G225" s="89"/>
      <c r="H225" s="18" t="s">
        <v>714</v>
      </c>
      <c r="I225" s="10">
        <v>663</v>
      </c>
      <c r="J225" s="7">
        <v>7</v>
      </c>
      <c r="K225" s="7">
        <v>1</v>
      </c>
      <c r="L225" s="95" t="s">
        <v>681</v>
      </c>
      <c r="M225" s="96" t="s">
        <v>556</v>
      </c>
      <c r="N225" s="96" t="s">
        <v>586</v>
      </c>
      <c r="O225" s="96" t="s">
        <v>314</v>
      </c>
      <c r="P225" s="10">
        <v>610</v>
      </c>
      <c r="Q225" s="214">
        <v>9</v>
      </c>
      <c r="R225" s="214">
        <v>9</v>
      </c>
      <c r="S225" s="214">
        <v>9</v>
      </c>
    </row>
    <row r="226" spans="1:19" ht="44.25" customHeight="1">
      <c r="A226" s="99"/>
      <c r="B226" s="98"/>
      <c r="C226" s="103"/>
      <c r="D226" s="101"/>
      <c r="E226" s="104"/>
      <c r="F226" s="104"/>
      <c r="G226" s="89"/>
      <c r="H226" s="18" t="s">
        <v>679</v>
      </c>
      <c r="I226" s="10">
        <v>663</v>
      </c>
      <c r="J226" s="7">
        <v>7</v>
      </c>
      <c r="K226" s="7">
        <v>1</v>
      </c>
      <c r="L226" s="95" t="s">
        <v>681</v>
      </c>
      <c r="M226" s="96" t="s">
        <v>556</v>
      </c>
      <c r="N226" s="96" t="s">
        <v>581</v>
      </c>
      <c r="O226" s="96" t="s">
        <v>613</v>
      </c>
      <c r="P226" s="10"/>
      <c r="Q226" s="214">
        <f aca="true" t="shared" si="24" ref="Q226:S227">Q227</f>
        <v>9</v>
      </c>
      <c r="R226" s="214">
        <f t="shared" si="24"/>
        <v>9</v>
      </c>
      <c r="S226" s="214">
        <f t="shared" si="24"/>
        <v>9</v>
      </c>
    </row>
    <row r="227" spans="1:19" ht="29.25" customHeight="1">
      <c r="A227" s="99"/>
      <c r="B227" s="98"/>
      <c r="C227" s="103"/>
      <c r="D227" s="101"/>
      <c r="E227" s="104"/>
      <c r="F227" s="104"/>
      <c r="G227" s="89"/>
      <c r="H227" s="18" t="s">
        <v>324</v>
      </c>
      <c r="I227" s="10">
        <v>663</v>
      </c>
      <c r="J227" s="7">
        <v>7</v>
      </c>
      <c r="K227" s="7">
        <v>1</v>
      </c>
      <c r="L227" s="95" t="s">
        <v>681</v>
      </c>
      <c r="M227" s="96" t="s">
        <v>556</v>
      </c>
      <c r="N227" s="96" t="s">
        <v>581</v>
      </c>
      <c r="O227" s="96" t="s">
        <v>314</v>
      </c>
      <c r="P227" s="10"/>
      <c r="Q227" s="214">
        <f t="shared" si="24"/>
        <v>9</v>
      </c>
      <c r="R227" s="214">
        <f t="shared" si="24"/>
        <v>9</v>
      </c>
      <c r="S227" s="214">
        <f t="shared" si="24"/>
        <v>9</v>
      </c>
    </row>
    <row r="228" spans="1:19" ht="32.25" customHeight="1">
      <c r="A228" s="99"/>
      <c r="B228" s="98"/>
      <c r="C228" s="103"/>
      <c r="D228" s="101"/>
      <c r="E228" s="104"/>
      <c r="F228" s="104"/>
      <c r="G228" s="89"/>
      <c r="H228" s="18" t="s">
        <v>714</v>
      </c>
      <c r="I228" s="10">
        <v>663</v>
      </c>
      <c r="J228" s="7">
        <v>7</v>
      </c>
      <c r="K228" s="7">
        <v>1</v>
      </c>
      <c r="L228" s="95" t="s">
        <v>681</v>
      </c>
      <c r="M228" s="96" t="s">
        <v>556</v>
      </c>
      <c r="N228" s="96" t="s">
        <v>581</v>
      </c>
      <c r="O228" s="96" t="s">
        <v>314</v>
      </c>
      <c r="P228" s="10">
        <v>610</v>
      </c>
      <c r="Q228" s="214">
        <v>9</v>
      </c>
      <c r="R228" s="214">
        <v>9</v>
      </c>
      <c r="S228" s="214">
        <v>9</v>
      </c>
    </row>
    <row r="229" spans="1:19" ht="30" customHeight="1">
      <c r="A229" s="99"/>
      <c r="B229" s="98"/>
      <c r="C229" s="103"/>
      <c r="D229" s="101"/>
      <c r="E229" s="104"/>
      <c r="F229" s="104"/>
      <c r="G229" s="89"/>
      <c r="H229" s="3" t="s">
        <v>292</v>
      </c>
      <c r="I229" s="10">
        <v>663</v>
      </c>
      <c r="J229" s="7">
        <v>7</v>
      </c>
      <c r="K229" s="7">
        <v>1</v>
      </c>
      <c r="L229" s="95" t="s">
        <v>573</v>
      </c>
      <c r="M229" s="96" t="s">
        <v>556</v>
      </c>
      <c r="N229" s="96" t="s">
        <v>576</v>
      </c>
      <c r="O229" s="96" t="s">
        <v>613</v>
      </c>
      <c r="P229" s="10"/>
      <c r="Q229" s="260">
        <f>Q230+Q234</f>
        <v>0</v>
      </c>
      <c r="R229" s="260">
        <f>R230+R234+R232</f>
        <v>78371.2</v>
      </c>
      <c r="S229" s="260">
        <f>S230+S234+S232</f>
        <v>81173.4</v>
      </c>
    </row>
    <row r="230" spans="1:19" ht="30" customHeight="1">
      <c r="A230" s="99"/>
      <c r="B230" s="98"/>
      <c r="C230" s="103"/>
      <c r="D230" s="101"/>
      <c r="E230" s="104"/>
      <c r="F230" s="104"/>
      <c r="G230" s="89"/>
      <c r="H230" s="3" t="s">
        <v>324</v>
      </c>
      <c r="I230" s="10">
        <v>663</v>
      </c>
      <c r="J230" s="7">
        <v>7</v>
      </c>
      <c r="K230" s="7">
        <v>1</v>
      </c>
      <c r="L230" s="95" t="s">
        <v>573</v>
      </c>
      <c r="M230" s="96" t="s">
        <v>556</v>
      </c>
      <c r="N230" s="96" t="s">
        <v>576</v>
      </c>
      <c r="O230" s="96" t="s">
        <v>314</v>
      </c>
      <c r="P230" s="10"/>
      <c r="Q230" s="260">
        <f>Q231</f>
        <v>0</v>
      </c>
      <c r="R230" s="260">
        <f>R231</f>
        <v>15039.5</v>
      </c>
      <c r="S230" s="260">
        <f>S231</f>
        <v>15039.5</v>
      </c>
    </row>
    <row r="231" spans="1:19" ht="30" customHeight="1">
      <c r="A231" s="99"/>
      <c r="B231" s="98"/>
      <c r="C231" s="103"/>
      <c r="D231" s="101"/>
      <c r="E231" s="104"/>
      <c r="F231" s="104"/>
      <c r="G231" s="89"/>
      <c r="H231" s="3" t="s">
        <v>714</v>
      </c>
      <c r="I231" s="10">
        <v>663</v>
      </c>
      <c r="J231" s="7">
        <v>7</v>
      </c>
      <c r="K231" s="7">
        <v>1</v>
      </c>
      <c r="L231" s="95" t="s">
        <v>573</v>
      </c>
      <c r="M231" s="96" t="s">
        <v>556</v>
      </c>
      <c r="N231" s="96" t="s">
        <v>576</v>
      </c>
      <c r="O231" s="96" t="s">
        <v>314</v>
      </c>
      <c r="P231" s="10">
        <v>610</v>
      </c>
      <c r="Q231" s="260">
        <v>0</v>
      </c>
      <c r="R231" s="214">
        <f>'Приложение 10'!Q421</f>
        <v>15039.5</v>
      </c>
      <c r="S231" s="214">
        <f>'Приложение 10'!R421</f>
        <v>15039.5</v>
      </c>
    </row>
    <row r="232" spans="1:19" ht="30" customHeight="1">
      <c r="A232" s="99"/>
      <c r="B232" s="98"/>
      <c r="C232" s="103"/>
      <c r="D232" s="101"/>
      <c r="E232" s="104"/>
      <c r="F232" s="104"/>
      <c r="G232" s="89"/>
      <c r="H232" s="3" t="str">
        <f>'Приложение 10'!H422</f>
        <v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v>
      </c>
      <c r="I232" s="10">
        <f>'Приложение 10'!I422</f>
        <v>663</v>
      </c>
      <c r="J232" s="7">
        <f>'Приложение 10'!J422</f>
        <v>7</v>
      </c>
      <c r="K232" s="7">
        <f>'Приложение 10'!K422</f>
        <v>1</v>
      </c>
      <c r="L232" s="95" t="str">
        <f>'Приложение 10'!L422</f>
        <v>91</v>
      </c>
      <c r="M232" s="96" t="str">
        <f>'Приложение 10'!M422</f>
        <v>0</v>
      </c>
      <c r="N232" s="96" t="str">
        <f>'Приложение 10'!N422</f>
        <v>00</v>
      </c>
      <c r="O232" s="96" t="str">
        <f>'Приложение 10'!O422</f>
        <v>70030</v>
      </c>
      <c r="P232" s="10" t="s">
        <v>614</v>
      </c>
      <c r="Q232" s="260">
        <f>'Приложение 10'!Q422</f>
        <v>3304</v>
      </c>
      <c r="R232" s="214">
        <f>R233</f>
        <v>3304</v>
      </c>
      <c r="S232" s="214">
        <f>S233</f>
        <v>3304</v>
      </c>
    </row>
    <row r="233" spans="1:19" ht="30" customHeight="1">
      <c r="A233" s="99"/>
      <c r="B233" s="98"/>
      <c r="C233" s="103"/>
      <c r="D233" s="101"/>
      <c r="E233" s="104"/>
      <c r="F233" s="104"/>
      <c r="G233" s="89"/>
      <c r="H233" s="3" t="str">
        <f>'Приложение 10'!H423</f>
        <v>Субсидии бюджетным учреждениям</v>
      </c>
      <c r="I233" s="10">
        <f>'Приложение 10'!I423</f>
        <v>663</v>
      </c>
      <c r="J233" s="7">
        <f>'Приложение 10'!J423</f>
        <v>7</v>
      </c>
      <c r="K233" s="7">
        <f>'Приложение 10'!K423</f>
        <v>1</v>
      </c>
      <c r="L233" s="95" t="str">
        <f>'Приложение 10'!L423</f>
        <v>91</v>
      </c>
      <c r="M233" s="96" t="str">
        <f>'Приложение 10'!M423</f>
        <v>0</v>
      </c>
      <c r="N233" s="96" t="str">
        <f>'Приложение 10'!N423</f>
        <v>00</v>
      </c>
      <c r="O233" s="96" t="str">
        <f>'Приложение 10'!O423</f>
        <v>70030</v>
      </c>
      <c r="P233" s="10">
        <f>'Приложение 10'!P423</f>
        <v>610</v>
      </c>
      <c r="Q233" s="260">
        <f>'Приложение 10'!Q423</f>
        <v>3304</v>
      </c>
      <c r="R233" s="214">
        <f>'Приложение 10'!Q423</f>
        <v>3304</v>
      </c>
      <c r="S233" s="214">
        <f>'Приложение 10'!R423</f>
        <v>3304</v>
      </c>
    </row>
    <row r="234" spans="1:19" ht="36.75" customHeight="1">
      <c r="A234" s="99"/>
      <c r="B234" s="98"/>
      <c r="C234" s="103"/>
      <c r="D234" s="101"/>
      <c r="E234" s="104"/>
      <c r="F234" s="104"/>
      <c r="G234" s="89"/>
      <c r="H234" s="3" t="s">
        <v>326</v>
      </c>
      <c r="I234" s="10">
        <v>663</v>
      </c>
      <c r="J234" s="7">
        <v>7</v>
      </c>
      <c r="K234" s="7">
        <v>1</v>
      </c>
      <c r="L234" s="95" t="s">
        <v>573</v>
      </c>
      <c r="M234" s="96" t="s">
        <v>556</v>
      </c>
      <c r="N234" s="96" t="s">
        <v>576</v>
      </c>
      <c r="O234" s="96" t="s">
        <v>325</v>
      </c>
      <c r="P234" s="10"/>
      <c r="Q234" s="260">
        <f>Q235</f>
        <v>0</v>
      </c>
      <c r="R234" s="260">
        <f>R235</f>
        <v>60027.7</v>
      </c>
      <c r="S234" s="260">
        <f>S235</f>
        <v>62829.9</v>
      </c>
    </row>
    <row r="235" spans="1:19" ht="30" customHeight="1">
      <c r="A235" s="99"/>
      <c r="B235" s="98"/>
      <c r="C235" s="103"/>
      <c r="D235" s="101"/>
      <c r="E235" s="104"/>
      <c r="F235" s="104"/>
      <c r="G235" s="89"/>
      <c r="H235" s="3" t="s">
        <v>714</v>
      </c>
      <c r="I235" s="10">
        <v>663</v>
      </c>
      <c r="J235" s="7">
        <v>7</v>
      </c>
      <c r="K235" s="7">
        <v>1</v>
      </c>
      <c r="L235" s="95" t="s">
        <v>573</v>
      </c>
      <c r="M235" s="96" t="s">
        <v>556</v>
      </c>
      <c r="N235" s="96" t="s">
        <v>576</v>
      </c>
      <c r="O235" s="96" t="s">
        <v>325</v>
      </c>
      <c r="P235" s="10">
        <v>610</v>
      </c>
      <c r="Q235" s="260">
        <v>0</v>
      </c>
      <c r="R235" s="214">
        <v>60027.7</v>
      </c>
      <c r="S235" s="214">
        <v>62829.9</v>
      </c>
    </row>
    <row r="236" spans="1:19" s="179" customFormat="1" ht="27" customHeight="1">
      <c r="A236" s="142"/>
      <c r="B236" s="143"/>
      <c r="C236" s="153"/>
      <c r="D236" s="150"/>
      <c r="E236" s="145"/>
      <c r="F236" s="145"/>
      <c r="G236" s="136"/>
      <c r="H236" s="149" t="s">
        <v>537</v>
      </c>
      <c r="I236" s="138">
        <v>663</v>
      </c>
      <c r="J236" s="148">
        <v>7</v>
      </c>
      <c r="K236" s="148">
        <v>2</v>
      </c>
      <c r="L236" s="139"/>
      <c r="M236" s="141" t="s">
        <v>614</v>
      </c>
      <c r="N236" s="141"/>
      <c r="O236" s="141"/>
      <c r="P236" s="138"/>
      <c r="Q236" s="256" t="e">
        <f>#REF!+Q237+Q250</f>
        <v>#REF!</v>
      </c>
      <c r="R236" s="256">
        <f>R237+R250</f>
        <v>158333.90000000002</v>
      </c>
      <c r="S236" s="256">
        <f>S237+S250</f>
        <v>164603.90000000002</v>
      </c>
    </row>
    <row r="237" spans="1:19" ht="30.75" customHeight="1">
      <c r="A237" s="99"/>
      <c r="B237" s="98"/>
      <c r="C237" s="103"/>
      <c r="D237" s="101"/>
      <c r="E237" s="104"/>
      <c r="F237" s="104"/>
      <c r="G237" s="89"/>
      <c r="H237" s="5" t="s">
        <v>680</v>
      </c>
      <c r="I237" s="10">
        <v>663</v>
      </c>
      <c r="J237" s="7">
        <v>7</v>
      </c>
      <c r="K237" s="7">
        <v>2</v>
      </c>
      <c r="L237" s="95" t="s">
        <v>681</v>
      </c>
      <c r="M237" s="96" t="s">
        <v>556</v>
      </c>
      <c r="N237" s="96" t="s">
        <v>576</v>
      </c>
      <c r="O237" s="96" t="s">
        <v>613</v>
      </c>
      <c r="P237" s="10"/>
      <c r="Q237" s="214">
        <f>Q238+Q241+Q244+Q247</f>
        <v>239</v>
      </c>
      <c r="R237" s="214">
        <f>R238+R241+R244+R247</f>
        <v>239</v>
      </c>
      <c r="S237" s="214">
        <f>S238+S241+S244+S247</f>
        <v>239</v>
      </c>
    </row>
    <row r="238" spans="1:19" ht="34.5" customHeight="1">
      <c r="A238" s="99"/>
      <c r="B238" s="98"/>
      <c r="C238" s="103"/>
      <c r="D238" s="101"/>
      <c r="E238" s="104"/>
      <c r="F238" s="104"/>
      <c r="G238" s="89"/>
      <c r="H238" s="18" t="s">
        <v>317</v>
      </c>
      <c r="I238" s="10">
        <v>663</v>
      </c>
      <c r="J238" s="7">
        <v>7</v>
      </c>
      <c r="K238" s="7">
        <v>2</v>
      </c>
      <c r="L238" s="95" t="s">
        <v>681</v>
      </c>
      <c r="M238" s="96" t="s">
        <v>556</v>
      </c>
      <c r="N238" s="96" t="s">
        <v>585</v>
      </c>
      <c r="O238" s="96" t="s">
        <v>613</v>
      </c>
      <c r="P238" s="10"/>
      <c r="Q238" s="214">
        <f aca="true" t="shared" si="25" ref="Q238:S239">Q239</f>
        <v>9</v>
      </c>
      <c r="R238" s="214">
        <f t="shared" si="25"/>
        <v>9</v>
      </c>
      <c r="S238" s="214">
        <f t="shared" si="25"/>
        <v>9</v>
      </c>
    </row>
    <row r="239" spans="1:19" ht="24.75" customHeight="1">
      <c r="A239" s="99"/>
      <c r="B239" s="98"/>
      <c r="C239" s="103"/>
      <c r="D239" s="101"/>
      <c r="E239" s="104"/>
      <c r="F239" s="104"/>
      <c r="G239" s="89"/>
      <c r="H239" s="18" t="s">
        <v>318</v>
      </c>
      <c r="I239" s="10">
        <v>663</v>
      </c>
      <c r="J239" s="7">
        <v>7</v>
      </c>
      <c r="K239" s="7">
        <v>2</v>
      </c>
      <c r="L239" s="95" t="s">
        <v>681</v>
      </c>
      <c r="M239" s="96" t="s">
        <v>556</v>
      </c>
      <c r="N239" s="96" t="s">
        <v>585</v>
      </c>
      <c r="O239" s="96" t="s">
        <v>316</v>
      </c>
      <c r="P239" s="10"/>
      <c r="Q239" s="214">
        <f t="shared" si="25"/>
        <v>9</v>
      </c>
      <c r="R239" s="214">
        <f t="shared" si="25"/>
        <v>9</v>
      </c>
      <c r="S239" s="214">
        <f t="shared" si="25"/>
        <v>9</v>
      </c>
    </row>
    <row r="240" spans="1:19" ht="24.75" customHeight="1">
      <c r="A240" s="99"/>
      <c r="B240" s="98"/>
      <c r="C240" s="103"/>
      <c r="D240" s="101"/>
      <c r="E240" s="104"/>
      <c r="F240" s="104"/>
      <c r="G240" s="89"/>
      <c r="H240" s="18" t="s">
        <v>714</v>
      </c>
      <c r="I240" s="10">
        <v>663</v>
      </c>
      <c r="J240" s="7">
        <v>7</v>
      </c>
      <c r="K240" s="7">
        <v>2</v>
      </c>
      <c r="L240" s="95" t="s">
        <v>681</v>
      </c>
      <c r="M240" s="96" t="s">
        <v>556</v>
      </c>
      <c r="N240" s="96" t="s">
        <v>585</v>
      </c>
      <c r="O240" s="96" t="s">
        <v>316</v>
      </c>
      <c r="P240" s="10">
        <v>610</v>
      </c>
      <c r="Q240" s="214">
        <v>9</v>
      </c>
      <c r="R240" s="214">
        <v>9</v>
      </c>
      <c r="S240" s="214">
        <v>9</v>
      </c>
    </row>
    <row r="241" spans="1:19" ht="30" customHeight="1">
      <c r="A241" s="99"/>
      <c r="B241" s="98"/>
      <c r="C241" s="103"/>
      <c r="D241" s="101"/>
      <c r="E241" s="104"/>
      <c r="F241" s="104"/>
      <c r="G241" s="89"/>
      <c r="H241" s="5" t="s">
        <v>319</v>
      </c>
      <c r="I241" s="10">
        <v>663</v>
      </c>
      <c r="J241" s="7">
        <v>7</v>
      </c>
      <c r="K241" s="7">
        <v>2</v>
      </c>
      <c r="L241" s="95" t="s">
        <v>681</v>
      </c>
      <c r="M241" s="96" t="s">
        <v>556</v>
      </c>
      <c r="N241" s="96" t="s">
        <v>586</v>
      </c>
      <c r="O241" s="96" t="s">
        <v>613</v>
      </c>
      <c r="P241" s="10"/>
      <c r="Q241" s="214">
        <f aca="true" t="shared" si="26" ref="Q241:S242">Q242</f>
        <v>25</v>
      </c>
      <c r="R241" s="214">
        <f t="shared" si="26"/>
        <v>25</v>
      </c>
      <c r="S241" s="214">
        <f t="shared" si="26"/>
        <v>25</v>
      </c>
    </row>
    <row r="242" spans="1:19" ht="30" customHeight="1">
      <c r="A242" s="99"/>
      <c r="B242" s="98"/>
      <c r="C242" s="103"/>
      <c r="D242" s="101"/>
      <c r="E242" s="104"/>
      <c r="F242" s="104"/>
      <c r="G242" s="89"/>
      <c r="H242" s="5" t="s">
        <v>318</v>
      </c>
      <c r="I242" s="10">
        <v>663</v>
      </c>
      <c r="J242" s="7">
        <v>7</v>
      </c>
      <c r="K242" s="7">
        <v>2</v>
      </c>
      <c r="L242" s="95" t="s">
        <v>681</v>
      </c>
      <c r="M242" s="96" t="s">
        <v>556</v>
      </c>
      <c r="N242" s="96" t="s">
        <v>586</v>
      </c>
      <c r="O242" s="96" t="s">
        <v>316</v>
      </c>
      <c r="P242" s="10"/>
      <c r="Q242" s="214">
        <f t="shared" si="26"/>
        <v>25</v>
      </c>
      <c r="R242" s="214">
        <f t="shared" si="26"/>
        <v>25</v>
      </c>
      <c r="S242" s="214">
        <f t="shared" si="26"/>
        <v>25</v>
      </c>
    </row>
    <row r="243" spans="1:19" ht="30" customHeight="1">
      <c r="A243" s="99"/>
      <c r="B243" s="98"/>
      <c r="C243" s="103"/>
      <c r="D243" s="101"/>
      <c r="E243" s="104"/>
      <c r="F243" s="104"/>
      <c r="G243" s="89"/>
      <c r="H243" s="5" t="s">
        <v>714</v>
      </c>
      <c r="I243" s="10">
        <v>663</v>
      </c>
      <c r="J243" s="7">
        <v>7</v>
      </c>
      <c r="K243" s="7">
        <v>2</v>
      </c>
      <c r="L243" s="95" t="s">
        <v>681</v>
      </c>
      <c r="M243" s="96" t="s">
        <v>556</v>
      </c>
      <c r="N243" s="96" t="s">
        <v>586</v>
      </c>
      <c r="O243" s="96" t="s">
        <v>316</v>
      </c>
      <c r="P243" s="10">
        <v>610</v>
      </c>
      <c r="Q243" s="214">
        <v>25</v>
      </c>
      <c r="R243" s="214">
        <v>25</v>
      </c>
      <c r="S243" s="214">
        <v>25</v>
      </c>
    </row>
    <row r="244" spans="1:19" ht="41.25" customHeight="1">
      <c r="A244" s="99"/>
      <c r="B244" s="98"/>
      <c r="C244" s="103"/>
      <c r="D244" s="101"/>
      <c r="E244" s="104"/>
      <c r="F244" s="104"/>
      <c r="G244" s="89"/>
      <c r="H244" s="5" t="s">
        <v>679</v>
      </c>
      <c r="I244" s="10">
        <v>663</v>
      </c>
      <c r="J244" s="7">
        <v>7</v>
      </c>
      <c r="K244" s="7">
        <v>2</v>
      </c>
      <c r="L244" s="95" t="s">
        <v>681</v>
      </c>
      <c r="M244" s="96" t="s">
        <v>556</v>
      </c>
      <c r="N244" s="96" t="s">
        <v>581</v>
      </c>
      <c r="O244" s="96" t="s">
        <v>613</v>
      </c>
      <c r="P244" s="10"/>
      <c r="Q244" s="214">
        <f aca="true" t="shared" si="27" ref="Q244:S245">Q245</f>
        <v>80</v>
      </c>
      <c r="R244" s="214">
        <f t="shared" si="27"/>
        <v>80</v>
      </c>
      <c r="S244" s="214">
        <f t="shared" si="27"/>
        <v>80</v>
      </c>
    </row>
    <row r="245" spans="1:19" ht="28.5" customHeight="1">
      <c r="A245" s="99"/>
      <c r="B245" s="98"/>
      <c r="C245" s="103"/>
      <c r="D245" s="101"/>
      <c r="E245" s="104"/>
      <c r="F245" s="104"/>
      <c r="G245" s="89"/>
      <c r="H245" s="5" t="s">
        <v>318</v>
      </c>
      <c r="I245" s="10">
        <v>663</v>
      </c>
      <c r="J245" s="7">
        <v>7</v>
      </c>
      <c r="K245" s="7">
        <v>2</v>
      </c>
      <c r="L245" s="95" t="s">
        <v>681</v>
      </c>
      <c r="M245" s="96" t="s">
        <v>556</v>
      </c>
      <c r="N245" s="96" t="s">
        <v>581</v>
      </c>
      <c r="O245" s="96" t="s">
        <v>316</v>
      </c>
      <c r="P245" s="10"/>
      <c r="Q245" s="214">
        <f t="shared" si="27"/>
        <v>80</v>
      </c>
      <c r="R245" s="214">
        <f t="shared" si="27"/>
        <v>80</v>
      </c>
      <c r="S245" s="214">
        <f t="shared" si="27"/>
        <v>80</v>
      </c>
    </row>
    <row r="246" spans="1:19" ht="30" customHeight="1">
      <c r="A246" s="99"/>
      <c r="B246" s="98"/>
      <c r="C246" s="103"/>
      <c r="D246" s="101"/>
      <c r="E246" s="104"/>
      <c r="F246" s="104"/>
      <c r="G246" s="89"/>
      <c r="H246" s="5" t="s">
        <v>714</v>
      </c>
      <c r="I246" s="10">
        <v>663</v>
      </c>
      <c r="J246" s="7">
        <v>7</v>
      </c>
      <c r="K246" s="7">
        <v>2</v>
      </c>
      <c r="L246" s="95" t="s">
        <v>681</v>
      </c>
      <c r="M246" s="96" t="s">
        <v>556</v>
      </c>
      <c r="N246" s="96" t="s">
        <v>581</v>
      </c>
      <c r="O246" s="96" t="s">
        <v>316</v>
      </c>
      <c r="P246" s="10">
        <v>610</v>
      </c>
      <c r="Q246" s="214">
        <v>80</v>
      </c>
      <c r="R246" s="214">
        <v>80</v>
      </c>
      <c r="S246" s="214">
        <v>80</v>
      </c>
    </row>
    <row r="247" spans="1:19" ht="41.25" customHeight="1">
      <c r="A247" s="99"/>
      <c r="B247" s="98"/>
      <c r="C247" s="103"/>
      <c r="D247" s="101"/>
      <c r="E247" s="104"/>
      <c r="F247" s="104"/>
      <c r="G247" s="89"/>
      <c r="H247" s="117" t="s">
        <v>246</v>
      </c>
      <c r="I247" s="10">
        <v>663</v>
      </c>
      <c r="J247" s="7">
        <v>7</v>
      </c>
      <c r="K247" s="7">
        <v>2</v>
      </c>
      <c r="L247" s="95" t="s">
        <v>681</v>
      </c>
      <c r="M247" s="96" t="s">
        <v>556</v>
      </c>
      <c r="N247" s="96" t="s">
        <v>559</v>
      </c>
      <c r="O247" s="96" t="s">
        <v>613</v>
      </c>
      <c r="P247" s="10"/>
      <c r="Q247" s="214">
        <f aca="true" t="shared" si="28" ref="Q247:S248">Q248</f>
        <v>125</v>
      </c>
      <c r="R247" s="214">
        <f t="shared" si="28"/>
        <v>125</v>
      </c>
      <c r="S247" s="214">
        <f t="shared" si="28"/>
        <v>125</v>
      </c>
    </row>
    <row r="248" spans="1:19" ht="25.5" customHeight="1">
      <c r="A248" s="99"/>
      <c r="B248" s="98"/>
      <c r="C248" s="103"/>
      <c r="D248" s="101"/>
      <c r="E248" s="104"/>
      <c r="F248" s="104"/>
      <c r="G248" s="89"/>
      <c r="H248" s="5" t="s">
        <v>318</v>
      </c>
      <c r="I248" s="10">
        <v>663</v>
      </c>
      <c r="J248" s="7">
        <v>7</v>
      </c>
      <c r="K248" s="7">
        <v>2</v>
      </c>
      <c r="L248" s="95" t="s">
        <v>681</v>
      </c>
      <c r="M248" s="96" t="s">
        <v>556</v>
      </c>
      <c r="N248" s="96" t="s">
        <v>559</v>
      </c>
      <c r="O248" s="96" t="s">
        <v>316</v>
      </c>
      <c r="P248" s="10"/>
      <c r="Q248" s="214">
        <f t="shared" si="28"/>
        <v>125</v>
      </c>
      <c r="R248" s="214">
        <f t="shared" si="28"/>
        <v>125</v>
      </c>
      <c r="S248" s="214">
        <f t="shared" si="28"/>
        <v>125</v>
      </c>
    </row>
    <row r="249" spans="1:19" ht="27" customHeight="1">
      <c r="A249" s="99"/>
      <c r="B249" s="98"/>
      <c r="C249" s="103"/>
      <c r="D249" s="101"/>
      <c r="E249" s="104"/>
      <c r="F249" s="104"/>
      <c r="G249" s="89"/>
      <c r="H249" s="5" t="s">
        <v>714</v>
      </c>
      <c r="I249" s="10">
        <v>663</v>
      </c>
      <c r="J249" s="7">
        <v>7</v>
      </c>
      <c r="K249" s="7">
        <v>2</v>
      </c>
      <c r="L249" s="95" t="s">
        <v>681</v>
      </c>
      <c r="M249" s="96" t="s">
        <v>556</v>
      </c>
      <c r="N249" s="96" t="s">
        <v>559</v>
      </c>
      <c r="O249" s="96" t="s">
        <v>316</v>
      </c>
      <c r="P249" s="10">
        <v>610</v>
      </c>
      <c r="Q249" s="214">
        <v>125</v>
      </c>
      <c r="R249" s="214">
        <v>125</v>
      </c>
      <c r="S249" s="214">
        <v>125</v>
      </c>
    </row>
    <row r="250" spans="1:19" ht="33" customHeight="1">
      <c r="A250" s="99"/>
      <c r="B250" s="98"/>
      <c r="C250" s="103"/>
      <c r="D250" s="101"/>
      <c r="E250" s="113"/>
      <c r="F250" s="113"/>
      <c r="G250" s="89"/>
      <c r="H250" s="5" t="s">
        <v>292</v>
      </c>
      <c r="I250" s="8">
        <v>663</v>
      </c>
      <c r="J250" s="7">
        <v>7</v>
      </c>
      <c r="K250" s="7">
        <v>2</v>
      </c>
      <c r="L250" s="16">
        <v>91</v>
      </c>
      <c r="M250" s="96" t="s">
        <v>556</v>
      </c>
      <c r="N250" s="96" t="s">
        <v>576</v>
      </c>
      <c r="O250" s="96" t="s">
        <v>613</v>
      </c>
      <c r="P250" s="10"/>
      <c r="Q250" s="214">
        <f>Q251+Q258</f>
        <v>0</v>
      </c>
      <c r="R250" s="214">
        <f>R251+R258+R256+R254</f>
        <v>158094.90000000002</v>
      </c>
      <c r="S250" s="214">
        <f>S251+S258+S256+S254</f>
        <v>164364.90000000002</v>
      </c>
    </row>
    <row r="251" spans="1:19" ht="33" customHeight="1">
      <c r="A251" s="99"/>
      <c r="B251" s="98"/>
      <c r="C251" s="103"/>
      <c r="D251" s="101"/>
      <c r="E251" s="113"/>
      <c r="F251" s="113"/>
      <c r="G251" s="89"/>
      <c r="H251" s="5" t="s">
        <v>327</v>
      </c>
      <c r="I251" s="8">
        <v>663</v>
      </c>
      <c r="J251" s="7">
        <v>7</v>
      </c>
      <c r="K251" s="7">
        <v>2</v>
      </c>
      <c r="L251" s="16">
        <v>91</v>
      </c>
      <c r="M251" s="96" t="s">
        <v>556</v>
      </c>
      <c r="N251" s="96" t="s">
        <v>576</v>
      </c>
      <c r="O251" s="96" t="s">
        <v>316</v>
      </c>
      <c r="P251" s="10"/>
      <c r="Q251" s="214">
        <f>SUM(Q252:Q253)</f>
        <v>0</v>
      </c>
      <c r="R251" s="214">
        <f>SUM(R252:R253)</f>
        <v>34860.6</v>
      </c>
      <c r="S251" s="214">
        <f>SUM(S252:S253)</f>
        <v>34860.6</v>
      </c>
    </row>
    <row r="252" spans="1:19" ht="33" customHeight="1">
      <c r="A252" s="99"/>
      <c r="B252" s="98"/>
      <c r="C252" s="103"/>
      <c r="D252" s="101"/>
      <c r="E252" s="113"/>
      <c r="F252" s="113"/>
      <c r="G252" s="89"/>
      <c r="H252" s="5" t="s">
        <v>712</v>
      </c>
      <c r="I252" s="8">
        <v>663</v>
      </c>
      <c r="J252" s="7">
        <v>7</v>
      </c>
      <c r="K252" s="7">
        <v>2</v>
      </c>
      <c r="L252" s="16">
        <v>91</v>
      </c>
      <c r="M252" s="96" t="s">
        <v>556</v>
      </c>
      <c r="N252" s="96" t="s">
        <v>576</v>
      </c>
      <c r="O252" s="96" t="s">
        <v>316</v>
      </c>
      <c r="P252" s="10">
        <v>240</v>
      </c>
      <c r="Q252" s="214">
        <v>0</v>
      </c>
      <c r="R252" s="214">
        <v>13.5</v>
      </c>
      <c r="S252" s="214">
        <v>13.5</v>
      </c>
    </row>
    <row r="253" spans="1:19" ht="33" customHeight="1">
      <c r="A253" s="99"/>
      <c r="B253" s="98"/>
      <c r="C253" s="103"/>
      <c r="D253" s="101"/>
      <c r="E253" s="113"/>
      <c r="F253" s="113"/>
      <c r="G253" s="89"/>
      <c r="H253" s="5" t="s">
        <v>714</v>
      </c>
      <c r="I253" s="8">
        <v>663</v>
      </c>
      <c r="J253" s="7">
        <v>7</v>
      </c>
      <c r="K253" s="7">
        <v>2</v>
      </c>
      <c r="L253" s="16">
        <v>91</v>
      </c>
      <c r="M253" s="96" t="s">
        <v>556</v>
      </c>
      <c r="N253" s="96" t="s">
        <v>576</v>
      </c>
      <c r="O253" s="96" t="s">
        <v>316</v>
      </c>
      <c r="P253" s="10">
        <v>610</v>
      </c>
      <c r="Q253" s="214">
        <v>0</v>
      </c>
      <c r="R253" s="214">
        <f>'Приложение 10'!Q461</f>
        <v>34847.1</v>
      </c>
      <c r="S253" s="214">
        <f>'Приложение 10'!R461</f>
        <v>34847.1</v>
      </c>
    </row>
    <row r="254" spans="1:19" ht="33" customHeight="1">
      <c r="A254" s="99"/>
      <c r="B254" s="98"/>
      <c r="C254" s="103"/>
      <c r="D254" s="101"/>
      <c r="E254" s="113"/>
      <c r="F254" s="113"/>
      <c r="G254" s="89"/>
      <c r="H254" s="5" t="str">
        <f>'Приложение 10'!H462</f>
        <v>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v>
      </c>
      <c r="I254" s="8">
        <f>'Приложение 10'!I462</f>
        <v>663</v>
      </c>
      <c r="J254" s="7">
        <f>'Приложение 10'!J462</f>
        <v>7</v>
      </c>
      <c r="K254" s="7">
        <f>'Приложение 10'!K462</f>
        <v>2</v>
      </c>
      <c r="L254" s="16">
        <f>'Приложение 10'!L462</f>
        <v>91</v>
      </c>
      <c r="M254" s="96" t="str">
        <f>'Приложение 10'!M462</f>
        <v>0</v>
      </c>
      <c r="N254" s="96" t="str">
        <f>'Приложение 10'!N462</f>
        <v>00</v>
      </c>
      <c r="O254" s="96" t="str">
        <f>'Приложение 10'!O462</f>
        <v>53031</v>
      </c>
      <c r="P254" s="10" t="s">
        <v>614</v>
      </c>
      <c r="Q254" s="214">
        <f>'Приложение 10'!Q462</f>
        <v>9343.2</v>
      </c>
      <c r="R254" s="214">
        <f>'Приложение 10'!R462</f>
        <v>9343.2</v>
      </c>
      <c r="S254" s="214">
        <f>S255</f>
        <v>9343.2</v>
      </c>
    </row>
    <row r="255" spans="1:19" ht="33" customHeight="1">
      <c r="A255" s="99"/>
      <c r="B255" s="98"/>
      <c r="C255" s="103"/>
      <c r="D255" s="101"/>
      <c r="E255" s="113"/>
      <c r="F255" s="113"/>
      <c r="G255" s="89"/>
      <c r="H255" s="5" t="str">
        <f>'Приложение 10'!H463</f>
        <v>Субсидии бюджетным учреждениям</v>
      </c>
      <c r="I255" s="8">
        <f>'Приложение 10'!I463</f>
        <v>663</v>
      </c>
      <c r="J255" s="7">
        <f>'Приложение 10'!J463</f>
        <v>7</v>
      </c>
      <c r="K255" s="7">
        <f>'Приложение 10'!K463</f>
        <v>2</v>
      </c>
      <c r="L255" s="16">
        <f>'Приложение 10'!L463</f>
        <v>91</v>
      </c>
      <c r="M255" s="96" t="str">
        <f>'Приложение 10'!M463</f>
        <v>0</v>
      </c>
      <c r="N255" s="96" t="str">
        <f>'Приложение 10'!N463</f>
        <v>00</v>
      </c>
      <c r="O255" s="96" t="str">
        <f>'Приложение 10'!O463</f>
        <v>53031</v>
      </c>
      <c r="P255" s="10">
        <f>'Приложение 10'!P463</f>
        <v>610</v>
      </c>
      <c r="Q255" s="214">
        <f>'Приложение 10'!Q463</f>
        <v>9343.2</v>
      </c>
      <c r="R255" s="214">
        <f>'Приложение 10'!Q463</f>
        <v>9343.2</v>
      </c>
      <c r="S255" s="214">
        <f>'Приложение 10'!R463</f>
        <v>9343.2</v>
      </c>
    </row>
    <row r="256" spans="1:19" ht="33" customHeight="1">
      <c r="A256" s="99"/>
      <c r="B256" s="98"/>
      <c r="C256" s="103"/>
      <c r="D256" s="101"/>
      <c r="E256" s="113"/>
      <c r="F256" s="113"/>
      <c r="G256" s="89"/>
      <c r="H256" s="5" t="str">
        <f>'Приложение 10'!H464</f>
        <v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v>
      </c>
      <c r="I256" s="8">
        <f>'Приложение 10'!I464</f>
        <v>663</v>
      </c>
      <c r="J256" s="7">
        <f>'Приложение 10'!J464</f>
        <v>7</v>
      </c>
      <c r="K256" s="7">
        <f>'Приложение 10'!K464</f>
        <v>2</v>
      </c>
      <c r="L256" s="16">
        <f>'Приложение 10'!L464</f>
        <v>91</v>
      </c>
      <c r="M256" s="96" t="str">
        <f>'Приложение 10'!M464</f>
        <v>0</v>
      </c>
      <c r="N256" s="96" t="str">
        <f>'Приложение 10'!N464</f>
        <v>00</v>
      </c>
      <c r="O256" s="96" t="str">
        <f>'Приложение 10'!O464</f>
        <v>70030</v>
      </c>
      <c r="P256" s="10" t="s">
        <v>614</v>
      </c>
      <c r="Q256" s="214">
        <f>'Приложение 10'!Q464</f>
        <v>7879.7</v>
      </c>
      <c r="R256" s="214">
        <f>R257</f>
        <v>7879.7</v>
      </c>
      <c r="S256" s="214">
        <f>S257</f>
        <v>7879.7</v>
      </c>
    </row>
    <row r="257" spans="1:19" ht="33" customHeight="1">
      <c r="A257" s="99"/>
      <c r="B257" s="98"/>
      <c r="C257" s="103"/>
      <c r="D257" s="101"/>
      <c r="E257" s="113"/>
      <c r="F257" s="113"/>
      <c r="G257" s="89"/>
      <c r="H257" s="5" t="str">
        <f>'Приложение 10'!H465</f>
        <v>Субсидии бюджетным учреждениям</v>
      </c>
      <c r="I257" s="8">
        <f>'Приложение 10'!I465</f>
        <v>663</v>
      </c>
      <c r="J257" s="7">
        <f>'Приложение 10'!J465</f>
        <v>7</v>
      </c>
      <c r="K257" s="7">
        <f>'Приложение 10'!K465</f>
        <v>2</v>
      </c>
      <c r="L257" s="16">
        <f>'Приложение 10'!L465</f>
        <v>91</v>
      </c>
      <c r="M257" s="96" t="str">
        <f>'Приложение 10'!M465</f>
        <v>0</v>
      </c>
      <c r="N257" s="96" t="str">
        <f>'Приложение 10'!N465</f>
        <v>00</v>
      </c>
      <c r="O257" s="96" t="str">
        <f>'Приложение 10'!O465</f>
        <v>70030</v>
      </c>
      <c r="P257" s="10">
        <f>'Приложение 10'!P465</f>
        <v>610</v>
      </c>
      <c r="Q257" s="214">
        <f>'Приложение 10'!Q465</f>
        <v>7879.7</v>
      </c>
      <c r="R257" s="214">
        <f>'Приложение 10'!Q465</f>
        <v>7879.7</v>
      </c>
      <c r="S257" s="214">
        <f>'Приложение 10'!R465</f>
        <v>7879.7</v>
      </c>
    </row>
    <row r="258" spans="1:19" ht="33" customHeight="1">
      <c r="A258" s="99"/>
      <c r="B258" s="98"/>
      <c r="C258" s="103"/>
      <c r="D258" s="101"/>
      <c r="E258" s="113"/>
      <c r="F258" s="113"/>
      <c r="G258" s="89"/>
      <c r="H258" s="5" t="s">
        <v>326</v>
      </c>
      <c r="I258" s="8">
        <v>663</v>
      </c>
      <c r="J258" s="7">
        <v>7</v>
      </c>
      <c r="K258" s="7">
        <v>2</v>
      </c>
      <c r="L258" s="16">
        <v>91</v>
      </c>
      <c r="M258" s="96" t="s">
        <v>556</v>
      </c>
      <c r="N258" s="96" t="s">
        <v>576</v>
      </c>
      <c r="O258" s="96" t="s">
        <v>325</v>
      </c>
      <c r="P258" s="10"/>
      <c r="Q258" s="214">
        <f>Q259</f>
        <v>0</v>
      </c>
      <c r="R258" s="214">
        <f>R259</f>
        <v>106011.4</v>
      </c>
      <c r="S258" s="214">
        <f>S259</f>
        <v>112281.4</v>
      </c>
    </row>
    <row r="259" spans="1:19" ht="33" customHeight="1">
      <c r="A259" s="99"/>
      <c r="B259" s="98"/>
      <c r="C259" s="103"/>
      <c r="D259" s="101"/>
      <c r="E259" s="113"/>
      <c r="F259" s="113"/>
      <c r="G259" s="89"/>
      <c r="H259" s="5" t="s">
        <v>714</v>
      </c>
      <c r="I259" s="8">
        <v>663</v>
      </c>
      <c r="J259" s="7">
        <v>7</v>
      </c>
      <c r="K259" s="7">
        <v>2</v>
      </c>
      <c r="L259" s="16">
        <v>91</v>
      </c>
      <c r="M259" s="96" t="s">
        <v>556</v>
      </c>
      <c r="N259" s="96" t="s">
        <v>576</v>
      </c>
      <c r="O259" s="96" t="s">
        <v>325</v>
      </c>
      <c r="P259" s="10">
        <v>610</v>
      </c>
      <c r="Q259" s="214">
        <v>0</v>
      </c>
      <c r="R259" s="214">
        <v>106011.4</v>
      </c>
      <c r="S259" s="214">
        <v>112281.4</v>
      </c>
    </row>
    <row r="260" spans="1:19" s="179" customFormat="1" ht="25.5" customHeight="1">
      <c r="A260" s="142"/>
      <c r="B260" s="143"/>
      <c r="C260" s="153"/>
      <c r="D260" s="150"/>
      <c r="E260" s="154"/>
      <c r="F260" s="154"/>
      <c r="G260" s="136"/>
      <c r="H260" s="149" t="s">
        <v>340</v>
      </c>
      <c r="I260" s="152">
        <v>663</v>
      </c>
      <c r="J260" s="148">
        <v>7</v>
      </c>
      <c r="K260" s="148">
        <v>3</v>
      </c>
      <c r="L260" s="139"/>
      <c r="M260" s="141"/>
      <c r="N260" s="141"/>
      <c r="O260" s="141"/>
      <c r="P260" s="138"/>
      <c r="Q260" s="213" t="e">
        <f>#REF!+Q267+Q261</f>
        <v>#REF!</v>
      </c>
      <c r="R260" s="213">
        <f>R267+R261</f>
        <v>12805.6</v>
      </c>
      <c r="S260" s="213">
        <f>S267+S261</f>
        <v>12805.6</v>
      </c>
    </row>
    <row r="261" spans="1:19" s="179" customFormat="1" ht="29.25" customHeight="1">
      <c r="A261" s="142"/>
      <c r="B261" s="143"/>
      <c r="C261" s="153"/>
      <c r="D261" s="235"/>
      <c r="E261" s="166"/>
      <c r="F261" s="166"/>
      <c r="G261" s="136"/>
      <c r="H261" s="257" t="s">
        <v>658</v>
      </c>
      <c r="I261" s="10">
        <v>27</v>
      </c>
      <c r="J261" s="7">
        <v>7</v>
      </c>
      <c r="K261" s="7">
        <v>3</v>
      </c>
      <c r="L261" s="95" t="s">
        <v>659</v>
      </c>
      <c r="M261" s="96" t="s">
        <v>556</v>
      </c>
      <c r="N261" s="96" t="s">
        <v>576</v>
      </c>
      <c r="O261" s="96" t="s">
        <v>613</v>
      </c>
      <c r="P261" s="6"/>
      <c r="Q261" s="216">
        <f aca="true" t="shared" si="29" ref="Q261:S263">Q262</f>
        <v>6945</v>
      </c>
      <c r="R261" s="216">
        <f t="shared" si="29"/>
        <v>8000</v>
      </c>
      <c r="S261" s="216">
        <f t="shared" si="29"/>
        <v>8000</v>
      </c>
    </row>
    <row r="262" spans="1:19" s="179" customFormat="1" ht="35.25" customHeight="1">
      <c r="A262" s="142"/>
      <c r="B262" s="143"/>
      <c r="C262" s="153"/>
      <c r="D262" s="235"/>
      <c r="E262" s="166"/>
      <c r="F262" s="166"/>
      <c r="G262" s="136"/>
      <c r="H262" s="257" t="s">
        <v>660</v>
      </c>
      <c r="I262" s="10">
        <v>27</v>
      </c>
      <c r="J262" s="7">
        <v>7</v>
      </c>
      <c r="K262" s="7">
        <v>3</v>
      </c>
      <c r="L262" s="95" t="s">
        <v>659</v>
      </c>
      <c r="M262" s="96" t="s">
        <v>556</v>
      </c>
      <c r="N262" s="96" t="s">
        <v>581</v>
      </c>
      <c r="O262" s="96" t="s">
        <v>613</v>
      </c>
      <c r="P262" s="6"/>
      <c r="Q262" s="216">
        <f t="shared" si="29"/>
        <v>6945</v>
      </c>
      <c r="R262" s="216">
        <f>R263+R265</f>
        <v>8000</v>
      </c>
      <c r="S262" s="216">
        <f>S263+S265</f>
        <v>8000</v>
      </c>
    </row>
    <row r="263" spans="1:19" s="179" customFormat="1" ht="20.25" customHeight="1">
      <c r="A263" s="142"/>
      <c r="B263" s="143"/>
      <c r="C263" s="153"/>
      <c r="D263" s="235"/>
      <c r="E263" s="166"/>
      <c r="F263" s="166"/>
      <c r="G263" s="136"/>
      <c r="H263" s="257" t="s">
        <v>328</v>
      </c>
      <c r="I263" s="10">
        <v>27</v>
      </c>
      <c r="J263" s="7">
        <v>7</v>
      </c>
      <c r="K263" s="7">
        <v>3</v>
      </c>
      <c r="L263" s="95" t="s">
        <v>659</v>
      </c>
      <c r="M263" s="96" t="s">
        <v>556</v>
      </c>
      <c r="N263" s="96" t="s">
        <v>581</v>
      </c>
      <c r="O263" s="96" t="s">
        <v>263</v>
      </c>
      <c r="P263" s="6"/>
      <c r="Q263" s="216">
        <f t="shared" si="29"/>
        <v>6945</v>
      </c>
      <c r="R263" s="216">
        <f t="shared" si="29"/>
        <v>6506.6</v>
      </c>
      <c r="S263" s="216">
        <f t="shared" si="29"/>
        <v>6179.4</v>
      </c>
    </row>
    <row r="264" spans="1:19" s="179" customFormat="1" ht="20.25" customHeight="1">
      <c r="A264" s="142"/>
      <c r="B264" s="143"/>
      <c r="C264" s="153"/>
      <c r="D264" s="235"/>
      <c r="E264" s="166"/>
      <c r="F264" s="166"/>
      <c r="G264" s="136"/>
      <c r="H264" s="257" t="s">
        <v>714</v>
      </c>
      <c r="I264" s="10">
        <v>27</v>
      </c>
      <c r="J264" s="7">
        <v>7</v>
      </c>
      <c r="K264" s="7">
        <v>3</v>
      </c>
      <c r="L264" s="95" t="s">
        <v>659</v>
      </c>
      <c r="M264" s="96" t="s">
        <v>556</v>
      </c>
      <c r="N264" s="96" t="s">
        <v>581</v>
      </c>
      <c r="O264" s="96" t="s">
        <v>263</v>
      </c>
      <c r="P264" s="6">
        <v>610</v>
      </c>
      <c r="Q264" s="216">
        <v>6945</v>
      </c>
      <c r="R264" s="216">
        <f>'Приложение 10'!Q216</f>
        <v>6506.6</v>
      </c>
      <c r="S264" s="216">
        <f>'Приложение 10'!R216</f>
        <v>6179.4</v>
      </c>
    </row>
    <row r="265" spans="1:19" s="179" customFormat="1" ht="20.25" customHeight="1">
      <c r="A265" s="142"/>
      <c r="B265" s="143"/>
      <c r="C265" s="153"/>
      <c r="D265" s="235"/>
      <c r="E265" s="166"/>
      <c r="F265" s="166"/>
      <c r="G265" s="136"/>
      <c r="H265" s="257" t="str">
        <f>'Приложение 10'!H217</f>
        <v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v>
      </c>
      <c r="I265" s="13">
        <f>'Приложение 10'!I217</f>
        <v>27</v>
      </c>
      <c r="J265" s="7">
        <f>'Приложение 10'!J217</f>
        <v>7</v>
      </c>
      <c r="K265" s="7">
        <f>'Приложение 10'!K217</f>
        <v>3</v>
      </c>
      <c r="L265" s="95" t="str">
        <f>'Приложение 10'!L217</f>
        <v>34</v>
      </c>
      <c r="M265" s="96" t="str">
        <f>'Приложение 10'!M217</f>
        <v>0</v>
      </c>
      <c r="N265" s="96" t="str">
        <f>'Приложение 10'!N217</f>
        <v>04</v>
      </c>
      <c r="O265" s="96" t="str">
        <f>'Приложение 10'!O217</f>
        <v>70030</v>
      </c>
      <c r="P265" s="10" t="s">
        <v>614</v>
      </c>
      <c r="Q265" s="216">
        <f>'Приложение 10'!Q217</f>
        <v>1493.4</v>
      </c>
      <c r="R265" s="214">
        <f>R266</f>
        <v>1493.4</v>
      </c>
      <c r="S265" s="216">
        <f>S266</f>
        <v>1820.6</v>
      </c>
    </row>
    <row r="266" spans="1:19" s="179" customFormat="1" ht="20.25" customHeight="1">
      <c r="A266" s="142"/>
      <c r="B266" s="143"/>
      <c r="C266" s="153"/>
      <c r="D266" s="235"/>
      <c r="E266" s="166"/>
      <c r="F266" s="166"/>
      <c r="G266" s="136"/>
      <c r="H266" s="257" t="str">
        <f>'Приложение 10'!H218</f>
        <v>Субсидии бюджетным учреждениям</v>
      </c>
      <c r="I266" s="13">
        <f>'Приложение 10'!I218</f>
        <v>27</v>
      </c>
      <c r="J266" s="7">
        <f>'Приложение 10'!J218</f>
        <v>7</v>
      </c>
      <c r="K266" s="7">
        <f>'Приложение 10'!K218</f>
        <v>3</v>
      </c>
      <c r="L266" s="95" t="str">
        <f>'Приложение 10'!L218</f>
        <v>34</v>
      </c>
      <c r="M266" s="96" t="str">
        <f>'Приложение 10'!M218</f>
        <v>0</v>
      </c>
      <c r="N266" s="96" t="str">
        <f>'Приложение 10'!N218</f>
        <v>04</v>
      </c>
      <c r="O266" s="96" t="str">
        <f>'Приложение 10'!O218</f>
        <v>70030</v>
      </c>
      <c r="P266" s="10">
        <f>'Приложение 10'!P218</f>
        <v>610</v>
      </c>
      <c r="Q266" s="216">
        <f>'Приложение 10'!Q218</f>
        <v>1493.4</v>
      </c>
      <c r="R266" s="214">
        <f>'Приложение 10'!Q218</f>
        <v>1493.4</v>
      </c>
      <c r="S266" s="216">
        <f>'Приложение 10'!R218</f>
        <v>1820.6</v>
      </c>
    </row>
    <row r="267" spans="1:19" ht="26.25" customHeight="1">
      <c r="A267" s="99"/>
      <c r="B267" s="98"/>
      <c r="C267" s="103"/>
      <c r="D267" s="101"/>
      <c r="E267" s="113"/>
      <c r="F267" s="113"/>
      <c r="G267" s="89"/>
      <c r="H267" s="5" t="s">
        <v>292</v>
      </c>
      <c r="I267" s="8">
        <v>663</v>
      </c>
      <c r="J267" s="7">
        <v>7</v>
      </c>
      <c r="K267" s="7">
        <v>3</v>
      </c>
      <c r="L267" s="16">
        <v>91</v>
      </c>
      <c r="M267" s="96" t="s">
        <v>556</v>
      </c>
      <c r="N267" s="96" t="s">
        <v>576</v>
      </c>
      <c r="O267" s="96" t="s">
        <v>613</v>
      </c>
      <c r="P267" s="10"/>
      <c r="Q267" s="214">
        <f aca="true" t="shared" si="30" ref="Q267:S268">Q268</f>
        <v>0</v>
      </c>
      <c r="R267" s="214">
        <f>R268+R270</f>
        <v>4805.6</v>
      </c>
      <c r="S267" s="214">
        <f>S268+S270</f>
        <v>4805.6</v>
      </c>
    </row>
    <row r="268" spans="1:19" ht="27" customHeight="1">
      <c r="A268" s="99"/>
      <c r="B268" s="98"/>
      <c r="C268" s="103"/>
      <c r="D268" s="101"/>
      <c r="E268" s="113"/>
      <c r="F268" s="113"/>
      <c r="G268" s="89"/>
      <c r="H268" s="5" t="s">
        <v>328</v>
      </c>
      <c r="I268" s="8">
        <v>663</v>
      </c>
      <c r="J268" s="7">
        <v>7</v>
      </c>
      <c r="K268" s="7">
        <v>3</v>
      </c>
      <c r="L268" s="16">
        <v>91</v>
      </c>
      <c r="M268" s="96" t="s">
        <v>556</v>
      </c>
      <c r="N268" s="96" t="s">
        <v>576</v>
      </c>
      <c r="O268" s="96" t="s">
        <v>263</v>
      </c>
      <c r="P268" s="10"/>
      <c r="Q268" s="214">
        <f t="shared" si="30"/>
        <v>0</v>
      </c>
      <c r="R268" s="214">
        <f t="shared" si="30"/>
        <v>3680.3</v>
      </c>
      <c r="S268" s="214">
        <f t="shared" si="30"/>
        <v>3434.9</v>
      </c>
    </row>
    <row r="269" spans="1:19" ht="21" customHeight="1">
      <c r="A269" s="99"/>
      <c r="B269" s="98"/>
      <c r="C269" s="103"/>
      <c r="D269" s="101"/>
      <c r="E269" s="113"/>
      <c r="F269" s="113"/>
      <c r="G269" s="89"/>
      <c r="H269" s="5" t="s">
        <v>714</v>
      </c>
      <c r="I269" s="8">
        <v>663</v>
      </c>
      <c r="J269" s="7">
        <v>7</v>
      </c>
      <c r="K269" s="7">
        <v>3</v>
      </c>
      <c r="L269" s="16">
        <v>91</v>
      </c>
      <c r="M269" s="96" t="s">
        <v>556</v>
      </c>
      <c r="N269" s="96" t="s">
        <v>576</v>
      </c>
      <c r="O269" s="96" t="s">
        <v>263</v>
      </c>
      <c r="P269" s="10">
        <v>610</v>
      </c>
      <c r="Q269" s="214">
        <v>0</v>
      </c>
      <c r="R269" s="214">
        <f>'Приложение 10'!Q475</f>
        <v>3680.3</v>
      </c>
      <c r="S269" s="216">
        <f>'Приложение 10'!R475</f>
        <v>3434.9</v>
      </c>
    </row>
    <row r="270" spans="1:19" ht="21" customHeight="1">
      <c r="A270" s="99"/>
      <c r="B270" s="98"/>
      <c r="C270" s="97"/>
      <c r="D270" s="107"/>
      <c r="E270" s="104"/>
      <c r="F270" s="104"/>
      <c r="G270" s="89"/>
      <c r="H270" s="5" t="str">
        <f>'Приложение 10'!H476</f>
        <v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v>
      </c>
      <c r="I270" s="8">
        <f>'Приложение 10'!I476</f>
        <v>663</v>
      </c>
      <c r="J270" s="7">
        <f>'Приложение 10'!J476</f>
        <v>7</v>
      </c>
      <c r="K270" s="7">
        <f>'Приложение 10'!K476</f>
        <v>3</v>
      </c>
      <c r="L270" s="16">
        <f>'Приложение 10'!L476</f>
        <v>91</v>
      </c>
      <c r="M270" s="96" t="str">
        <f>'Приложение 10'!M476</f>
        <v>0</v>
      </c>
      <c r="N270" s="96" t="str">
        <f>'Приложение 10'!N476</f>
        <v>00</v>
      </c>
      <c r="O270" s="96" t="str">
        <f>'Приложение 10'!O476</f>
        <v>70030</v>
      </c>
      <c r="P270" s="10" t="s">
        <v>614</v>
      </c>
      <c r="Q270" s="214">
        <f>'Приложение 10'!Q476</f>
        <v>1125.3</v>
      </c>
      <c r="R270" s="214">
        <f>R271</f>
        <v>1125.3</v>
      </c>
      <c r="S270" s="216">
        <f>S271</f>
        <v>1370.7</v>
      </c>
    </row>
    <row r="271" spans="1:19" ht="21" customHeight="1">
      <c r="A271" s="99"/>
      <c r="B271" s="98"/>
      <c r="C271" s="97"/>
      <c r="D271" s="107"/>
      <c r="E271" s="104"/>
      <c r="F271" s="104"/>
      <c r="G271" s="89"/>
      <c r="H271" s="5" t="str">
        <f>'Приложение 10'!H477</f>
        <v>Субсидии бюджетным учреждениям</v>
      </c>
      <c r="I271" s="8">
        <f>'Приложение 10'!I477</f>
        <v>663</v>
      </c>
      <c r="J271" s="7">
        <f>'Приложение 10'!J477</f>
        <v>7</v>
      </c>
      <c r="K271" s="7">
        <f>'Приложение 10'!K477</f>
        <v>3</v>
      </c>
      <c r="L271" s="16">
        <f>'Приложение 10'!L477</f>
        <v>91</v>
      </c>
      <c r="M271" s="96" t="str">
        <f>'Приложение 10'!M477</f>
        <v>0</v>
      </c>
      <c r="N271" s="96" t="str">
        <f>'Приложение 10'!N477</f>
        <v>00</v>
      </c>
      <c r="O271" s="96" t="str">
        <f>'Приложение 10'!O477</f>
        <v>70030</v>
      </c>
      <c r="P271" s="10">
        <f>'Приложение 10'!P477</f>
        <v>610</v>
      </c>
      <c r="Q271" s="214">
        <f>'Приложение 10'!Q477</f>
        <v>1125.3</v>
      </c>
      <c r="R271" s="214">
        <f>'Приложение 10'!Q477</f>
        <v>1125.3</v>
      </c>
      <c r="S271" s="216">
        <f>'Приложение 10'!R477</f>
        <v>1370.7</v>
      </c>
    </row>
    <row r="272" spans="1:19" ht="21" customHeight="1">
      <c r="A272" s="99"/>
      <c r="B272" s="98"/>
      <c r="C272" s="97"/>
      <c r="D272" s="107"/>
      <c r="E272" s="104"/>
      <c r="F272" s="104"/>
      <c r="G272" s="89"/>
      <c r="H272" s="149" t="s">
        <v>331</v>
      </c>
      <c r="I272" s="152"/>
      <c r="J272" s="148">
        <v>7</v>
      </c>
      <c r="K272" s="148">
        <v>7</v>
      </c>
      <c r="L272" s="139"/>
      <c r="M272" s="141"/>
      <c r="N272" s="141"/>
      <c r="O272" s="141"/>
      <c r="P272" s="138"/>
      <c r="Q272" s="213" t="e">
        <f>Q273</f>
        <v>#REF!</v>
      </c>
      <c r="R272" s="213">
        <f>R273</f>
        <v>550</v>
      </c>
      <c r="S272" s="217">
        <f>S273</f>
        <v>550</v>
      </c>
    </row>
    <row r="273" spans="1:19" ht="18.75" customHeight="1">
      <c r="A273" s="99"/>
      <c r="B273" s="98"/>
      <c r="C273" s="97"/>
      <c r="D273" s="94"/>
      <c r="E273" s="94"/>
      <c r="F273" s="94"/>
      <c r="G273" s="89"/>
      <c r="H273" s="5" t="s">
        <v>662</v>
      </c>
      <c r="I273" s="6">
        <v>27</v>
      </c>
      <c r="J273" s="7">
        <v>7</v>
      </c>
      <c r="K273" s="7">
        <v>7</v>
      </c>
      <c r="L273" s="95" t="s">
        <v>661</v>
      </c>
      <c r="M273" s="96" t="s">
        <v>556</v>
      </c>
      <c r="N273" s="96" t="s">
        <v>576</v>
      </c>
      <c r="O273" s="96" t="s">
        <v>613</v>
      </c>
      <c r="P273" s="10"/>
      <c r="Q273" s="214" t="e">
        <f>Q274+Q277+Q280</f>
        <v>#REF!</v>
      </c>
      <c r="R273" s="214">
        <f>R274+R277+R280</f>
        <v>550</v>
      </c>
      <c r="S273" s="214">
        <f>S274+S277+S280</f>
        <v>550</v>
      </c>
    </row>
    <row r="274" spans="1:19" ht="38.25" customHeight="1">
      <c r="A274" s="99"/>
      <c r="B274" s="98"/>
      <c r="C274" s="97"/>
      <c r="D274" s="368">
        <v>4270000</v>
      </c>
      <c r="E274" s="368"/>
      <c r="F274" s="368"/>
      <c r="G274" s="89">
        <v>622</v>
      </c>
      <c r="H274" s="18" t="s">
        <v>664</v>
      </c>
      <c r="I274" s="6">
        <v>27</v>
      </c>
      <c r="J274" s="7">
        <v>7</v>
      </c>
      <c r="K274" s="7">
        <v>7</v>
      </c>
      <c r="L274" s="95" t="s">
        <v>661</v>
      </c>
      <c r="M274" s="96" t="s">
        <v>556</v>
      </c>
      <c r="N274" s="96" t="s">
        <v>557</v>
      </c>
      <c r="O274" s="96" t="s">
        <v>613</v>
      </c>
      <c r="P274" s="10"/>
      <c r="Q274" s="214" t="e">
        <f>Q275+#REF!</f>
        <v>#REF!</v>
      </c>
      <c r="R274" s="214">
        <f>R275</f>
        <v>200</v>
      </c>
      <c r="S274" s="214">
        <f>S275</f>
        <v>200</v>
      </c>
    </row>
    <row r="275" spans="1:19" ht="28.5" customHeight="1">
      <c r="A275" s="99"/>
      <c r="B275" s="98"/>
      <c r="C275" s="97"/>
      <c r="D275" s="101"/>
      <c r="E275" s="115"/>
      <c r="F275" s="115"/>
      <c r="G275" s="89"/>
      <c r="H275" s="18" t="s">
        <v>255</v>
      </c>
      <c r="I275" s="6">
        <v>27</v>
      </c>
      <c r="J275" s="7">
        <v>7</v>
      </c>
      <c r="K275" s="7">
        <v>7</v>
      </c>
      <c r="L275" s="95" t="s">
        <v>661</v>
      </c>
      <c r="M275" s="96" t="s">
        <v>556</v>
      </c>
      <c r="N275" s="96" t="s">
        <v>557</v>
      </c>
      <c r="O275" s="96" t="s">
        <v>256</v>
      </c>
      <c r="P275" s="6"/>
      <c r="Q275" s="216">
        <f>Q276</f>
        <v>200</v>
      </c>
      <c r="R275" s="216">
        <f>R276</f>
        <v>200</v>
      </c>
      <c r="S275" s="216">
        <f>S276</f>
        <v>200</v>
      </c>
    </row>
    <row r="276" spans="1:19" ht="21.75" customHeight="1">
      <c r="A276" s="99"/>
      <c r="B276" s="98"/>
      <c r="C276" s="97"/>
      <c r="D276" s="101"/>
      <c r="E276" s="115"/>
      <c r="F276" s="115"/>
      <c r="G276" s="89"/>
      <c r="H276" s="257" t="s">
        <v>714</v>
      </c>
      <c r="I276" s="6">
        <v>27</v>
      </c>
      <c r="J276" s="7">
        <v>7</v>
      </c>
      <c r="K276" s="7">
        <v>7</v>
      </c>
      <c r="L276" s="95" t="s">
        <v>661</v>
      </c>
      <c r="M276" s="96" t="s">
        <v>556</v>
      </c>
      <c r="N276" s="96" t="s">
        <v>557</v>
      </c>
      <c r="O276" s="96" t="s">
        <v>256</v>
      </c>
      <c r="P276" s="6">
        <v>610</v>
      </c>
      <c r="Q276" s="216">
        <v>200</v>
      </c>
      <c r="R276" s="216">
        <v>200</v>
      </c>
      <c r="S276" s="216">
        <v>200</v>
      </c>
    </row>
    <row r="277" spans="1:19" ht="33.75" customHeight="1">
      <c r="A277" s="99"/>
      <c r="B277" s="98"/>
      <c r="C277" s="103"/>
      <c r="D277" s="101"/>
      <c r="E277" s="113"/>
      <c r="F277" s="113"/>
      <c r="G277" s="105"/>
      <c r="H277" s="129" t="s">
        <v>665</v>
      </c>
      <c r="I277" s="6">
        <v>27</v>
      </c>
      <c r="J277" s="7">
        <v>7</v>
      </c>
      <c r="K277" s="7">
        <v>7</v>
      </c>
      <c r="L277" s="95" t="s">
        <v>661</v>
      </c>
      <c r="M277" s="96" t="s">
        <v>556</v>
      </c>
      <c r="N277" s="96" t="s">
        <v>585</v>
      </c>
      <c r="O277" s="96" t="s">
        <v>613</v>
      </c>
      <c r="P277" s="6"/>
      <c r="Q277" s="216">
        <f aca="true" t="shared" si="31" ref="Q277:S278">Q278</f>
        <v>100</v>
      </c>
      <c r="R277" s="216">
        <f t="shared" si="31"/>
        <v>200</v>
      </c>
      <c r="S277" s="216">
        <f t="shared" si="31"/>
        <v>200</v>
      </c>
    </row>
    <row r="278" spans="1:19" ht="27" customHeight="1">
      <c r="A278" s="99"/>
      <c r="B278" s="98"/>
      <c r="C278" s="103"/>
      <c r="D278" s="101"/>
      <c r="E278" s="113"/>
      <c r="F278" s="113"/>
      <c r="G278" s="105"/>
      <c r="H278" s="129" t="s">
        <v>255</v>
      </c>
      <c r="I278" s="6">
        <v>27</v>
      </c>
      <c r="J278" s="7">
        <v>7</v>
      </c>
      <c r="K278" s="7">
        <v>7</v>
      </c>
      <c r="L278" s="95" t="s">
        <v>661</v>
      </c>
      <c r="M278" s="96" t="s">
        <v>556</v>
      </c>
      <c r="N278" s="96" t="s">
        <v>585</v>
      </c>
      <c r="O278" s="96" t="s">
        <v>256</v>
      </c>
      <c r="P278" s="6"/>
      <c r="Q278" s="216">
        <f t="shared" si="31"/>
        <v>100</v>
      </c>
      <c r="R278" s="216">
        <f t="shared" si="31"/>
        <v>200</v>
      </c>
      <c r="S278" s="216">
        <f t="shared" si="31"/>
        <v>200</v>
      </c>
    </row>
    <row r="279" spans="1:19" ht="27" customHeight="1">
      <c r="A279" s="99"/>
      <c r="B279" s="98"/>
      <c r="C279" s="103"/>
      <c r="D279" s="101"/>
      <c r="E279" s="113"/>
      <c r="F279" s="113"/>
      <c r="G279" s="105"/>
      <c r="H279" s="257" t="s">
        <v>714</v>
      </c>
      <c r="I279" s="6">
        <v>27</v>
      </c>
      <c r="J279" s="7">
        <v>7</v>
      </c>
      <c r="K279" s="7">
        <v>7</v>
      </c>
      <c r="L279" s="95" t="s">
        <v>661</v>
      </c>
      <c r="M279" s="96" t="s">
        <v>556</v>
      </c>
      <c r="N279" s="96" t="s">
        <v>585</v>
      </c>
      <c r="O279" s="96" t="s">
        <v>256</v>
      </c>
      <c r="P279" s="6">
        <v>610</v>
      </c>
      <c r="Q279" s="216">
        <v>100</v>
      </c>
      <c r="R279" s="216">
        <v>200</v>
      </c>
      <c r="S279" s="216">
        <v>200</v>
      </c>
    </row>
    <row r="280" spans="1:19" ht="33" customHeight="1">
      <c r="A280" s="99"/>
      <c r="B280" s="98"/>
      <c r="C280" s="103"/>
      <c r="D280" s="101"/>
      <c r="E280" s="113"/>
      <c r="F280" s="113"/>
      <c r="G280" s="105"/>
      <c r="H280" s="129" t="s">
        <v>666</v>
      </c>
      <c r="I280" s="6">
        <v>27</v>
      </c>
      <c r="J280" s="7">
        <v>7</v>
      </c>
      <c r="K280" s="7">
        <v>7</v>
      </c>
      <c r="L280" s="95" t="s">
        <v>661</v>
      </c>
      <c r="M280" s="96" t="s">
        <v>556</v>
      </c>
      <c r="N280" s="96" t="s">
        <v>586</v>
      </c>
      <c r="O280" s="96" t="s">
        <v>613</v>
      </c>
      <c r="P280" s="6"/>
      <c r="Q280" s="216">
        <f aca="true" t="shared" si="32" ref="Q280:S281">Q281</f>
        <v>100</v>
      </c>
      <c r="R280" s="216">
        <f t="shared" si="32"/>
        <v>150</v>
      </c>
      <c r="S280" s="216">
        <f t="shared" si="32"/>
        <v>150</v>
      </c>
    </row>
    <row r="281" spans="1:19" ht="27" customHeight="1">
      <c r="A281" s="99"/>
      <c r="B281" s="98"/>
      <c r="C281" s="103"/>
      <c r="D281" s="101"/>
      <c r="E281" s="113"/>
      <c r="F281" s="113"/>
      <c r="G281" s="105"/>
      <c r="H281" s="129" t="s">
        <v>255</v>
      </c>
      <c r="I281" s="6">
        <v>27</v>
      </c>
      <c r="J281" s="7">
        <v>7</v>
      </c>
      <c r="K281" s="7">
        <v>7</v>
      </c>
      <c r="L281" s="95" t="s">
        <v>661</v>
      </c>
      <c r="M281" s="96" t="s">
        <v>556</v>
      </c>
      <c r="N281" s="96" t="s">
        <v>586</v>
      </c>
      <c r="O281" s="96" t="s">
        <v>256</v>
      </c>
      <c r="P281" s="6"/>
      <c r="Q281" s="216">
        <f t="shared" si="32"/>
        <v>100</v>
      </c>
      <c r="R281" s="216">
        <f t="shared" si="32"/>
        <v>150</v>
      </c>
      <c r="S281" s="216">
        <f t="shared" si="32"/>
        <v>150</v>
      </c>
    </row>
    <row r="282" spans="1:19" ht="27" customHeight="1">
      <c r="A282" s="99"/>
      <c r="B282" s="98"/>
      <c r="C282" s="103"/>
      <c r="D282" s="101"/>
      <c r="E282" s="113"/>
      <c r="F282" s="113"/>
      <c r="G282" s="105"/>
      <c r="H282" s="257" t="s">
        <v>714</v>
      </c>
      <c r="I282" s="6">
        <v>27</v>
      </c>
      <c r="J282" s="7">
        <v>7</v>
      </c>
      <c r="K282" s="7">
        <v>7</v>
      </c>
      <c r="L282" s="95" t="s">
        <v>661</v>
      </c>
      <c r="M282" s="96" t="s">
        <v>556</v>
      </c>
      <c r="N282" s="96" t="s">
        <v>586</v>
      </c>
      <c r="O282" s="96" t="s">
        <v>256</v>
      </c>
      <c r="P282" s="6">
        <v>610</v>
      </c>
      <c r="Q282" s="216">
        <v>100</v>
      </c>
      <c r="R282" s="216">
        <v>150</v>
      </c>
      <c r="S282" s="216">
        <v>150</v>
      </c>
    </row>
    <row r="283" spans="1:19" s="179" customFormat="1" ht="24.75" customHeight="1">
      <c r="A283" s="142"/>
      <c r="B283" s="143"/>
      <c r="C283" s="153"/>
      <c r="D283" s="150"/>
      <c r="E283" s="154"/>
      <c r="F283" s="154"/>
      <c r="G283" s="136"/>
      <c r="H283" s="149" t="s">
        <v>536</v>
      </c>
      <c r="I283" s="152">
        <v>663</v>
      </c>
      <c r="J283" s="148">
        <v>7</v>
      </c>
      <c r="K283" s="148">
        <v>9</v>
      </c>
      <c r="L283" s="140"/>
      <c r="M283" s="141"/>
      <c r="N283" s="141"/>
      <c r="O283" s="141"/>
      <c r="P283" s="146"/>
      <c r="Q283" s="217" t="e">
        <f>#REF!+Q284+Q295</f>
        <v>#REF!</v>
      </c>
      <c r="R283" s="217">
        <f>R284+R295</f>
        <v>19980.300000000003</v>
      </c>
      <c r="S283" s="217">
        <f>S284+S295</f>
        <v>31111.500000000004</v>
      </c>
    </row>
    <row r="284" spans="1:19" ht="39.75" customHeight="1">
      <c r="A284" s="99"/>
      <c r="B284" s="98"/>
      <c r="C284" s="103"/>
      <c r="D284" s="101"/>
      <c r="E284" s="104"/>
      <c r="F284" s="104"/>
      <c r="G284" s="89"/>
      <c r="H284" s="5" t="s">
        <v>680</v>
      </c>
      <c r="I284" s="10">
        <v>663</v>
      </c>
      <c r="J284" s="7">
        <v>7</v>
      </c>
      <c r="K284" s="7">
        <v>9</v>
      </c>
      <c r="L284" s="95" t="s">
        <v>681</v>
      </c>
      <c r="M284" s="96" t="s">
        <v>556</v>
      </c>
      <c r="N284" s="96" t="s">
        <v>576</v>
      </c>
      <c r="O284" s="96" t="s">
        <v>613</v>
      </c>
      <c r="P284" s="10"/>
      <c r="Q284" s="214">
        <f>Q285+Q288+Q292</f>
        <v>162</v>
      </c>
      <c r="R284" s="214">
        <f>R285+R288+R292</f>
        <v>162</v>
      </c>
      <c r="S284" s="214">
        <f>S285+S288+S292</f>
        <v>162</v>
      </c>
    </row>
    <row r="285" spans="1:19" ht="33.75" customHeight="1">
      <c r="A285" s="99"/>
      <c r="B285" s="98"/>
      <c r="C285" s="103"/>
      <c r="D285" s="101"/>
      <c r="E285" s="104"/>
      <c r="F285" s="104"/>
      <c r="G285" s="89"/>
      <c r="H285" s="5" t="s">
        <v>321</v>
      </c>
      <c r="I285" s="10">
        <v>663</v>
      </c>
      <c r="J285" s="7">
        <v>7</v>
      </c>
      <c r="K285" s="7">
        <v>9</v>
      </c>
      <c r="L285" s="95" t="s">
        <v>681</v>
      </c>
      <c r="M285" s="96" t="s">
        <v>556</v>
      </c>
      <c r="N285" s="96" t="s">
        <v>557</v>
      </c>
      <c r="O285" s="96" t="s">
        <v>613</v>
      </c>
      <c r="P285" s="10"/>
      <c r="Q285" s="214">
        <f aca="true" t="shared" si="33" ref="Q285:S286">Q286</f>
        <v>10</v>
      </c>
      <c r="R285" s="214">
        <f t="shared" si="33"/>
        <v>10</v>
      </c>
      <c r="S285" s="214">
        <f t="shared" si="33"/>
        <v>10</v>
      </c>
    </row>
    <row r="286" spans="1:19" ht="42" customHeight="1">
      <c r="A286" s="99"/>
      <c r="B286" s="98"/>
      <c r="C286" s="103"/>
      <c r="D286" s="101"/>
      <c r="E286" s="104"/>
      <c r="F286" s="104"/>
      <c r="G286" s="89"/>
      <c r="H286" s="5" t="s">
        <v>320</v>
      </c>
      <c r="I286" s="10">
        <v>663</v>
      </c>
      <c r="J286" s="7">
        <v>7</v>
      </c>
      <c r="K286" s="7">
        <v>9</v>
      </c>
      <c r="L286" s="95" t="s">
        <v>681</v>
      </c>
      <c r="M286" s="96" t="s">
        <v>556</v>
      </c>
      <c r="N286" s="96" t="s">
        <v>557</v>
      </c>
      <c r="O286" s="96" t="s">
        <v>293</v>
      </c>
      <c r="P286" s="10"/>
      <c r="Q286" s="214">
        <f t="shared" si="33"/>
        <v>10</v>
      </c>
      <c r="R286" s="214">
        <f t="shared" si="33"/>
        <v>10</v>
      </c>
      <c r="S286" s="214">
        <f t="shared" si="33"/>
        <v>10</v>
      </c>
    </row>
    <row r="287" spans="1:19" ht="28.5" customHeight="1">
      <c r="A287" s="99"/>
      <c r="B287" s="98"/>
      <c r="C287" s="103"/>
      <c r="D287" s="101"/>
      <c r="E287" s="104"/>
      <c r="F287" s="104"/>
      <c r="G287" s="89"/>
      <c r="H287" s="5" t="s">
        <v>712</v>
      </c>
      <c r="I287" s="10">
        <v>663</v>
      </c>
      <c r="J287" s="7">
        <v>7</v>
      </c>
      <c r="K287" s="7">
        <v>9</v>
      </c>
      <c r="L287" s="95" t="s">
        <v>681</v>
      </c>
      <c r="M287" s="96" t="s">
        <v>556</v>
      </c>
      <c r="N287" s="96" t="s">
        <v>557</v>
      </c>
      <c r="O287" s="96" t="s">
        <v>293</v>
      </c>
      <c r="P287" s="10">
        <v>240</v>
      </c>
      <c r="Q287" s="214">
        <v>10</v>
      </c>
      <c r="R287" s="214">
        <v>10</v>
      </c>
      <c r="S287" s="214">
        <v>10</v>
      </c>
    </row>
    <row r="288" spans="1:19" ht="37.5" customHeight="1">
      <c r="A288" s="99"/>
      <c r="B288" s="98"/>
      <c r="C288" s="103"/>
      <c r="D288" s="101"/>
      <c r="E288" s="104"/>
      <c r="F288" s="104"/>
      <c r="G288" s="89"/>
      <c r="H288" s="5" t="s">
        <v>679</v>
      </c>
      <c r="I288" s="10">
        <v>663</v>
      </c>
      <c r="J288" s="7">
        <v>7</v>
      </c>
      <c r="K288" s="7">
        <v>9</v>
      </c>
      <c r="L288" s="95" t="s">
        <v>681</v>
      </c>
      <c r="M288" s="96" t="s">
        <v>556</v>
      </c>
      <c r="N288" s="96" t="s">
        <v>581</v>
      </c>
      <c r="O288" s="96" t="s">
        <v>613</v>
      </c>
      <c r="P288" s="10"/>
      <c r="Q288" s="214">
        <f>Q289</f>
        <v>77</v>
      </c>
      <c r="R288" s="214">
        <f>R289</f>
        <v>77</v>
      </c>
      <c r="S288" s="214">
        <f>S289</f>
        <v>77</v>
      </c>
    </row>
    <row r="289" spans="1:19" ht="37.5" customHeight="1">
      <c r="A289" s="99"/>
      <c r="B289" s="98"/>
      <c r="C289" s="103"/>
      <c r="D289" s="101"/>
      <c r="E289" s="104"/>
      <c r="F289" s="104"/>
      <c r="G289" s="89"/>
      <c r="H289" s="5" t="s">
        <v>320</v>
      </c>
      <c r="I289" s="10">
        <v>663</v>
      </c>
      <c r="J289" s="7">
        <v>7</v>
      </c>
      <c r="K289" s="7">
        <v>9</v>
      </c>
      <c r="L289" s="95" t="s">
        <v>681</v>
      </c>
      <c r="M289" s="96" t="s">
        <v>556</v>
      </c>
      <c r="N289" s="96" t="s">
        <v>581</v>
      </c>
      <c r="O289" s="96" t="s">
        <v>293</v>
      </c>
      <c r="P289" s="10"/>
      <c r="Q289" s="214">
        <f>SUM(Q290:Q291)</f>
        <v>77</v>
      </c>
      <c r="R289" s="214">
        <f>SUM(R290:R291)</f>
        <v>77</v>
      </c>
      <c r="S289" s="214">
        <f>SUM(S290:S291)</f>
        <v>77</v>
      </c>
    </row>
    <row r="290" spans="1:19" ht="30" customHeight="1">
      <c r="A290" s="99"/>
      <c r="B290" s="98"/>
      <c r="C290" s="103"/>
      <c r="D290" s="101"/>
      <c r="E290" s="104"/>
      <c r="F290" s="104"/>
      <c r="G290" s="89"/>
      <c r="H290" s="5" t="s">
        <v>712</v>
      </c>
      <c r="I290" s="10">
        <v>663</v>
      </c>
      <c r="J290" s="7">
        <v>7</v>
      </c>
      <c r="K290" s="7">
        <v>9</v>
      </c>
      <c r="L290" s="95" t="s">
        <v>681</v>
      </c>
      <c r="M290" s="96" t="s">
        <v>556</v>
      </c>
      <c r="N290" s="96" t="s">
        <v>581</v>
      </c>
      <c r="O290" s="96" t="s">
        <v>293</v>
      </c>
      <c r="P290" s="10">
        <v>240</v>
      </c>
      <c r="Q290" s="214">
        <v>7</v>
      </c>
      <c r="R290" s="214">
        <v>7</v>
      </c>
      <c r="S290" s="214">
        <v>7</v>
      </c>
    </row>
    <row r="291" spans="1:19" ht="27" customHeight="1">
      <c r="A291" s="99"/>
      <c r="B291" s="98"/>
      <c r="C291" s="103"/>
      <c r="D291" s="101"/>
      <c r="E291" s="104"/>
      <c r="F291" s="104"/>
      <c r="G291" s="89"/>
      <c r="H291" s="5" t="s">
        <v>717</v>
      </c>
      <c r="I291" s="10">
        <v>663</v>
      </c>
      <c r="J291" s="7">
        <v>7</v>
      </c>
      <c r="K291" s="7">
        <v>9</v>
      </c>
      <c r="L291" s="95" t="s">
        <v>681</v>
      </c>
      <c r="M291" s="96" t="s">
        <v>556</v>
      </c>
      <c r="N291" s="96" t="s">
        <v>581</v>
      </c>
      <c r="O291" s="96" t="s">
        <v>293</v>
      </c>
      <c r="P291" s="10">
        <v>320</v>
      </c>
      <c r="Q291" s="214">
        <v>70</v>
      </c>
      <c r="R291" s="214">
        <v>70</v>
      </c>
      <c r="S291" s="214">
        <v>70</v>
      </c>
    </row>
    <row r="292" spans="1:19" ht="30" customHeight="1">
      <c r="A292" s="99"/>
      <c r="B292" s="98"/>
      <c r="C292" s="103"/>
      <c r="D292" s="101"/>
      <c r="E292" s="104"/>
      <c r="F292" s="104"/>
      <c r="G292" s="89"/>
      <c r="H292" s="5" t="s">
        <v>246</v>
      </c>
      <c r="I292" s="10">
        <v>663</v>
      </c>
      <c r="J292" s="7">
        <v>7</v>
      </c>
      <c r="K292" s="7">
        <v>9</v>
      </c>
      <c r="L292" s="95" t="s">
        <v>681</v>
      </c>
      <c r="M292" s="96" t="s">
        <v>556</v>
      </c>
      <c r="N292" s="96" t="s">
        <v>559</v>
      </c>
      <c r="O292" s="96" t="s">
        <v>613</v>
      </c>
      <c r="P292" s="10"/>
      <c r="Q292" s="214">
        <f aca="true" t="shared" si="34" ref="Q292:S293">Q293</f>
        <v>75</v>
      </c>
      <c r="R292" s="214">
        <f t="shared" si="34"/>
        <v>75</v>
      </c>
      <c r="S292" s="214">
        <f t="shared" si="34"/>
        <v>75</v>
      </c>
    </row>
    <row r="293" spans="1:19" ht="33" customHeight="1">
      <c r="A293" s="99"/>
      <c r="B293" s="98"/>
      <c r="C293" s="103"/>
      <c r="D293" s="101"/>
      <c r="E293" s="104"/>
      <c r="F293" s="104"/>
      <c r="G293" s="89"/>
      <c r="H293" s="5" t="s">
        <v>320</v>
      </c>
      <c r="I293" s="10">
        <v>663</v>
      </c>
      <c r="J293" s="7">
        <v>7</v>
      </c>
      <c r="K293" s="7">
        <v>9</v>
      </c>
      <c r="L293" s="95" t="s">
        <v>681</v>
      </c>
      <c r="M293" s="96" t="s">
        <v>556</v>
      </c>
      <c r="N293" s="96" t="s">
        <v>559</v>
      </c>
      <c r="O293" s="96" t="s">
        <v>293</v>
      </c>
      <c r="P293" s="10"/>
      <c r="Q293" s="214">
        <f t="shared" si="34"/>
        <v>75</v>
      </c>
      <c r="R293" s="214">
        <f t="shared" si="34"/>
        <v>75</v>
      </c>
      <c r="S293" s="214">
        <f t="shared" si="34"/>
        <v>75</v>
      </c>
    </row>
    <row r="294" spans="1:19" ht="30" customHeight="1">
      <c r="A294" s="99"/>
      <c r="B294" s="98"/>
      <c r="C294" s="103"/>
      <c r="D294" s="101"/>
      <c r="E294" s="104"/>
      <c r="F294" s="104"/>
      <c r="G294" s="89"/>
      <c r="H294" s="5" t="s">
        <v>717</v>
      </c>
      <c r="I294" s="10">
        <v>663</v>
      </c>
      <c r="J294" s="7">
        <v>7</v>
      </c>
      <c r="K294" s="7">
        <v>9</v>
      </c>
      <c r="L294" s="95" t="s">
        <v>681</v>
      </c>
      <c r="M294" s="96" t="s">
        <v>556</v>
      </c>
      <c r="N294" s="96" t="s">
        <v>559</v>
      </c>
      <c r="O294" s="96" t="s">
        <v>293</v>
      </c>
      <c r="P294" s="10">
        <v>320</v>
      </c>
      <c r="Q294" s="214">
        <v>75</v>
      </c>
      <c r="R294" s="214">
        <v>75</v>
      </c>
      <c r="S294" s="214">
        <v>75</v>
      </c>
    </row>
    <row r="295" spans="1:19" ht="23.25" customHeight="1">
      <c r="A295" s="99"/>
      <c r="B295" s="98"/>
      <c r="C295" s="103"/>
      <c r="D295" s="101"/>
      <c r="E295" s="104"/>
      <c r="F295" s="104"/>
      <c r="G295" s="89"/>
      <c r="H295" s="22" t="s">
        <v>292</v>
      </c>
      <c r="I295" s="10">
        <v>663</v>
      </c>
      <c r="J295" s="7">
        <v>7</v>
      </c>
      <c r="K295" s="7">
        <v>9</v>
      </c>
      <c r="L295" s="95" t="s">
        <v>573</v>
      </c>
      <c r="M295" s="96" t="s">
        <v>556</v>
      </c>
      <c r="N295" s="96" t="s">
        <v>576</v>
      </c>
      <c r="O295" s="96" t="s">
        <v>613</v>
      </c>
      <c r="P295" s="10"/>
      <c r="Q295" s="214">
        <f>Q296+Q299+Q302+Q306+Q309</f>
        <v>0</v>
      </c>
      <c r="R295" s="214">
        <f>R296+R299+R302+R305+R308</f>
        <v>19818.300000000003</v>
      </c>
      <c r="S295" s="214">
        <f>S296+S299+S302+S305+S308</f>
        <v>30949.500000000004</v>
      </c>
    </row>
    <row r="296" spans="1:19" ht="24" customHeight="1">
      <c r="A296" s="99"/>
      <c r="B296" s="98"/>
      <c r="C296" s="103"/>
      <c r="D296" s="101"/>
      <c r="E296" s="104"/>
      <c r="F296" s="104"/>
      <c r="G296" s="89"/>
      <c r="H296" s="22" t="s">
        <v>526</v>
      </c>
      <c r="I296" s="10">
        <v>663</v>
      </c>
      <c r="J296" s="7">
        <v>7</v>
      </c>
      <c r="K296" s="7">
        <v>9</v>
      </c>
      <c r="L296" s="95" t="s">
        <v>573</v>
      </c>
      <c r="M296" s="96" t="s">
        <v>556</v>
      </c>
      <c r="N296" s="96" t="s">
        <v>576</v>
      </c>
      <c r="O296" s="96" t="s">
        <v>641</v>
      </c>
      <c r="P296" s="10"/>
      <c r="Q296" s="214">
        <f>SUM(Q297:Q298)</f>
        <v>0</v>
      </c>
      <c r="R296" s="214">
        <f>SUM(R297:R298)</f>
        <v>7079.1</v>
      </c>
      <c r="S296" s="214">
        <f>SUM(S297:S298)</f>
        <v>7079.1</v>
      </c>
    </row>
    <row r="297" spans="1:19" ht="24.75" customHeight="1">
      <c r="A297" s="99"/>
      <c r="B297" s="98"/>
      <c r="C297" s="103"/>
      <c r="D297" s="101"/>
      <c r="E297" s="104"/>
      <c r="F297" s="104"/>
      <c r="G297" s="89"/>
      <c r="H297" s="22" t="s">
        <v>526</v>
      </c>
      <c r="I297" s="10">
        <v>663</v>
      </c>
      <c r="J297" s="7">
        <v>7</v>
      </c>
      <c r="K297" s="7">
        <v>9</v>
      </c>
      <c r="L297" s="95" t="s">
        <v>573</v>
      </c>
      <c r="M297" s="96" t="s">
        <v>556</v>
      </c>
      <c r="N297" s="96" t="s">
        <v>576</v>
      </c>
      <c r="O297" s="96" t="s">
        <v>641</v>
      </c>
      <c r="P297" s="10">
        <v>120</v>
      </c>
      <c r="Q297" s="214">
        <v>0</v>
      </c>
      <c r="R297" s="214">
        <f>'Приложение 10'!Q523</f>
        <v>4205.5</v>
      </c>
      <c r="S297" s="214">
        <f>'Приложение 10'!R523</f>
        <v>4205.5</v>
      </c>
    </row>
    <row r="298" spans="1:19" ht="24.75" customHeight="1">
      <c r="A298" s="99"/>
      <c r="B298" s="98"/>
      <c r="C298" s="103"/>
      <c r="D298" s="101"/>
      <c r="E298" s="104"/>
      <c r="F298" s="104"/>
      <c r="G298" s="89"/>
      <c r="H298" s="22" t="s">
        <v>712</v>
      </c>
      <c r="I298" s="10">
        <v>663</v>
      </c>
      <c r="J298" s="7">
        <v>7</v>
      </c>
      <c r="K298" s="7">
        <v>9</v>
      </c>
      <c r="L298" s="95" t="s">
        <v>573</v>
      </c>
      <c r="M298" s="96" t="s">
        <v>556</v>
      </c>
      <c r="N298" s="96" t="s">
        <v>576</v>
      </c>
      <c r="O298" s="96" t="s">
        <v>641</v>
      </c>
      <c r="P298" s="10">
        <v>240</v>
      </c>
      <c r="Q298" s="214">
        <v>0</v>
      </c>
      <c r="R298" s="214">
        <f>'Приложение 10'!Q524</f>
        <v>2873.6</v>
      </c>
      <c r="S298" s="214">
        <f>'Приложение 10'!R524</f>
        <v>2873.6</v>
      </c>
    </row>
    <row r="299" spans="1:19" ht="33" customHeight="1" hidden="1">
      <c r="A299" s="99"/>
      <c r="B299" s="98"/>
      <c r="C299" s="103"/>
      <c r="D299" s="101"/>
      <c r="E299" s="104"/>
      <c r="F299" s="104"/>
      <c r="G299" s="89"/>
      <c r="H299" s="22" t="s">
        <v>494</v>
      </c>
      <c r="I299" s="10">
        <v>663</v>
      </c>
      <c r="J299" s="7">
        <v>7</v>
      </c>
      <c r="K299" s="7">
        <v>9</v>
      </c>
      <c r="L299" s="95" t="s">
        <v>573</v>
      </c>
      <c r="M299" s="96" t="s">
        <v>556</v>
      </c>
      <c r="N299" s="96" t="s">
        <v>576</v>
      </c>
      <c r="O299" s="96" t="s">
        <v>293</v>
      </c>
      <c r="P299" s="10"/>
      <c r="Q299" s="214">
        <f>SUM(Q300:Q301)</f>
        <v>0</v>
      </c>
      <c r="R299" s="214">
        <f>SUM(R300:R301)</f>
        <v>0</v>
      </c>
      <c r="S299" s="214">
        <f>SUM(S300:S301)</f>
        <v>0</v>
      </c>
    </row>
    <row r="300" spans="1:19" ht="33" customHeight="1" hidden="1">
      <c r="A300" s="99"/>
      <c r="B300" s="98"/>
      <c r="C300" s="103"/>
      <c r="D300" s="101"/>
      <c r="E300" s="104"/>
      <c r="F300" s="104"/>
      <c r="G300" s="89"/>
      <c r="H300" s="22" t="s">
        <v>715</v>
      </c>
      <c r="I300" s="10">
        <v>663</v>
      </c>
      <c r="J300" s="7">
        <v>7</v>
      </c>
      <c r="K300" s="7">
        <v>9</v>
      </c>
      <c r="L300" s="95" t="s">
        <v>573</v>
      </c>
      <c r="M300" s="96" t="s">
        <v>556</v>
      </c>
      <c r="N300" s="96" t="s">
        <v>576</v>
      </c>
      <c r="O300" s="96" t="s">
        <v>293</v>
      </c>
      <c r="P300" s="10">
        <v>110</v>
      </c>
      <c r="Q300" s="214">
        <v>0</v>
      </c>
      <c r="R300" s="214">
        <v>0</v>
      </c>
      <c r="S300" s="214">
        <v>0</v>
      </c>
    </row>
    <row r="301" spans="1:19" ht="33" customHeight="1" hidden="1">
      <c r="A301" s="99"/>
      <c r="B301" s="98"/>
      <c r="C301" s="103"/>
      <c r="D301" s="101"/>
      <c r="E301" s="104"/>
      <c r="F301" s="104"/>
      <c r="G301" s="89"/>
      <c r="H301" s="22" t="s">
        <v>712</v>
      </c>
      <c r="I301" s="10">
        <v>663</v>
      </c>
      <c r="J301" s="7">
        <v>7</v>
      </c>
      <c r="K301" s="7">
        <v>9</v>
      </c>
      <c r="L301" s="95" t="s">
        <v>573</v>
      </c>
      <c r="M301" s="96" t="s">
        <v>556</v>
      </c>
      <c r="N301" s="96" t="s">
        <v>576</v>
      </c>
      <c r="O301" s="96" t="s">
        <v>293</v>
      </c>
      <c r="P301" s="10">
        <v>240</v>
      </c>
      <c r="Q301" s="214">
        <v>0</v>
      </c>
      <c r="R301" s="214">
        <v>0</v>
      </c>
      <c r="S301" s="214">
        <v>0</v>
      </c>
    </row>
    <row r="302" spans="1:19" ht="48" customHeight="1">
      <c r="A302" s="99"/>
      <c r="B302" s="98"/>
      <c r="C302" s="103"/>
      <c r="D302" s="101"/>
      <c r="E302" s="104"/>
      <c r="F302" s="104"/>
      <c r="G302" s="89"/>
      <c r="H302" s="22" t="s">
        <v>323</v>
      </c>
      <c r="I302" s="10">
        <v>663</v>
      </c>
      <c r="J302" s="7">
        <v>7</v>
      </c>
      <c r="K302" s="7">
        <v>9</v>
      </c>
      <c r="L302" s="95" t="s">
        <v>573</v>
      </c>
      <c r="M302" s="96" t="s">
        <v>556</v>
      </c>
      <c r="N302" s="96" t="s">
        <v>576</v>
      </c>
      <c r="O302" s="96" t="s">
        <v>322</v>
      </c>
      <c r="P302" s="10"/>
      <c r="Q302" s="214">
        <f>Q303+Q304</f>
        <v>0</v>
      </c>
      <c r="R302" s="214">
        <f>R303+R304</f>
        <v>9357.7</v>
      </c>
      <c r="S302" s="214">
        <f>S303+S304</f>
        <v>9357.7</v>
      </c>
    </row>
    <row r="303" spans="1:19" ht="33" customHeight="1">
      <c r="A303" s="99"/>
      <c r="B303" s="98"/>
      <c r="C303" s="103"/>
      <c r="D303" s="101"/>
      <c r="E303" s="104"/>
      <c r="F303" s="104"/>
      <c r="G303" s="89"/>
      <c r="H303" s="22" t="s">
        <v>717</v>
      </c>
      <c r="I303" s="10">
        <v>663</v>
      </c>
      <c r="J303" s="7">
        <v>7</v>
      </c>
      <c r="K303" s="7">
        <v>9</v>
      </c>
      <c r="L303" s="95" t="s">
        <v>573</v>
      </c>
      <c r="M303" s="96" t="s">
        <v>556</v>
      </c>
      <c r="N303" s="96" t="s">
        <v>576</v>
      </c>
      <c r="O303" s="96" t="s">
        <v>322</v>
      </c>
      <c r="P303" s="10">
        <v>320</v>
      </c>
      <c r="Q303" s="214">
        <v>0</v>
      </c>
      <c r="R303" s="214">
        <v>1956.6</v>
      </c>
      <c r="S303" s="214">
        <v>1956.6</v>
      </c>
    </row>
    <row r="304" spans="1:19" ht="33" customHeight="1">
      <c r="A304" s="99"/>
      <c r="B304" s="98"/>
      <c r="C304" s="103"/>
      <c r="D304" s="101"/>
      <c r="E304" s="104"/>
      <c r="F304" s="104"/>
      <c r="G304" s="89"/>
      <c r="H304" s="5" t="s">
        <v>714</v>
      </c>
      <c r="I304" s="10">
        <v>663</v>
      </c>
      <c r="J304" s="7">
        <v>7</v>
      </c>
      <c r="K304" s="7">
        <v>9</v>
      </c>
      <c r="L304" s="95" t="s">
        <v>573</v>
      </c>
      <c r="M304" s="96" t="s">
        <v>556</v>
      </c>
      <c r="N304" s="96" t="s">
        <v>576</v>
      </c>
      <c r="O304" s="96" t="s">
        <v>322</v>
      </c>
      <c r="P304" s="10">
        <v>610</v>
      </c>
      <c r="Q304" s="214"/>
      <c r="R304" s="214">
        <v>7401.1</v>
      </c>
      <c r="S304" s="214">
        <v>7401.1</v>
      </c>
    </row>
    <row r="305" spans="1:19" ht="33" customHeight="1">
      <c r="A305" s="99"/>
      <c r="B305" s="98"/>
      <c r="C305" s="103"/>
      <c r="D305" s="101"/>
      <c r="E305" s="104"/>
      <c r="F305" s="104"/>
      <c r="G305" s="89"/>
      <c r="H305" s="11" t="str">
        <f>'Приложение 10'!H531</f>
        <v>Основное мероприятие "Реализация регионального проекта "Современная школа"</v>
      </c>
      <c r="I305" s="10">
        <f>'Приложение 10'!I531</f>
        <v>663</v>
      </c>
      <c r="J305" s="7">
        <f>'Приложение 10'!J531</f>
        <v>7</v>
      </c>
      <c r="K305" s="7">
        <f>'Приложение 10'!K531</f>
        <v>9</v>
      </c>
      <c r="L305" s="95" t="str">
        <f>'Приложение 10'!L531</f>
        <v>91</v>
      </c>
      <c r="M305" s="96" t="str">
        <f>'Приложение 10'!M531</f>
        <v>0</v>
      </c>
      <c r="N305" s="96" t="str">
        <f>'Приложение 10'!N531</f>
        <v>E1</v>
      </c>
      <c r="O305" s="96" t="str">
        <f>'Приложение 10'!O531</f>
        <v>00000</v>
      </c>
      <c r="P305" s="10" t="s">
        <v>614</v>
      </c>
      <c r="Q305" s="214">
        <f>'Приложение 10'!Q531</f>
        <v>1127</v>
      </c>
      <c r="R305" s="214">
        <f>R306</f>
        <v>1127</v>
      </c>
      <c r="S305" s="214">
        <f>S306</f>
        <v>5627.9</v>
      </c>
    </row>
    <row r="306" spans="1:19" ht="51.75" customHeight="1">
      <c r="A306" s="99"/>
      <c r="B306" s="98"/>
      <c r="C306" s="103"/>
      <c r="D306" s="101"/>
      <c r="E306" s="104"/>
      <c r="F306" s="104"/>
      <c r="G306" s="89"/>
      <c r="H306" s="11" t="s">
        <v>684</v>
      </c>
      <c r="I306" s="10">
        <v>663</v>
      </c>
      <c r="J306" s="7">
        <v>7</v>
      </c>
      <c r="K306" s="7">
        <v>9</v>
      </c>
      <c r="L306" s="95" t="s">
        <v>573</v>
      </c>
      <c r="M306" s="96" t="s">
        <v>556</v>
      </c>
      <c r="N306" s="96" t="s">
        <v>682</v>
      </c>
      <c r="O306" s="96" t="s">
        <v>72</v>
      </c>
      <c r="P306" s="10"/>
      <c r="Q306" s="214">
        <f>Q307</f>
        <v>0</v>
      </c>
      <c r="R306" s="214">
        <f>R307</f>
        <v>1127</v>
      </c>
      <c r="S306" s="214">
        <f>S307</f>
        <v>5627.9</v>
      </c>
    </row>
    <row r="307" spans="1:19" ht="24.75" customHeight="1">
      <c r="A307" s="99"/>
      <c r="B307" s="98"/>
      <c r="C307" s="103"/>
      <c r="D307" s="101"/>
      <c r="E307" s="104"/>
      <c r="F307" s="104"/>
      <c r="G307" s="89"/>
      <c r="H307" s="5" t="s">
        <v>714</v>
      </c>
      <c r="I307" s="10">
        <v>663</v>
      </c>
      <c r="J307" s="7">
        <v>7</v>
      </c>
      <c r="K307" s="7">
        <v>9</v>
      </c>
      <c r="L307" s="95" t="s">
        <v>573</v>
      </c>
      <c r="M307" s="96" t="s">
        <v>556</v>
      </c>
      <c r="N307" s="96" t="s">
        <v>682</v>
      </c>
      <c r="O307" s="96" t="s">
        <v>72</v>
      </c>
      <c r="P307" s="10">
        <v>610</v>
      </c>
      <c r="Q307" s="214"/>
      <c r="R307" s="214">
        <v>1127</v>
      </c>
      <c r="S307" s="214">
        <v>5627.9</v>
      </c>
    </row>
    <row r="308" spans="1:19" ht="24.75" customHeight="1">
      <c r="A308" s="99"/>
      <c r="B308" s="98"/>
      <c r="C308" s="103"/>
      <c r="D308" s="101"/>
      <c r="E308" s="104"/>
      <c r="F308" s="104"/>
      <c r="G308" s="89"/>
      <c r="H308" s="11" t="s">
        <v>128</v>
      </c>
      <c r="I308" s="10"/>
      <c r="J308" s="7">
        <v>7</v>
      </c>
      <c r="K308" s="7">
        <v>9</v>
      </c>
      <c r="L308" s="95" t="s">
        <v>573</v>
      </c>
      <c r="M308" s="96" t="s">
        <v>556</v>
      </c>
      <c r="N308" s="96" t="s">
        <v>685</v>
      </c>
      <c r="O308" s="96" t="s">
        <v>613</v>
      </c>
      <c r="P308" s="10"/>
      <c r="Q308" s="214"/>
      <c r="R308" s="214">
        <f>R309</f>
        <v>2254.5</v>
      </c>
      <c r="S308" s="214">
        <f>S309</f>
        <v>8884.8</v>
      </c>
    </row>
    <row r="309" spans="1:19" ht="33" customHeight="1">
      <c r="A309" s="99"/>
      <c r="B309" s="98"/>
      <c r="C309" s="103"/>
      <c r="D309" s="101"/>
      <c r="E309" s="104"/>
      <c r="F309" s="104"/>
      <c r="G309" s="89"/>
      <c r="H309" s="11" t="s">
        <v>687</v>
      </c>
      <c r="I309" s="10">
        <v>663</v>
      </c>
      <c r="J309" s="7">
        <v>7</v>
      </c>
      <c r="K309" s="7">
        <v>9</v>
      </c>
      <c r="L309" s="95" t="s">
        <v>573</v>
      </c>
      <c r="M309" s="96" t="s">
        <v>556</v>
      </c>
      <c r="N309" s="96" t="s">
        <v>685</v>
      </c>
      <c r="O309" s="96" t="s">
        <v>71</v>
      </c>
      <c r="P309" s="10"/>
      <c r="Q309" s="214">
        <f>Q310</f>
        <v>0</v>
      </c>
      <c r="R309" s="214">
        <f>R310</f>
        <v>2254.5</v>
      </c>
      <c r="S309" s="214">
        <f>S310</f>
        <v>8884.8</v>
      </c>
    </row>
    <row r="310" spans="1:19" ht="27" customHeight="1">
      <c r="A310" s="99"/>
      <c r="B310" s="98"/>
      <c r="C310" s="103"/>
      <c r="D310" s="101"/>
      <c r="E310" s="104"/>
      <c r="F310" s="104"/>
      <c r="G310" s="89"/>
      <c r="H310" s="5" t="s">
        <v>714</v>
      </c>
      <c r="I310" s="10">
        <v>663</v>
      </c>
      <c r="J310" s="7">
        <v>7</v>
      </c>
      <c r="K310" s="7">
        <v>9</v>
      </c>
      <c r="L310" s="95" t="s">
        <v>573</v>
      </c>
      <c r="M310" s="96" t="s">
        <v>556</v>
      </c>
      <c r="N310" s="96" t="s">
        <v>685</v>
      </c>
      <c r="O310" s="96" t="s">
        <v>71</v>
      </c>
      <c r="P310" s="10">
        <v>610</v>
      </c>
      <c r="Q310" s="214"/>
      <c r="R310" s="214">
        <v>2254.5</v>
      </c>
      <c r="S310" s="214">
        <v>8884.8</v>
      </c>
    </row>
    <row r="311" spans="1:19" s="179" customFormat="1" ht="24.75" customHeight="1">
      <c r="A311" s="142"/>
      <c r="B311" s="143"/>
      <c r="C311" s="142"/>
      <c r="D311" s="385">
        <v>10000</v>
      </c>
      <c r="E311" s="386"/>
      <c r="F311" s="386"/>
      <c r="G311" s="136">
        <v>240</v>
      </c>
      <c r="H311" s="137" t="s">
        <v>535</v>
      </c>
      <c r="I311" s="138">
        <v>27</v>
      </c>
      <c r="J311" s="148">
        <v>8</v>
      </c>
      <c r="K311" s="148"/>
      <c r="L311" s="140"/>
      <c r="M311" s="141"/>
      <c r="N311" s="141"/>
      <c r="O311" s="141"/>
      <c r="P311" s="138"/>
      <c r="Q311" s="213" t="e">
        <f aca="true" t="shared" si="35" ref="Q311:S312">Q312</f>
        <v>#REF!</v>
      </c>
      <c r="R311" s="213">
        <f t="shared" si="35"/>
        <v>28683.5</v>
      </c>
      <c r="S311" s="213">
        <f t="shared" si="35"/>
        <v>26972.6</v>
      </c>
    </row>
    <row r="312" spans="1:19" s="179" customFormat="1" ht="25.5" customHeight="1">
      <c r="A312" s="142"/>
      <c r="B312" s="143"/>
      <c r="C312" s="153"/>
      <c r="D312" s="150"/>
      <c r="E312" s="384">
        <v>15200</v>
      </c>
      <c r="F312" s="384"/>
      <c r="G312" s="136">
        <v>240</v>
      </c>
      <c r="H312" s="137" t="s">
        <v>374</v>
      </c>
      <c r="I312" s="138">
        <v>27</v>
      </c>
      <c r="J312" s="148">
        <v>8</v>
      </c>
      <c r="K312" s="148">
        <v>1</v>
      </c>
      <c r="L312" s="140"/>
      <c r="M312" s="141"/>
      <c r="N312" s="141"/>
      <c r="O312" s="141"/>
      <c r="P312" s="138"/>
      <c r="Q312" s="213" t="e">
        <f t="shared" si="35"/>
        <v>#REF!</v>
      </c>
      <c r="R312" s="213">
        <f t="shared" si="35"/>
        <v>28683.5</v>
      </c>
      <c r="S312" s="213">
        <f t="shared" si="35"/>
        <v>26972.6</v>
      </c>
    </row>
    <row r="313" spans="1:19" ht="25.5" customHeight="1">
      <c r="A313" s="99"/>
      <c r="B313" s="98"/>
      <c r="C313" s="103"/>
      <c r="D313" s="101"/>
      <c r="E313" s="372">
        <v>20400</v>
      </c>
      <c r="F313" s="372"/>
      <c r="G313" s="89">
        <v>850</v>
      </c>
      <c r="H313" s="5" t="s">
        <v>658</v>
      </c>
      <c r="I313" s="10">
        <v>27</v>
      </c>
      <c r="J313" s="7">
        <v>8</v>
      </c>
      <c r="K313" s="7">
        <v>1</v>
      </c>
      <c r="L313" s="95" t="s">
        <v>659</v>
      </c>
      <c r="M313" s="96" t="s">
        <v>556</v>
      </c>
      <c r="N313" s="96" t="s">
        <v>576</v>
      </c>
      <c r="O313" s="96" t="s">
        <v>613</v>
      </c>
      <c r="P313" s="10"/>
      <c r="Q313" s="214" t="e">
        <f>Q314+Q323+#REF!</f>
        <v>#REF!</v>
      </c>
      <c r="R313" s="214">
        <f>R314+R323</f>
        <v>28683.5</v>
      </c>
      <c r="S313" s="214">
        <f>S314+S323</f>
        <v>26972.6</v>
      </c>
    </row>
    <row r="314" spans="1:19" ht="39.75" customHeight="1">
      <c r="A314" s="99"/>
      <c r="B314" s="98"/>
      <c r="C314" s="103"/>
      <c r="D314" s="101"/>
      <c r="E314" s="113"/>
      <c r="F314" s="113"/>
      <c r="G314" s="105">
        <v>120</v>
      </c>
      <c r="H314" s="18" t="s">
        <v>294</v>
      </c>
      <c r="I314" s="6">
        <v>27</v>
      </c>
      <c r="J314" s="7">
        <v>8</v>
      </c>
      <c r="K314" s="7">
        <v>1</v>
      </c>
      <c r="L314" s="95" t="s">
        <v>659</v>
      </c>
      <c r="M314" s="96" t="s">
        <v>556</v>
      </c>
      <c r="N314" s="96" t="s">
        <v>557</v>
      </c>
      <c r="O314" s="96" t="s">
        <v>613</v>
      </c>
      <c r="P314" s="6"/>
      <c r="Q314" s="216">
        <f>Q315+Q319+Q321</f>
        <v>13023.3</v>
      </c>
      <c r="R314" s="216">
        <f>R315+R319+R321+R317</f>
        <v>14682.6</v>
      </c>
      <c r="S314" s="216">
        <f>S315+S319+S321+S317</f>
        <v>14521.6</v>
      </c>
    </row>
    <row r="315" spans="1:19" ht="25.5" customHeight="1">
      <c r="A315" s="99"/>
      <c r="B315" s="98"/>
      <c r="C315" s="103"/>
      <c r="D315" s="101"/>
      <c r="E315" s="113"/>
      <c r="F315" s="113"/>
      <c r="G315" s="105"/>
      <c r="H315" s="18" t="s">
        <v>296</v>
      </c>
      <c r="I315" s="10">
        <v>27</v>
      </c>
      <c r="J315" s="7">
        <v>8</v>
      </c>
      <c r="K315" s="7">
        <v>1</v>
      </c>
      <c r="L315" s="95" t="s">
        <v>659</v>
      </c>
      <c r="M315" s="96" t="s">
        <v>556</v>
      </c>
      <c r="N315" s="96" t="s">
        <v>557</v>
      </c>
      <c r="O315" s="96" t="s">
        <v>295</v>
      </c>
      <c r="P315" s="6"/>
      <c r="Q315" s="216">
        <f>Q316</f>
        <v>11111.3</v>
      </c>
      <c r="R315" s="216">
        <f>R316</f>
        <v>10261.7</v>
      </c>
      <c r="S315" s="216">
        <f>S316</f>
        <v>9638.6</v>
      </c>
    </row>
    <row r="316" spans="1:19" ht="24.75" customHeight="1">
      <c r="A316" s="99"/>
      <c r="B316" s="98"/>
      <c r="C316" s="103"/>
      <c r="D316" s="101"/>
      <c r="E316" s="113"/>
      <c r="F316" s="113"/>
      <c r="G316" s="105"/>
      <c r="H316" s="257" t="s">
        <v>714</v>
      </c>
      <c r="I316" s="10">
        <v>27</v>
      </c>
      <c r="J316" s="7">
        <v>8</v>
      </c>
      <c r="K316" s="7">
        <v>1</v>
      </c>
      <c r="L316" s="95" t="s">
        <v>659</v>
      </c>
      <c r="M316" s="96" t="s">
        <v>556</v>
      </c>
      <c r="N316" s="96" t="s">
        <v>557</v>
      </c>
      <c r="O316" s="96" t="s">
        <v>295</v>
      </c>
      <c r="P316" s="6">
        <v>610</v>
      </c>
      <c r="Q316" s="216">
        <v>11111.3</v>
      </c>
      <c r="R316" s="216">
        <f>'Приложение 10'!Q237</f>
        <v>10261.7</v>
      </c>
      <c r="S316" s="216">
        <f>'Приложение 10'!R237</f>
        <v>9638.6</v>
      </c>
    </row>
    <row r="317" spans="1:19" ht="31.5" customHeight="1">
      <c r="A317" s="99"/>
      <c r="B317" s="98"/>
      <c r="C317" s="103"/>
      <c r="D317" s="101"/>
      <c r="E317" s="113"/>
      <c r="F317" s="113"/>
      <c r="G317" s="105"/>
      <c r="H317" s="257" t="str">
        <f>'Приложение 10'!H238</f>
        <v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v>
      </c>
      <c r="I317" s="10">
        <f>'Приложение 10'!I238</f>
        <v>27</v>
      </c>
      <c r="J317" s="7">
        <f>'Приложение 10'!J238</f>
        <v>8</v>
      </c>
      <c r="K317" s="7">
        <f>'Приложение 10'!K238</f>
        <v>1</v>
      </c>
      <c r="L317" s="95" t="str">
        <f>'Приложение 10'!L238</f>
        <v>34</v>
      </c>
      <c r="M317" s="96" t="str">
        <f>'Приложение 10'!M238</f>
        <v>0</v>
      </c>
      <c r="N317" s="96" t="str">
        <f>'Приложение 10'!N238</f>
        <v>01</v>
      </c>
      <c r="O317" s="96" t="str">
        <f>'Приложение 10'!O238</f>
        <v>70030</v>
      </c>
      <c r="P317" s="6" t="s">
        <v>614</v>
      </c>
      <c r="Q317" s="216">
        <f>'Приложение 10'!Q238</f>
        <v>1656.9</v>
      </c>
      <c r="R317" s="216">
        <f>R318</f>
        <v>1656.9</v>
      </c>
      <c r="S317" s="216">
        <f>S318</f>
        <v>2119</v>
      </c>
    </row>
    <row r="318" spans="1:19" ht="24.75" customHeight="1">
      <c r="A318" s="99"/>
      <c r="B318" s="98"/>
      <c r="C318" s="103"/>
      <c r="D318" s="101"/>
      <c r="E318" s="113"/>
      <c r="F318" s="113"/>
      <c r="G318" s="105"/>
      <c r="H318" s="257" t="str">
        <f>'Приложение 10'!H239</f>
        <v>Субсидии бюджетным учреждениям</v>
      </c>
      <c r="I318" s="10">
        <f>'Приложение 10'!I239</f>
        <v>27</v>
      </c>
      <c r="J318" s="7">
        <f>'Приложение 10'!J239</f>
        <v>8</v>
      </c>
      <c r="K318" s="7">
        <f>'Приложение 10'!K239</f>
        <v>1</v>
      </c>
      <c r="L318" s="95" t="str">
        <f>'Приложение 10'!L239</f>
        <v>34</v>
      </c>
      <c r="M318" s="96" t="str">
        <f>'Приложение 10'!M239</f>
        <v>0</v>
      </c>
      <c r="N318" s="96" t="str">
        <f>'Приложение 10'!N239</f>
        <v>01</v>
      </c>
      <c r="O318" s="96" t="str">
        <f>'Приложение 10'!O239</f>
        <v>70030</v>
      </c>
      <c r="P318" s="6">
        <f>'Приложение 10'!P239</f>
        <v>610</v>
      </c>
      <c r="Q318" s="216">
        <f>'Приложение 10'!Q239</f>
        <v>1656.9</v>
      </c>
      <c r="R318" s="216">
        <f>'Приложение 10'!Q239</f>
        <v>1656.9</v>
      </c>
      <c r="S318" s="216">
        <f>'Приложение 10'!R239</f>
        <v>2119</v>
      </c>
    </row>
    <row r="319" spans="1:19" ht="24.75" customHeight="1">
      <c r="A319" s="99"/>
      <c r="B319" s="98"/>
      <c r="C319" s="103"/>
      <c r="D319" s="101"/>
      <c r="E319" s="113"/>
      <c r="F319" s="113"/>
      <c r="G319" s="105"/>
      <c r="H319" s="5" t="s">
        <v>805</v>
      </c>
      <c r="I319" s="10">
        <v>27</v>
      </c>
      <c r="J319" s="7">
        <v>8</v>
      </c>
      <c r="K319" s="7">
        <v>1</v>
      </c>
      <c r="L319" s="95" t="s">
        <v>659</v>
      </c>
      <c r="M319" s="96" t="s">
        <v>556</v>
      </c>
      <c r="N319" s="96" t="s">
        <v>557</v>
      </c>
      <c r="O319" s="96" t="s">
        <v>804</v>
      </c>
      <c r="P319" s="6"/>
      <c r="Q319" s="216">
        <f>Q320</f>
        <v>340</v>
      </c>
      <c r="R319" s="216">
        <f>R320</f>
        <v>340</v>
      </c>
      <c r="S319" s="216">
        <f>S320</f>
        <v>340</v>
      </c>
    </row>
    <row r="320" spans="1:19" ht="24" customHeight="1">
      <c r="A320" s="99"/>
      <c r="B320" s="98"/>
      <c r="C320" s="103"/>
      <c r="D320" s="101"/>
      <c r="E320" s="113"/>
      <c r="F320" s="113"/>
      <c r="G320" s="105"/>
      <c r="H320" s="257" t="s">
        <v>714</v>
      </c>
      <c r="I320" s="10">
        <v>27</v>
      </c>
      <c r="J320" s="7">
        <v>8</v>
      </c>
      <c r="K320" s="7">
        <v>1</v>
      </c>
      <c r="L320" s="95" t="s">
        <v>659</v>
      </c>
      <c r="M320" s="96" t="s">
        <v>556</v>
      </c>
      <c r="N320" s="96" t="s">
        <v>557</v>
      </c>
      <c r="O320" s="96" t="s">
        <v>804</v>
      </c>
      <c r="P320" s="6">
        <v>610</v>
      </c>
      <c r="Q320" s="216">
        <v>340</v>
      </c>
      <c r="R320" s="216">
        <v>340</v>
      </c>
      <c r="S320" s="216">
        <v>340</v>
      </c>
    </row>
    <row r="321" spans="1:19" ht="27" customHeight="1">
      <c r="A321" s="99"/>
      <c r="B321" s="98"/>
      <c r="C321" s="103"/>
      <c r="D321" s="101"/>
      <c r="E321" s="113"/>
      <c r="F321" s="113"/>
      <c r="G321" s="105"/>
      <c r="H321" s="5" t="s">
        <v>668</v>
      </c>
      <c r="I321" s="10">
        <v>27</v>
      </c>
      <c r="J321" s="7">
        <v>8</v>
      </c>
      <c r="K321" s="7">
        <v>1</v>
      </c>
      <c r="L321" s="95" t="s">
        <v>659</v>
      </c>
      <c r="M321" s="96" t="s">
        <v>556</v>
      </c>
      <c r="N321" s="96" t="s">
        <v>557</v>
      </c>
      <c r="O321" s="96" t="s">
        <v>6</v>
      </c>
      <c r="P321" s="6"/>
      <c r="Q321" s="216">
        <f>Q322</f>
        <v>1572</v>
      </c>
      <c r="R321" s="216">
        <f>R322</f>
        <v>2424</v>
      </c>
      <c r="S321" s="216">
        <f>S322</f>
        <v>2424</v>
      </c>
    </row>
    <row r="322" spans="1:19" ht="30" customHeight="1">
      <c r="A322" s="99"/>
      <c r="B322" s="98"/>
      <c r="C322" s="103"/>
      <c r="D322" s="101"/>
      <c r="E322" s="113"/>
      <c r="F322" s="113"/>
      <c r="G322" s="105"/>
      <c r="H322" s="257" t="s">
        <v>714</v>
      </c>
      <c r="I322" s="10">
        <v>27</v>
      </c>
      <c r="J322" s="7">
        <v>8</v>
      </c>
      <c r="K322" s="7">
        <v>1</v>
      </c>
      <c r="L322" s="95" t="s">
        <v>659</v>
      </c>
      <c r="M322" s="96" t="s">
        <v>556</v>
      </c>
      <c r="N322" s="96" t="s">
        <v>557</v>
      </c>
      <c r="O322" s="96" t="s">
        <v>6</v>
      </c>
      <c r="P322" s="6">
        <v>610</v>
      </c>
      <c r="Q322" s="216">
        <v>1572</v>
      </c>
      <c r="R322" s="216">
        <f>'Приложение 10'!Q243</f>
        <v>2424</v>
      </c>
      <c r="S322" s="216">
        <f>'Приложение 10'!R243</f>
        <v>2424</v>
      </c>
    </row>
    <row r="323" spans="1:19" ht="32.25" customHeight="1">
      <c r="A323" s="99"/>
      <c r="B323" s="98"/>
      <c r="C323" s="103"/>
      <c r="D323" s="101"/>
      <c r="E323" s="113"/>
      <c r="F323" s="113"/>
      <c r="G323" s="105"/>
      <c r="H323" s="5" t="s">
        <v>669</v>
      </c>
      <c r="I323" s="10">
        <v>27</v>
      </c>
      <c r="J323" s="7">
        <v>8</v>
      </c>
      <c r="K323" s="7">
        <v>1</v>
      </c>
      <c r="L323" s="95" t="s">
        <v>659</v>
      </c>
      <c r="M323" s="96" t="s">
        <v>556</v>
      </c>
      <c r="N323" s="96" t="s">
        <v>585</v>
      </c>
      <c r="O323" s="96" t="s">
        <v>613</v>
      </c>
      <c r="P323" s="6"/>
      <c r="Q323" s="216">
        <f aca="true" t="shared" si="36" ref="Q323:S324">Q324</f>
        <v>13920.6</v>
      </c>
      <c r="R323" s="216">
        <f>R324+R326</f>
        <v>14000.900000000001</v>
      </c>
      <c r="S323" s="216">
        <f>S324+S326</f>
        <v>12451</v>
      </c>
    </row>
    <row r="324" spans="1:19" ht="33" customHeight="1">
      <c r="A324" s="99"/>
      <c r="B324" s="98"/>
      <c r="C324" s="103"/>
      <c r="D324" s="101"/>
      <c r="E324" s="113"/>
      <c r="F324" s="113"/>
      <c r="G324" s="105"/>
      <c r="H324" s="5" t="s">
        <v>255</v>
      </c>
      <c r="I324" s="10">
        <v>27</v>
      </c>
      <c r="J324" s="7">
        <v>8</v>
      </c>
      <c r="K324" s="7">
        <v>1</v>
      </c>
      <c r="L324" s="95" t="s">
        <v>659</v>
      </c>
      <c r="M324" s="96" t="s">
        <v>556</v>
      </c>
      <c r="N324" s="96" t="s">
        <v>585</v>
      </c>
      <c r="O324" s="96" t="s">
        <v>256</v>
      </c>
      <c r="P324" s="6"/>
      <c r="Q324" s="216">
        <f t="shared" si="36"/>
        <v>13920.6</v>
      </c>
      <c r="R324" s="216">
        <f t="shared" si="36"/>
        <v>10383.2</v>
      </c>
      <c r="S324" s="216">
        <f t="shared" si="36"/>
        <v>7824.2</v>
      </c>
    </row>
    <row r="325" spans="1:19" ht="27" customHeight="1">
      <c r="A325" s="99"/>
      <c r="B325" s="98"/>
      <c r="C325" s="103"/>
      <c r="D325" s="101"/>
      <c r="E325" s="113"/>
      <c r="F325" s="113"/>
      <c r="G325" s="105"/>
      <c r="H325" s="5" t="s">
        <v>714</v>
      </c>
      <c r="I325" s="10">
        <v>27</v>
      </c>
      <c r="J325" s="7">
        <v>8</v>
      </c>
      <c r="K325" s="7">
        <v>1</v>
      </c>
      <c r="L325" s="95" t="s">
        <v>659</v>
      </c>
      <c r="M325" s="96" t="s">
        <v>556</v>
      </c>
      <c r="N325" s="96" t="s">
        <v>585</v>
      </c>
      <c r="O325" s="96" t="s">
        <v>256</v>
      </c>
      <c r="P325" s="6">
        <v>610</v>
      </c>
      <c r="Q325" s="216">
        <v>13920.6</v>
      </c>
      <c r="R325" s="216">
        <f>'Приложение 10'!Q246</f>
        <v>10383.2</v>
      </c>
      <c r="S325" s="216">
        <f>'Приложение 10'!R246</f>
        <v>7824.2</v>
      </c>
    </row>
    <row r="326" spans="1:19" ht="35.25" customHeight="1">
      <c r="A326" s="99"/>
      <c r="B326" s="98"/>
      <c r="C326" s="103"/>
      <c r="D326" s="101"/>
      <c r="E326" s="113"/>
      <c r="F326" s="113"/>
      <c r="G326" s="105"/>
      <c r="H326" s="5" t="str">
        <f>'Приложение 10'!H247</f>
        <v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v>
      </c>
      <c r="I326" s="10">
        <f>'Приложение 10'!I247</f>
        <v>27</v>
      </c>
      <c r="J326" s="7">
        <f>'Приложение 10'!J247</f>
        <v>8</v>
      </c>
      <c r="K326" s="7">
        <f>'Приложение 10'!K247</f>
        <v>1</v>
      </c>
      <c r="L326" s="95" t="str">
        <f>'Приложение 10'!L247</f>
        <v>34</v>
      </c>
      <c r="M326" s="96" t="str">
        <f>'Приложение 10'!M247</f>
        <v>0</v>
      </c>
      <c r="N326" s="96" t="str">
        <f>'Приложение 10'!N247</f>
        <v>02</v>
      </c>
      <c r="O326" s="96" t="str">
        <f>'Приложение 10'!O247</f>
        <v>70030</v>
      </c>
      <c r="P326" s="6" t="s">
        <v>614</v>
      </c>
      <c r="Q326" s="216">
        <f>'Приложение 10'!Q247</f>
        <v>3617.7</v>
      </c>
      <c r="R326" s="216">
        <f>R327</f>
        <v>3617.7</v>
      </c>
      <c r="S326" s="216">
        <f>S327</f>
        <v>4626.8</v>
      </c>
    </row>
    <row r="327" spans="1:19" ht="27" customHeight="1">
      <c r="A327" s="99"/>
      <c r="B327" s="98"/>
      <c r="C327" s="103"/>
      <c r="D327" s="101"/>
      <c r="E327" s="113"/>
      <c r="F327" s="113"/>
      <c r="G327" s="105"/>
      <c r="H327" s="5" t="str">
        <f>'Приложение 10'!H248</f>
        <v>Субсидии бюджетным учреждениям</v>
      </c>
      <c r="I327" s="10">
        <f>'Приложение 10'!I248</f>
        <v>27</v>
      </c>
      <c r="J327" s="7">
        <f>'Приложение 10'!J248</f>
        <v>8</v>
      </c>
      <c r="K327" s="7">
        <f>'Приложение 10'!K248</f>
        <v>1</v>
      </c>
      <c r="L327" s="95" t="str">
        <f>'Приложение 10'!L248</f>
        <v>34</v>
      </c>
      <c r="M327" s="96" t="str">
        <f>'Приложение 10'!M248</f>
        <v>0</v>
      </c>
      <c r="N327" s="96" t="str">
        <f>'Приложение 10'!N248</f>
        <v>02</v>
      </c>
      <c r="O327" s="96" t="str">
        <f>'Приложение 10'!O248</f>
        <v>70030</v>
      </c>
      <c r="P327" s="6">
        <f>'Приложение 10'!P248</f>
        <v>610</v>
      </c>
      <c r="Q327" s="216">
        <f>'Приложение 10'!Q248</f>
        <v>3617.7</v>
      </c>
      <c r="R327" s="216">
        <f>'Приложение 10'!Q248</f>
        <v>3617.7</v>
      </c>
      <c r="S327" s="216">
        <f>'Приложение 10'!R248</f>
        <v>4626.8</v>
      </c>
    </row>
    <row r="328" spans="1:19" s="179" customFormat="1" ht="21" customHeight="1">
      <c r="A328" s="142"/>
      <c r="B328" s="143"/>
      <c r="C328" s="153"/>
      <c r="D328" s="150"/>
      <c r="E328" s="154"/>
      <c r="F328" s="154"/>
      <c r="G328" s="155"/>
      <c r="H328" s="149" t="s">
        <v>615</v>
      </c>
      <c r="I328" s="138">
        <v>27</v>
      </c>
      <c r="J328" s="148">
        <v>9</v>
      </c>
      <c r="K328" s="148" t="s">
        <v>614</v>
      </c>
      <c r="L328" s="140"/>
      <c r="M328" s="141"/>
      <c r="N328" s="141"/>
      <c r="O328" s="141"/>
      <c r="P328" s="146"/>
      <c r="Q328" s="217">
        <f aca="true" t="shared" si="37" ref="Q328:S330">Q329</f>
        <v>74.5</v>
      </c>
      <c r="R328" s="217">
        <f t="shared" si="37"/>
        <v>81.3</v>
      </c>
      <c r="S328" s="217">
        <f t="shared" si="37"/>
        <v>81.3</v>
      </c>
    </row>
    <row r="329" spans="1:19" s="179" customFormat="1" ht="21" customHeight="1">
      <c r="A329" s="142"/>
      <c r="B329" s="143"/>
      <c r="C329" s="153"/>
      <c r="D329" s="150"/>
      <c r="E329" s="154"/>
      <c r="F329" s="154"/>
      <c r="G329" s="155"/>
      <c r="H329" s="149" t="s">
        <v>560</v>
      </c>
      <c r="I329" s="146">
        <v>27</v>
      </c>
      <c r="J329" s="148">
        <v>9</v>
      </c>
      <c r="K329" s="148">
        <v>7</v>
      </c>
      <c r="L329" s="139" t="s">
        <v>527</v>
      </c>
      <c r="M329" s="141" t="s">
        <v>527</v>
      </c>
      <c r="N329" s="141"/>
      <c r="O329" s="141" t="s">
        <v>527</v>
      </c>
      <c r="P329" s="146"/>
      <c r="Q329" s="213">
        <f t="shared" si="37"/>
        <v>74.5</v>
      </c>
      <c r="R329" s="213">
        <f t="shared" si="37"/>
        <v>81.3</v>
      </c>
      <c r="S329" s="213">
        <f t="shared" si="37"/>
        <v>81.3</v>
      </c>
    </row>
    <row r="330" spans="1:19" ht="48" customHeight="1">
      <c r="A330" s="99"/>
      <c r="B330" s="98"/>
      <c r="C330" s="103"/>
      <c r="D330" s="101"/>
      <c r="E330" s="113"/>
      <c r="F330" s="113"/>
      <c r="G330" s="105"/>
      <c r="H330" s="34" t="s">
        <v>711</v>
      </c>
      <c r="I330" s="6">
        <v>27</v>
      </c>
      <c r="J330" s="7">
        <v>9</v>
      </c>
      <c r="K330" s="7">
        <v>7</v>
      </c>
      <c r="L330" s="16">
        <v>91</v>
      </c>
      <c r="M330" s="96" t="s">
        <v>556</v>
      </c>
      <c r="N330" s="96" t="s">
        <v>576</v>
      </c>
      <c r="O330" s="96" t="s">
        <v>643</v>
      </c>
      <c r="P330" s="6"/>
      <c r="Q330" s="214">
        <f t="shared" si="37"/>
        <v>74.5</v>
      </c>
      <c r="R330" s="214">
        <f t="shared" si="37"/>
        <v>81.3</v>
      </c>
      <c r="S330" s="214">
        <f t="shared" si="37"/>
        <v>81.3</v>
      </c>
    </row>
    <row r="331" spans="1:19" ht="27" customHeight="1">
      <c r="A331" s="99"/>
      <c r="B331" s="98"/>
      <c r="C331" s="103"/>
      <c r="D331" s="101"/>
      <c r="E331" s="113"/>
      <c r="F331" s="113"/>
      <c r="G331" s="105"/>
      <c r="H331" s="34" t="s">
        <v>712</v>
      </c>
      <c r="I331" s="6">
        <v>27</v>
      </c>
      <c r="J331" s="7">
        <v>9</v>
      </c>
      <c r="K331" s="7">
        <v>7</v>
      </c>
      <c r="L331" s="16">
        <v>91</v>
      </c>
      <c r="M331" s="96" t="s">
        <v>556</v>
      </c>
      <c r="N331" s="96" t="s">
        <v>576</v>
      </c>
      <c r="O331" s="96" t="s">
        <v>643</v>
      </c>
      <c r="P331" s="6">
        <v>240</v>
      </c>
      <c r="Q331" s="214">
        <v>74.5</v>
      </c>
      <c r="R331" s="214">
        <v>81.3</v>
      </c>
      <c r="S331" s="214">
        <v>81.3</v>
      </c>
    </row>
    <row r="332" spans="1:19" s="179" customFormat="1" ht="24" customHeight="1">
      <c r="A332" s="142"/>
      <c r="B332" s="143"/>
      <c r="C332" s="153"/>
      <c r="D332" s="150"/>
      <c r="E332" s="154"/>
      <c r="F332" s="154"/>
      <c r="G332" s="155">
        <v>321</v>
      </c>
      <c r="H332" s="149" t="s">
        <v>534</v>
      </c>
      <c r="I332" s="152">
        <v>27</v>
      </c>
      <c r="J332" s="148">
        <v>10</v>
      </c>
      <c r="K332" s="148"/>
      <c r="L332" s="140"/>
      <c r="M332" s="141"/>
      <c r="N332" s="141"/>
      <c r="O332" s="141"/>
      <c r="P332" s="146"/>
      <c r="Q332" s="217" t="e">
        <f>Q333+Q336+Q358+Q354</f>
        <v>#REF!</v>
      </c>
      <c r="R332" s="217">
        <f>R333+R336+R358+R354</f>
        <v>14150.5</v>
      </c>
      <c r="S332" s="217">
        <f>S333+S336+S358+S354</f>
        <v>14149.900000000001</v>
      </c>
    </row>
    <row r="333" spans="1:19" s="179" customFormat="1" ht="18.75" customHeight="1">
      <c r="A333" s="142"/>
      <c r="B333" s="143"/>
      <c r="C333" s="153"/>
      <c r="D333" s="150"/>
      <c r="E333" s="154"/>
      <c r="F333" s="154"/>
      <c r="G333" s="155">
        <v>612</v>
      </c>
      <c r="H333" s="149" t="s">
        <v>373</v>
      </c>
      <c r="I333" s="152">
        <v>27</v>
      </c>
      <c r="J333" s="148">
        <v>10</v>
      </c>
      <c r="K333" s="148">
        <v>1</v>
      </c>
      <c r="L333" s="140"/>
      <c r="M333" s="141"/>
      <c r="N333" s="141"/>
      <c r="O333" s="141"/>
      <c r="P333" s="146"/>
      <c r="Q333" s="217">
        <f aca="true" t="shared" si="38" ref="Q333:S334">Q334</f>
        <v>2058</v>
      </c>
      <c r="R333" s="217">
        <f t="shared" si="38"/>
        <v>2100</v>
      </c>
      <c r="S333" s="217">
        <f t="shared" si="38"/>
        <v>2100</v>
      </c>
    </row>
    <row r="334" spans="1:19" ht="30.75" customHeight="1">
      <c r="A334" s="99"/>
      <c r="B334" s="98"/>
      <c r="C334" s="103"/>
      <c r="D334" s="101"/>
      <c r="E334" s="372">
        <v>4360400</v>
      </c>
      <c r="F334" s="372"/>
      <c r="G334" s="89">
        <v>340</v>
      </c>
      <c r="H334" s="11" t="s">
        <v>297</v>
      </c>
      <c r="I334" s="6">
        <v>27</v>
      </c>
      <c r="J334" s="7">
        <v>10</v>
      </c>
      <c r="K334" s="7">
        <v>1</v>
      </c>
      <c r="L334" s="95" t="s">
        <v>573</v>
      </c>
      <c r="M334" s="96" t="s">
        <v>556</v>
      </c>
      <c r="N334" s="96" t="s">
        <v>576</v>
      </c>
      <c r="O334" s="96" t="s">
        <v>298</v>
      </c>
      <c r="P334" s="10"/>
      <c r="Q334" s="214">
        <f t="shared" si="38"/>
        <v>2058</v>
      </c>
      <c r="R334" s="214">
        <f t="shared" si="38"/>
        <v>2100</v>
      </c>
      <c r="S334" s="214">
        <f t="shared" si="38"/>
        <v>2100</v>
      </c>
    </row>
    <row r="335" spans="1:19" ht="30.75" customHeight="1">
      <c r="A335" s="99"/>
      <c r="B335" s="98"/>
      <c r="C335" s="103"/>
      <c r="D335" s="107"/>
      <c r="E335" s="104"/>
      <c r="F335" s="104"/>
      <c r="G335" s="89"/>
      <c r="H335" s="11" t="s">
        <v>717</v>
      </c>
      <c r="I335" s="6">
        <v>27</v>
      </c>
      <c r="J335" s="7">
        <v>10</v>
      </c>
      <c r="K335" s="7">
        <v>1</v>
      </c>
      <c r="L335" s="119" t="s">
        <v>573</v>
      </c>
      <c r="M335" s="120" t="s">
        <v>556</v>
      </c>
      <c r="N335" s="120" t="s">
        <v>576</v>
      </c>
      <c r="O335" s="120" t="s">
        <v>298</v>
      </c>
      <c r="P335" s="10">
        <v>320</v>
      </c>
      <c r="Q335" s="214">
        <v>2058</v>
      </c>
      <c r="R335" s="214">
        <v>2100</v>
      </c>
      <c r="S335" s="214">
        <v>2100</v>
      </c>
    </row>
    <row r="336" spans="1:19" s="179" customFormat="1" ht="27" customHeight="1">
      <c r="A336" s="142"/>
      <c r="B336" s="143"/>
      <c r="C336" s="142"/>
      <c r="D336" s="385">
        <v>4520000</v>
      </c>
      <c r="E336" s="385"/>
      <c r="F336" s="385"/>
      <c r="G336" s="136">
        <v>612</v>
      </c>
      <c r="H336" s="314" t="s">
        <v>533</v>
      </c>
      <c r="I336" s="138">
        <v>27</v>
      </c>
      <c r="J336" s="148">
        <v>10</v>
      </c>
      <c r="K336" s="148">
        <v>3</v>
      </c>
      <c r="L336" s="140"/>
      <c r="M336" s="141"/>
      <c r="N336" s="141"/>
      <c r="O336" s="246"/>
      <c r="P336" s="152"/>
      <c r="Q336" s="218" t="e">
        <f>Q337+Q341+#REF!</f>
        <v>#REF!</v>
      </c>
      <c r="R336" s="218">
        <f>R337+R341+R348</f>
        <v>7463.3</v>
      </c>
      <c r="S336" s="218">
        <f>S337+S341+S348</f>
        <v>7462.700000000001</v>
      </c>
    </row>
    <row r="337" spans="1:19" ht="27" customHeight="1">
      <c r="A337" s="99"/>
      <c r="B337" s="98"/>
      <c r="C337" s="97"/>
      <c r="D337" s="107"/>
      <c r="E337" s="102"/>
      <c r="F337" s="102"/>
      <c r="G337" s="89"/>
      <c r="H337" s="191" t="s">
        <v>662</v>
      </c>
      <c r="I337" s="25">
        <v>27</v>
      </c>
      <c r="J337" s="7">
        <v>10</v>
      </c>
      <c r="K337" s="7">
        <v>3</v>
      </c>
      <c r="L337" s="122" t="s">
        <v>661</v>
      </c>
      <c r="M337" s="123" t="s">
        <v>556</v>
      </c>
      <c r="N337" s="123" t="s">
        <v>576</v>
      </c>
      <c r="O337" s="123" t="s">
        <v>613</v>
      </c>
      <c r="P337" s="6"/>
      <c r="Q337" s="214">
        <f aca="true" t="shared" si="39" ref="Q337:S339">Q338</f>
        <v>270.8</v>
      </c>
      <c r="R337" s="214">
        <f t="shared" si="39"/>
        <v>170.5</v>
      </c>
      <c r="S337" s="214">
        <f t="shared" si="39"/>
        <v>169.9</v>
      </c>
    </row>
    <row r="338" spans="1:19" ht="29.25" customHeight="1">
      <c r="A338" s="99"/>
      <c r="B338" s="98"/>
      <c r="C338" s="97"/>
      <c r="D338" s="107"/>
      <c r="E338" s="102"/>
      <c r="F338" s="102"/>
      <c r="G338" s="89"/>
      <c r="H338" s="191" t="s">
        <v>671</v>
      </c>
      <c r="I338" s="25">
        <v>27</v>
      </c>
      <c r="J338" s="7">
        <v>10</v>
      </c>
      <c r="K338" s="7">
        <v>3</v>
      </c>
      <c r="L338" s="122" t="s">
        <v>661</v>
      </c>
      <c r="M338" s="123" t="s">
        <v>556</v>
      </c>
      <c r="N338" s="123" t="s">
        <v>581</v>
      </c>
      <c r="O338" s="123" t="s">
        <v>613</v>
      </c>
      <c r="P338" s="6"/>
      <c r="Q338" s="214">
        <f t="shared" si="39"/>
        <v>270.8</v>
      </c>
      <c r="R338" s="214">
        <f t="shared" si="39"/>
        <v>170.5</v>
      </c>
      <c r="S338" s="214">
        <f t="shared" si="39"/>
        <v>169.9</v>
      </c>
    </row>
    <row r="339" spans="1:19" ht="21.75" customHeight="1">
      <c r="A339" s="99"/>
      <c r="B339" s="98"/>
      <c r="C339" s="97"/>
      <c r="D339" s="107"/>
      <c r="E339" s="102"/>
      <c r="F339" s="102"/>
      <c r="G339" s="89"/>
      <c r="H339" s="191" t="s">
        <v>672</v>
      </c>
      <c r="I339" s="25">
        <v>27</v>
      </c>
      <c r="J339" s="7">
        <v>10</v>
      </c>
      <c r="K339" s="7">
        <v>3</v>
      </c>
      <c r="L339" s="122" t="s">
        <v>661</v>
      </c>
      <c r="M339" s="123" t="s">
        <v>556</v>
      </c>
      <c r="N339" s="123" t="s">
        <v>581</v>
      </c>
      <c r="O339" s="123" t="s">
        <v>265</v>
      </c>
      <c r="P339" s="6"/>
      <c r="Q339" s="214">
        <f t="shared" si="39"/>
        <v>270.8</v>
      </c>
      <c r="R339" s="214">
        <f t="shared" si="39"/>
        <v>170.5</v>
      </c>
      <c r="S339" s="214">
        <f t="shared" si="39"/>
        <v>169.9</v>
      </c>
    </row>
    <row r="340" spans="1:19" ht="29.25" customHeight="1">
      <c r="A340" s="99"/>
      <c r="B340" s="98"/>
      <c r="C340" s="97"/>
      <c r="D340" s="107"/>
      <c r="E340" s="102"/>
      <c r="F340" s="102"/>
      <c r="G340" s="89"/>
      <c r="H340" s="34" t="s">
        <v>717</v>
      </c>
      <c r="I340" s="25">
        <v>27</v>
      </c>
      <c r="J340" s="7">
        <v>10</v>
      </c>
      <c r="K340" s="7">
        <v>3</v>
      </c>
      <c r="L340" s="122" t="s">
        <v>661</v>
      </c>
      <c r="M340" s="123" t="s">
        <v>556</v>
      </c>
      <c r="N340" s="123" t="s">
        <v>581</v>
      </c>
      <c r="O340" s="123" t="s">
        <v>265</v>
      </c>
      <c r="P340" s="6">
        <v>320</v>
      </c>
      <c r="Q340" s="214">
        <v>270.8</v>
      </c>
      <c r="R340" s="214">
        <v>170.5</v>
      </c>
      <c r="S340" s="214">
        <v>169.9</v>
      </c>
    </row>
    <row r="341" spans="1:19" ht="29.25" customHeight="1">
      <c r="A341" s="99"/>
      <c r="B341" s="98"/>
      <c r="C341" s="97"/>
      <c r="D341" s="107"/>
      <c r="E341" s="102"/>
      <c r="F341" s="102"/>
      <c r="G341" s="89"/>
      <c r="H341" s="34" t="s">
        <v>292</v>
      </c>
      <c r="I341" s="25">
        <v>27</v>
      </c>
      <c r="J341" s="7">
        <v>10</v>
      </c>
      <c r="K341" s="7">
        <v>3</v>
      </c>
      <c r="L341" s="122" t="s">
        <v>573</v>
      </c>
      <c r="M341" s="123" t="s">
        <v>556</v>
      </c>
      <c r="N341" s="123" t="s">
        <v>576</v>
      </c>
      <c r="O341" s="123" t="s">
        <v>613</v>
      </c>
      <c r="P341" s="6"/>
      <c r="Q341" s="216">
        <f>Q344+Q346+Q352+Q350</f>
        <v>7199.1</v>
      </c>
      <c r="R341" s="216">
        <f>R344+R346+R352+R342</f>
        <v>2378</v>
      </c>
      <c r="S341" s="216">
        <f>S344+S346+S352+S342</f>
        <v>2378</v>
      </c>
    </row>
    <row r="342" spans="1:19" ht="42" customHeight="1">
      <c r="A342" s="110"/>
      <c r="B342" s="111"/>
      <c r="C342" s="106"/>
      <c r="D342" s="107"/>
      <c r="E342" s="104"/>
      <c r="F342" s="104"/>
      <c r="G342" s="105"/>
      <c r="H342" s="11" t="s">
        <v>243</v>
      </c>
      <c r="I342" s="10">
        <v>28</v>
      </c>
      <c r="J342" s="7">
        <v>10</v>
      </c>
      <c r="K342" s="7">
        <v>3</v>
      </c>
      <c r="L342" s="122" t="s">
        <v>573</v>
      </c>
      <c r="M342" s="123" t="s">
        <v>556</v>
      </c>
      <c r="N342" s="123" t="s">
        <v>576</v>
      </c>
      <c r="O342" s="123" t="s">
        <v>244</v>
      </c>
      <c r="P342" s="10"/>
      <c r="Q342" s="214"/>
      <c r="R342" s="214">
        <f>R343</f>
        <v>72</v>
      </c>
      <c r="S342" s="216">
        <f>S343</f>
        <v>72</v>
      </c>
    </row>
    <row r="343" spans="1:19" ht="18" customHeight="1">
      <c r="A343" s="110"/>
      <c r="B343" s="111"/>
      <c r="C343" s="106"/>
      <c r="D343" s="107"/>
      <c r="E343" s="104"/>
      <c r="F343" s="104"/>
      <c r="G343" s="105"/>
      <c r="H343" s="11" t="s">
        <v>716</v>
      </c>
      <c r="I343" s="10">
        <v>28</v>
      </c>
      <c r="J343" s="7">
        <v>10</v>
      </c>
      <c r="K343" s="7">
        <v>3</v>
      </c>
      <c r="L343" s="122" t="s">
        <v>573</v>
      </c>
      <c r="M343" s="123" t="s">
        <v>556</v>
      </c>
      <c r="N343" s="123" t="s">
        <v>576</v>
      </c>
      <c r="O343" s="123" t="s">
        <v>244</v>
      </c>
      <c r="P343" s="10">
        <v>310</v>
      </c>
      <c r="Q343" s="214">
        <v>0</v>
      </c>
      <c r="R343" s="214">
        <v>72</v>
      </c>
      <c r="S343" s="216">
        <v>72</v>
      </c>
    </row>
    <row r="344" spans="1:19" ht="57.75" customHeight="1">
      <c r="A344" s="99"/>
      <c r="B344" s="98"/>
      <c r="C344" s="97"/>
      <c r="D344" s="368">
        <v>5220000</v>
      </c>
      <c r="E344" s="369"/>
      <c r="F344" s="369"/>
      <c r="G344" s="89">
        <v>612</v>
      </c>
      <c r="H344" s="11" t="s">
        <v>532</v>
      </c>
      <c r="I344" s="6">
        <v>27</v>
      </c>
      <c r="J344" s="7">
        <v>10</v>
      </c>
      <c r="K344" s="7">
        <v>3</v>
      </c>
      <c r="L344" s="95" t="s">
        <v>573</v>
      </c>
      <c r="M344" s="96" t="s">
        <v>556</v>
      </c>
      <c r="N344" s="96" t="s">
        <v>576</v>
      </c>
      <c r="O344" s="124" t="s">
        <v>644</v>
      </c>
      <c r="P344" s="8"/>
      <c r="Q344" s="216">
        <f>Q345</f>
        <v>1273.5</v>
      </c>
      <c r="R344" s="216">
        <f>R345</f>
        <v>1284</v>
      </c>
      <c r="S344" s="216">
        <f>S345</f>
        <v>1284</v>
      </c>
    </row>
    <row r="345" spans="1:19" ht="28.5" customHeight="1">
      <c r="A345" s="99"/>
      <c r="B345" s="98"/>
      <c r="C345" s="97"/>
      <c r="D345" s="101"/>
      <c r="E345" s="100"/>
      <c r="F345" s="100"/>
      <c r="G345" s="89"/>
      <c r="H345" s="11" t="s">
        <v>717</v>
      </c>
      <c r="I345" s="6">
        <v>27</v>
      </c>
      <c r="J345" s="7">
        <v>10</v>
      </c>
      <c r="K345" s="7">
        <v>3</v>
      </c>
      <c r="L345" s="95" t="s">
        <v>573</v>
      </c>
      <c r="M345" s="96" t="s">
        <v>556</v>
      </c>
      <c r="N345" s="96" t="s">
        <v>576</v>
      </c>
      <c r="O345" s="124" t="s">
        <v>644</v>
      </c>
      <c r="P345" s="13">
        <v>320</v>
      </c>
      <c r="Q345" s="214">
        <v>1273.5</v>
      </c>
      <c r="R345" s="214">
        <f>'Приложение 10'!Q271</f>
        <v>1284</v>
      </c>
      <c r="S345" s="214">
        <f>'Приложение 10'!R271</f>
        <v>1284</v>
      </c>
    </row>
    <row r="346" spans="1:19" ht="42" customHeight="1">
      <c r="A346" s="99"/>
      <c r="B346" s="98"/>
      <c r="C346" s="103"/>
      <c r="D346" s="101"/>
      <c r="E346" s="113"/>
      <c r="F346" s="113"/>
      <c r="G346" s="89"/>
      <c r="H346" s="11" t="s">
        <v>290</v>
      </c>
      <c r="I346" s="10">
        <v>27</v>
      </c>
      <c r="J346" s="7">
        <v>10</v>
      </c>
      <c r="K346" s="7">
        <v>3</v>
      </c>
      <c r="L346" s="95" t="s">
        <v>573</v>
      </c>
      <c r="M346" s="96" t="s">
        <v>556</v>
      </c>
      <c r="N346" s="96" t="s">
        <v>576</v>
      </c>
      <c r="O346" s="96" t="s">
        <v>289</v>
      </c>
      <c r="P346" s="10"/>
      <c r="Q346" s="214">
        <f>Q347</f>
        <v>636.8</v>
      </c>
      <c r="R346" s="214">
        <f>R347</f>
        <v>642</v>
      </c>
      <c r="S346" s="214">
        <f>S347</f>
        <v>642</v>
      </c>
    </row>
    <row r="347" spans="1:19" ht="32.25" customHeight="1">
      <c r="A347" s="99"/>
      <c r="B347" s="98"/>
      <c r="C347" s="103"/>
      <c r="D347" s="101"/>
      <c r="E347" s="113"/>
      <c r="F347" s="113"/>
      <c r="G347" s="89"/>
      <c r="H347" s="11" t="s">
        <v>717</v>
      </c>
      <c r="I347" s="10">
        <v>27</v>
      </c>
      <c r="J347" s="7">
        <v>10</v>
      </c>
      <c r="K347" s="7">
        <v>3</v>
      </c>
      <c r="L347" s="95" t="s">
        <v>573</v>
      </c>
      <c r="M347" s="96" t="s">
        <v>556</v>
      </c>
      <c r="N347" s="96" t="s">
        <v>576</v>
      </c>
      <c r="O347" s="96" t="s">
        <v>289</v>
      </c>
      <c r="P347" s="10">
        <v>320</v>
      </c>
      <c r="Q347" s="214">
        <v>636.8</v>
      </c>
      <c r="R347" s="215">
        <f>'Приложение 10'!Q273</f>
        <v>642</v>
      </c>
      <c r="S347" s="239">
        <f>'Приложение 10'!R273</f>
        <v>642</v>
      </c>
    </row>
    <row r="348" spans="1:19" ht="32.25" customHeight="1">
      <c r="A348" s="99"/>
      <c r="B348" s="98"/>
      <c r="C348" s="103"/>
      <c r="D348" s="101"/>
      <c r="E348" s="113"/>
      <c r="F348" s="113"/>
      <c r="G348" s="89"/>
      <c r="H348" s="11" t="str">
        <f>'Приложение 10'!H581</f>
        <v>Муниципальная программа «Управление и распоряжение муниципальным имуществом Белозерского муниципального района на 2020-2025 годы»</v>
      </c>
      <c r="I348" s="10">
        <f>'Приложение 10'!I581</f>
        <v>664</v>
      </c>
      <c r="J348" s="7">
        <f>'Приложение 10'!J581</f>
        <v>10</v>
      </c>
      <c r="K348" s="7">
        <f>'Приложение 10'!K581</f>
        <v>3</v>
      </c>
      <c r="L348" s="95" t="str">
        <f>'Приложение 10'!L581</f>
        <v>48</v>
      </c>
      <c r="M348" s="96" t="str">
        <f>'Приложение 10'!M581</f>
        <v>0</v>
      </c>
      <c r="N348" s="96" t="str">
        <f>'Приложение 10'!N581</f>
        <v>00</v>
      </c>
      <c r="O348" s="96" t="str">
        <f>'Приложение 10'!O581</f>
        <v>00000</v>
      </c>
      <c r="P348" s="10" t="s">
        <v>614</v>
      </c>
      <c r="Q348" s="214">
        <f>'Приложение 10'!Q581</f>
        <v>4914.8</v>
      </c>
      <c r="R348" s="215">
        <f aca="true" t="shared" si="40" ref="R348:S350">R349</f>
        <v>4914.8</v>
      </c>
      <c r="S348" s="215">
        <f t="shared" si="40"/>
        <v>4914.8</v>
      </c>
    </row>
    <row r="349" spans="1:19" ht="32.25" customHeight="1">
      <c r="A349" s="99"/>
      <c r="B349" s="98"/>
      <c r="C349" s="103"/>
      <c r="D349" s="101"/>
      <c r="E349" s="113"/>
      <c r="F349" s="113"/>
      <c r="G349" s="89"/>
      <c r="H349" s="11" t="str">
        <f>'Приложение 10'!H582</f>
        <v>Основное мероприятие «Реализация регионального проекта «Финансовая поддержка семей при рождении детей» в части организации и предоставления денежной выплаты взамен предоставления земельного участка гражданам, имеющих трех и более детей»</v>
      </c>
      <c r="I349" s="10">
        <f>'Приложение 10'!I582</f>
        <v>664</v>
      </c>
      <c r="J349" s="7">
        <f>'Приложение 10'!J582</f>
        <v>10</v>
      </c>
      <c r="K349" s="7">
        <f>'Приложение 10'!K582</f>
        <v>3</v>
      </c>
      <c r="L349" s="95" t="str">
        <f>'Приложение 10'!L582</f>
        <v>48</v>
      </c>
      <c r="M349" s="96" t="str">
        <f>'Приложение 10'!M582</f>
        <v>0</v>
      </c>
      <c r="N349" s="96" t="str">
        <f>'Приложение 10'!N582</f>
        <v>Р1</v>
      </c>
      <c r="O349" s="96" t="str">
        <f>'Приложение 10'!O582</f>
        <v>00000</v>
      </c>
      <c r="P349" s="10" t="s">
        <v>614</v>
      </c>
      <c r="Q349" s="214">
        <f>'Приложение 10'!Q582</f>
        <v>4914.8</v>
      </c>
      <c r="R349" s="215">
        <f t="shared" si="40"/>
        <v>4914.8</v>
      </c>
      <c r="S349" s="215">
        <f t="shared" si="40"/>
        <v>4914.8</v>
      </c>
    </row>
    <row r="350" spans="1:19" ht="51" customHeight="1">
      <c r="A350" s="99"/>
      <c r="B350" s="98"/>
      <c r="C350" s="103"/>
      <c r="D350" s="101"/>
      <c r="E350" s="113"/>
      <c r="F350" s="113"/>
      <c r="G350" s="89"/>
      <c r="H350" s="11" t="str">
        <f>'Приложение 10'!H583</f>
        <v>Осуществление отдельных государственных полномочий в соответствии с законом области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v>
      </c>
      <c r="I350" s="10">
        <f>'Приложение 10'!I583</f>
        <v>664</v>
      </c>
      <c r="J350" s="7">
        <f>'Приложение 10'!J583</f>
        <v>10</v>
      </c>
      <c r="K350" s="7">
        <f>'Приложение 10'!K583</f>
        <v>3</v>
      </c>
      <c r="L350" s="95" t="str">
        <f>'Приложение 10'!L583</f>
        <v>48</v>
      </c>
      <c r="M350" s="96" t="str">
        <f>'Приложение 10'!M583</f>
        <v>0</v>
      </c>
      <c r="N350" s="96" t="str">
        <f>'Приложение 10'!N583</f>
        <v>P1</v>
      </c>
      <c r="O350" s="96" t="str">
        <f>'Приложение 10'!O583</f>
        <v>72300</v>
      </c>
      <c r="P350" s="10" t="s">
        <v>614</v>
      </c>
      <c r="Q350" s="214">
        <f>'Приложение 10'!Q583</f>
        <v>4914.8</v>
      </c>
      <c r="R350" s="214">
        <f t="shared" si="40"/>
        <v>4914.8</v>
      </c>
      <c r="S350" s="214">
        <f t="shared" si="40"/>
        <v>4914.8</v>
      </c>
    </row>
    <row r="351" spans="1:19" ht="27" customHeight="1">
      <c r="A351" s="99"/>
      <c r="B351" s="98"/>
      <c r="C351" s="103"/>
      <c r="D351" s="101"/>
      <c r="E351" s="113"/>
      <c r="F351" s="113"/>
      <c r="G351" s="89"/>
      <c r="H351" s="11" t="str">
        <f>'Приложение 10'!H584</f>
        <v>Социальные выплаты гражданам, кроме публичных нормативных социальных выплат</v>
      </c>
      <c r="I351" s="10">
        <f>'Приложение 10'!I584</f>
        <v>664</v>
      </c>
      <c r="J351" s="7">
        <f>'Приложение 10'!J584</f>
        <v>10</v>
      </c>
      <c r="K351" s="7">
        <f>'Приложение 10'!K584</f>
        <v>3</v>
      </c>
      <c r="L351" s="95" t="str">
        <f>'Приложение 10'!L584</f>
        <v>48</v>
      </c>
      <c r="M351" s="96" t="str">
        <f>'Приложение 10'!M584</f>
        <v>0</v>
      </c>
      <c r="N351" s="96" t="str">
        <f>'Приложение 10'!N584</f>
        <v>P1</v>
      </c>
      <c r="O351" s="96" t="str">
        <f>'Приложение 10'!O584</f>
        <v>72300</v>
      </c>
      <c r="P351" s="10">
        <f>'Приложение 10'!P584</f>
        <v>320</v>
      </c>
      <c r="Q351" s="214">
        <f>'Приложение 10'!Q584</f>
        <v>4914.8</v>
      </c>
      <c r="R351" s="215">
        <f>'Приложение 10'!Q584</f>
        <v>4914.8</v>
      </c>
      <c r="S351" s="239">
        <f>'Приложение 10'!R584</f>
        <v>4914.8</v>
      </c>
    </row>
    <row r="352" spans="1:19" ht="27" customHeight="1">
      <c r="A352" s="99"/>
      <c r="B352" s="98"/>
      <c r="C352" s="103"/>
      <c r="D352" s="101"/>
      <c r="E352" s="113"/>
      <c r="F352" s="113"/>
      <c r="G352" s="89"/>
      <c r="H352" s="5" t="s">
        <v>300</v>
      </c>
      <c r="I352" s="6">
        <v>27</v>
      </c>
      <c r="J352" s="7">
        <v>10</v>
      </c>
      <c r="K352" s="7">
        <v>3</v>
      </c>
      <c r="L352" s="95" t="s">
        <v>573</v>
      </c>
      <c r="M352" s="96" t="s">
        <v>556</v>
      </c>
      <c r="N352" s="96" t="s">
        <v>576</v>
      </c>
      <c r="O352" s="96" t="s">
        <v>299</v>
      </c>
      <c r="P352" s="6"/>
      <c r="Q352" s="214">
        <f>Q353</f>
        <v>374</v>
      </c>
      <c r="R352" s="214">
        <f>R353</f>
        <v>380</v>
      </c>
      <c r="S352" s="214">
        <f>S353</f>
        <v>380</v>
      </c>
    </row>
    <row r="353" spans="1:19" ht="27" customHeight="1">
      <c r="A353" s="99"/>
      <c r="B353" s="98"/>
      <c r="C353" s="103"/>
      <c r="D353" s="101"/>
      <c r="E353" s="113"/>
      <c r="F353" s="113"/>
      <c r="G353" s="89"/>
      <c r="H353" s="5" t="s">
        <v>716</v>
      </c>
      <c r="I353" s="8">
        <v>27</v>
      </c>
      <c r="J353" s="7">
        <v>10</v>
      </c>
      <c r="K353" s="7">
        <v>3</v>
      </c>
      <c r="L353" s="95" t="s">
        <v>573</v>
      </c>
      <c r="M353" s="96" t="s">
        <v>556</v>
      </c>
      <c r="N353" s="96" t="s">
        <v>576</v>
      </c>
      <c r="O353" s="96" t="s">
        <v>299</v>
      </c>
      <c r="P353" s="6">
        <v>310</v>
      </c>
      <c r="Q353" s="214">
        <v>374</v>
      </c>
      <c r="R353" s="214">
        <v>380</v>
      </c>
      <c r="S353" s="214">
        <v>380</v>
      </c>
    </row>
    <row r="354" spans="1:19" s="179" customFormat="1" ht="18.75" customHeight="1">
      <c r="A354" s="142"/>
      <c r="B354" s="143"/>
      <c r="C354" s="153"/>
      <c r="D354" s="150"/>
      <c r="E354" s="384">
        <v>3150300</v>
      </c>
      <c r="F354" s="384"/>
      <c r="G354" s="136">
        <v>850</v>
      </c>
      <c r="H354" s="137" t="s">
        <v>370</v>
      </c>
      <c r="I354" s="138">
        <v>663</v>
      </c>
      <c r="J354" s="148">
        <v>10</v>
      </c>
      <c r="K354" s="148">
        <v>4</v>
      </c>
      <c r="L354" s="140" t="s">
        <v>527</v>
      </c>
      <c r="M354" s="141" t="s">
        <v>527</v>
      </c>
      <c r="N354" s="141"/>
      <c r="O354" s="141" t="s">
        <v>527</v>
      </c>
      <c r="P354" s="138" t="s">
        <v>527</v>
      </c>
      <c r="Q354" s="213" t="e">
        <f>#REF!+Q355</f>
        <v>#REF!</v>
      </c>
      <c r="R354" s="213">
        <f>R355</f>
        <v>3455.1</v>
      </c>
      <c r="S354" s="213">
        <f>S355</f>
        <v>3455.1</v>
      </c>
    </row>
    <row r="355" spans="1:19" ht="26.25" customHeight="1">
      <c r="A355" s="110"/>
      <c r="B355" s="111"/>
      <c r="C355" s="106"/>
      <c r="D355" s="107"/>
      <c r="E355" s="104"/>
      <c r="F355" s="104"/>
      <c r="G355" s="89"/>
      <c r="H355" s="22" t="s">
        <v>292</v>
      </c>
      <c r="I355" s="10">
        <v>663</v>
      </c>
      <c r="J355" s="7">
        <v>10</v>
      </c>
      <c r="K355" s="7">
        <v>4</v>
      </c>
      <c r="L355" s="95" t="s">
        <v>573</v>
      </c>
      <c r="M355" s="96" t="s">
        <v>556</v>
      </c>
      <c r="N355" s="96" t="s">
        <v>576</v>
      </c>
      <c r="O355" s="96" t="s">
        <v>613</v>
      </c>
      <c r="P355" s="10"/>
      <c r="Q355" s="214">
        <f aca="true" t="shared" si="41" ref="Q355:S356">Q356</f>
        <v>0</v>
      </c>
      <c r="R355" s="214">
        <f t="shared" si="41"/>
        <v>3455.1</v>
      </c>
      <c r="S355" s="214">
        <f t="shared" si="41"/>
        <v>3455.1</v>
      </c>
    </row>
    <row r="356" spans="1:19" ht="51" customHeight="1">
      <c r="A356" s="110"/>
      <c r="B356" s="111"/>
      <c r="C356" s="106"/>
      <c r="D356" s="107"/>
      <c r="E356" s="104"/>
      <c r="F356" s="104"/>
      <c r="G356" s="89"/>
      <c r="H356" s="11" t="s">
        <v>323</v>
      </c>
      <c r="I356" s="10">
        <v>663</v>
      </c>
      <c r="J356" s="7">
        <v>10</v>
      </c>
      <c r="K356" s="7">
        <v>4</v>
      </c>
      <c r="L356" s="16">
        <v>91</v>
      </c>
      <c r="M356" s="96" t="s">
        <v>556</v>
      </c>
      <c r="N356" s="96" t="s">
        <v>576</v>
      </c>
      <c r="O356" s="96" t="s">
        <v>322</v>
      </c>
      <c r="P356" s="10"/>
      <c r="Q356" s="214">
        <f t="shared" si="41"/>
        <v>0</v>
      </c>
      <c r="R356" s="214">
        <f t="shared" si="41"/>
        <v>3455.1</v>
      </c>
      <c r="S356" s="214">
        <f t="shared" si="41"/>
        <v>3455.1</v>
      </c>
    </row>
    <row r="357" spans="1:19" ht="26.25" customHeight="1">
      <c r="A357" s="110"/>
      <c r="B357" s="111"/>
      <c r="C357" s="106"/>
      <c r="D357" s="107"/>
      <c r="E357" s="104"/>
      <c r="F357" s="104"/>
      <c r="G357" s="89"/>
      <c r="H357" s="11" t="s">
        <v>717</v>
      </c>
      <c r="I357" s="10">
        <v>663</v>
      </c>
      <c r="J357" s="7">
        <v>10</v>
      </c>
      <c r="K357" s="7">
        <v>4</v>
      </c>
      <c r="L357" s="16">
        <v>91</v>
      </c>
      <c r="M357" s="96" t="s">
        <v>556</v>
      </c>
      <c r="N357" s="96" t="s">
        <v>576</v>
      </c>
      <c r="O357" s="96" t="s">
        <v>322</v>
      </c>
      <c r="P357" s="10">
        <v>320</v>
      </c>
      <c r="Q357" s="214">
        <v>0</v>
      </c>
      <c r="R357" s="214">
        <v>3455.1</v>
      </c>
      <c r="S357" s="214">
        <v>3455.1</v>
      </c>
    </row>
    <row r="358" spans="1:19" s="179" customFormat="1" ht="25.5" customHeight="1">
      <c r="A358" s="142"/>
      <c r="B358" s="143"/>
      <c r="C358" s="153"/>
      <c r="D358" s="150"/>
      <c r="E358" s="145"/>
      <c r="F358" s="145"/>
      <c r="G358" s="155">
        <v>622</v>
      </c>
      <c r="H358" s="149" t="s">
        <v>531</v>
      </c>
      <c r="I358" s="152">
        <v>27</v>
      </c>
      <c r="J358" s="148">
        <v>10</v>
      </c>
      <c r="K358" s="148">
        <v>6</v>
      </c>
      <c r="L358" s="185"/>
      <c r="M358" s="186"/>
      <c r="N358" s="186"/>
      <c r="O358" s="186"/>
      <c r="P358" s="146"/>
      <c r="Q358" s="217" t="e">
        <f>Q359</f>
        <v>#REF!</v>
      </c>
      <c r="R358" s="217">
        <f>R359</f>
        <v>1132.1</v>
      </c>
      <c r="S358" s="217">
        <f>S359</f>
        <v>1132.1</v>
      </c>
    </row>
    <row r="359" spans="1:19" s="179" customFormat="1" ht="25.5" customHeight="1">
      <c r="A359" s="142"/>
      <c r="B359" s="143"/>
      <c r="C359" s="153"/>
      <c r="D359" s="150"/>
      <c r="E359" s="145"/>
      <c r="F359" s="145"/>
      <c r="G359" s="136"/>
      <c r="H359" s="11" t="s">
        <v>292</v>
      </c>
      <c r="I359" s="6">
        <v>27</v>
      </c>
      <c r="J359" s="7">
        <v>10</v>
      </c>
      <c r="K359" s="7">
        <v>6</v>
      </c>
      <c r="L359" s="122" t="s">
        <v>573</v>
      </c>
      <c r="M359" s="123" t="s">
        <v>556</v>
      </c>
      <c r="N359" s="123" t="s">
        <v>576</v>
      </c>
      <c r="O359" s="123" t="s">
        <v>613</v>
      </c>
      <c r="P359" s="6"/>
      <c r="Q359" s="216" t="e">
        <f>Q360+Q362+#REF!</f>
        <v>#REF!</v>
      </c>
      <c r="R359" s="216">
        <f>R360+R362</f>
        <v>1132.1</v>
      </c>
      <c r="S359" s="216">
        <f>S360+S362</f>
        <v>1132.1</v>
      </c>
    </row>
    <row r="360" spans="1:19" ht="30.75" customHeight="1">
      <c r="A360" s="99"/>
      <c r="B360" s="98"/>
      <c r="C360" s="103"/>
      <c r="D360" s="101"/>
      <c r="E360" s="372">
        <v>5225700</v>
      </c>
      <c r="F360" s="372"/>
      <c r="G360" s="89">
        <v>612</v>
      </c>
      <c r="H360" s="11" t="s">
        <v>52</v>
      </c>
      <c r="I360" s="10">
        <v>27</v>
      </c>
      <c r="J360" s="7">
        <v>10</v>
      </c>
      <c r="K360" s="7">
        <v>6</v>
      </c>
      <c r="L360" s="95" t="s">
        <v>573</v>
      </c>
      <c r="M360" s="96" t="s">
        <v>556</v>
      </c>
      <c r="N360" s="96" t="s">
        <v>576</v>
      </c>
      <c r="O360" s="96" t="s">
        <v>51</v>
      </c>
      <c r="P360" s="6"/>
      <c r="Q360" s="216">
        <f>Q361</f>
        <v>45</v>
      </c>
      <c r="R360" s="216">
        <f>R361</f>
        <v>45</v>
      </c>
      <c r="S360" s="216">
        <f>S361</f>
        <v>45</v>
      </c>
    </row>
    <row r="361" spans="1:19" ht="21.75" customHeight="1">
      <c r="A361" s="99"/>
      <c r="B361" s="98"/>
      <c r="C361" s="103"/>
      <c r="D361" s="101"/>
      <c r="E361" s="104"/>
      <c r="F361" s="104"/>
      <c r="G361" s="89"/>
      <c r="H361" s="5" t="s">
        <v>517</v>
      </c>
      <c r="I361" s="10">
        <v>27</v>
      </c>
      <c r="J361" s="7">
        <v>10</v>
      </c>
      <c r="K361" s="7">
        <v>6</v>
      </c>
      <c r="L361" s="95" t="s">
        <v>573</v>
      </c>
      <c r="M361" s="96" t="s">
        <v>556</v>
      </c>
      <c r="N361" s="96" t="s">
        <v>576</v>
      </c>
      <c r="O361" s="96" t="s">
        <v>51</v>
      </c>
      <c r="P361" s="10">
        <v>630</v>
      </c>
      <c r="Q361" s="214">
        <v>45</v>
      </c>
      <c r="R361" s="214">
        <v>45</v>
      </c>
      <c r="S361" s="214">
        <v>45</v>
      </c>
    </row>
    <row r="362" spans="1:19" ht="30.75" customHeight="1">
      <c r="A362" s="99"/>
      <c r="B362" s="98"/>
      <c r="C362" s="103"/>
      <c r="D362" s="101"/>
      <c r="E362" s="104"/>
      <c r="F362" s="104"/>
      <c r="G362" s="89"/>
      <c r="H362" s="11" t="s">
        <v>807</v>
      </c>
      <c r="I362" s="10">
        <v>27</v>
      </c>
      <c r="J362" s="7">
        <v>10</v>
      </c>
      <c r="K362" s="7">
        <v>6</v>
      </c>
      <c r="L362" s="95" t="s">
        <v>573</v>
      </c>
      <c r="M362" s="96" t="s">
        <v>556</v>
      </c>
      <c r="N362" s="96" t="s">
        <v>576</v>
      </c>
      <c r="O362" s="96" t="s">
        <v>806</v>
      </c>
      <c r="P362" s="6"/>
      <c r="Q362" s="216">
        <f>Q363</f>
        <v>1087.1</v>
      </c>
      <c r="R362" s="216">
        <f>R363</f>
        <v>1087.1</v>
      </c>
      <c r="S362" s="216">
        <f>S363</f>
        <v>1087.1</v>
      </c>
    </row>
    <row r="363" spans="1:19" ht="26.25" customHeight="1">
      <c r="A363" s="99"/>
      <c r="B363" s="98"/>
      <c r="C363" s="103"/>
      <c r="D363" s="101"/>
      <c r="E363" s="104"/>
      <c r="F363" s="104"/>
      <c r="G363" s="89"/>
      <c r="H363" s="11" t="s">
        <v>526</v>
      </c>
      <c r="I363" s="10">
        <v>27</v>
      </c>
      <c r="J363" s="7">
        <v>10</v>
      </c>
      <c r="K363" s="7">
        <v>6</v>
      </c>
      <c r="L363" s="95" t="s">
        <v>573</v>
      </c>
      <c r="M363" s="96" t="s">
        <v>556</v>
      </c>
      <c r="N363" s="96" t="s">
        <v>576</v>
      </c>
      <c r="O363" s="96" t="s">
        <v>806</v>
      </c>
      <c r="P363" s="6">
        <v>120</v>
      </c>
      <c r="Q363" s="216">
        <v>1087.1</v>
      </c>
      <c r="R363" s="239">
        <v>1087.1</v>
      </c>
      <c r="S363" s="239">
        <v>1087.1</v>
      </c>
    </row>
    <row r="364" spans="1:19" s="179" customFormat="1" ht="18.75" customHeight="1">
      <c r="A364" s="142"/>
      <c r="B364" s="143"/>
      <c r="C364" s="153"/>
      <c r="D364" s="144"/>
      <c r="E364" s="145"/>
      <c r="F364" s="145"/>
      <c r="G364" s="155">
        <v>612</v>
      </c>
      <c r="H364" s="149" t="s">
        <v>530</v>
      </c>
      <c r="I364" s="152">
        <v>27</v>
      </c>
      <c r="J364" s="148">
        <v>11</v>
      </c>
      <c r="K364" s="148"/>
      <c r="L364" s="140"/>
      <c r="M364" s="141"/>
      <c r="N364" s="141"/>
      <c r="O364" s="141"/>
      <c r="P364" s="146"/>
      <c r="Q364" s="217">
        <f aca="true" t="shared" si="42" ref="Q364:S365">Q365</f>
        <v>7189.8</v>
      </c>
      <c r="R364" s="217">
        <f t="shared" si="42"/>
        <v>10084.8</v>
      </c>
      <c r="S364" s="217">
        <f t="shared" si="42"/>
        <v>7300</v>
      </c>
    </row>
    <row r="365" spans="1:19" s="179" customFormat="1" ht="19.5" customHeight="1">
      <c r="A365" s="142"/>
      <c r="B365" s="143"/>
      <c r="C365" s="142"/>
      <c r="D365" s="385">
        <v>5250000</v>
      </c>
      <c r="E365" s="386"/>
      <c r="F365" s="386"/>
      <c r="G365" s="136">
        <v>530</v>
      </c>
      <c r="H365" s="137" t="s">
        <v>371</v>
      </c>
      <c r="I365" s="138">
        <v>27</v>
      </c>
      <c r="J365" s="148">
        <v>11</v>
      </c>
      <c r="K365" s="148">
        <v>1</v>
      </c>
      <c r="L365" s="140"/>
      <c r="M365" s="141"/>
      <c r="N365" s="141"/>
      <c r="O365" s="141"/>
      <c r="P365" s="138"/>
      <c r="Q365" s="213">
        <f t="shared" si="42"/>
        <v>7189.8</v>
      </c>
      <c r="R365" s="213">
        <f t="shared" si="42"/>
        <v>10084.8</v>
      </c>
      <c r="S365" s="213">
        <f t="shared" si="42"/>
        <v>7300</v>
      </c>
    </row>
    <row r="366" spans="1:19" ht="34.5" customHeight="1">
      <c r="A366" s="99"/>
      <c r="B366" s="98"/>
      <c r="C366" s="103"/>
      <c r="D366" s="101"/>
      <c r="E366" s="113"/>
      <c r="F366" s="113"/>
      <c r="G366" s="105"/>
      <c r="H366" s="5" t="s">
        <v>675</v>
      </c>
      <c r="I366" s="6">
        <v>27</v>
      </c>
      <c r="J366" s="7">
        <v>11</v>
      </c>
      <c r="K366" s="7">
        <v>1</v>
      </c>
      <c r="L366" s="95" t="s">
        <v>676</v>
      </c>
      <c r="M366" s="96" t="s">
        <v>556</v>
      </c>
      <c r="N366" s="96" t="s">
        <v>576</v>
      </c>
      <c r="O366" s="96" t="s">
        <v>613</v>
      </c>
      <c r="P366" s="6"/>
      <c r="Q366" s="214">
        <f>Q367+Q372</f>
        <v>7189.8</v>
      </c>
      <c r="R366" s="214">
        <f>R367+R372</f>
        <v>10084.8</v>
      </c>
      <c r="S366" s="214">
        <f>S367+S372</f>
        <v>7300</v>
      </c>
    </row>
    <row r="367" spans="1:19" ht="24.75" customHeight="1">
      <c r="A367" s="99"/>
      <c r="B367" s="98"/>
      <c r="C367" s="103"/>
      <c r="D367" s="101"/>
      <c r="E367" s="113"/>
      <c r="F367" s="113"/>
      <c r="G367" s="89"/>
      <c r="H367" s="11" t="s">
        <v>308</v>
      </c>
      <c r="I367" s="10">
        <v>27</v>
      </c>
      <c r="J367" s="7">
        <v>11</v>
      </c>
      <c r="K367" s="7">
        <v>1</v>
      </c>
      <c r="L367" s="122" t="s">
        <v>676</v>
      </c>
      <c r="M367" s="123" t="s">
        <v>556</v>
      </c>
      <c r="N367" s="123" t="s">
        <v>585</v>
      </c>
      <c r="O367" s="123" t="s">
        <v>613</v>
      </c>
      <c r="P367" s="10"/>
      <c r="Q367" s="214">
        <f aca="true" t="shared" si="43" ref="Q367:S368">Q368</f>
        <v>7189.8</v>
      </c>
      <c r="R367" s="214">
        <f>R368+R370</f>
        <v>7200</v>
      </c>
      <c r="S367" s="214">
        <f>S368+S370</f>
        <v>7300</v>
      </c>
    </row>
    <row r="368" spans="1:19" ht="22.5" customHeight="1">
      <c r="A368" s="99"/>
      <c r="B368" s="98"/>
      <c r="C368" s="103"/>
      <c r="D368" s="101"/>
      <c r="E368" s="113"/>
      <c r="F368" s="113"/>
      <c r="G368" s="89"/>
      <c r="H368" s="11" t="s">
        <v>307</v>
      </c>
      <c r="I368" s="10">
        <v>27</v>
      </c>
      <c r="J368" s="7">
        <v>11</v>
      </c>
      <c r="K368" s="7">
        <v>1</v>
      </c>
      <c r="L368" s="122" t="s">
        <v>676</v>
      </c>
      <c r="M368" s="123" t="s">
        <v>556</v>
      </c>
      <c r="N368" s="123" t="s">
        <v>585</v>
      </c>
      <c r="O368" s="123" t="s">
        <v>306</v>
      </c>
      <c r="P368" s="10"/>
      <c r="Q368" s="214">
        <f t="shared" si="43"/>
        <v>7189.8</v>
      </c>
      <c r="R368" s="214">
        <f t="shared" si="43"/>
        <v>6267.3</v>
      </c>
      <c r="S368" s="214">
        <f t="shared" si="43"/>
        <v>6367.3</v>
      </c>
    </row>
    <row r="369" spans="1:19" ht="22.5" customHeight="1">
      <c r="A369" s="99"/>
      <c r="B369" s="98"/>
      <c r="C369" s="103"/>
      <c r="D369" s="101"/>
      <c r="E369" s="113"/>
      <c r="F369" s="113"/>
      <c r="G369" s="89"/>
      <c r="H369" s="11" t="s">
        <v>714</v>
      </c>
      <c r="I369" s="10">
        <v>27</v>
      </c>
      <c r="J369" s="7">
        <v>11</v>
      </c>
      <c r="K369" s="7">
        <v>1</v>
      </c>
      <c r="L369" s="122" t="s">
        <v>676</v>
      </c>
      <c r="M369" s="123" t="s">
        <v>556</v>
      </c>
      <c r="N369" s="123" t="s">
        <v>585</v>
      </c>
      <c r="O369" s="123" t="s">
        <v>306</v>
      </c>
      <c r="P369" s="10">
        <v>610</v>
      </c>
      <c r="Q369" s="214">
        <v>7189.8</v>
      </c>
      <c r="R369" s="214">
        <f>'Приложение 10'!Q289</f>
        <v>6267.3</v>
      </c>
      <c r="S369" s="214">
        <f>'Приложение 10'!R289</f>
        <v>6367.3</v>
      </c>
    </row>
    <row r="370" spans="1:19" ht="33.75" customHeight="1">
      <c r="A370" s="99"/>
      <c r="B370" s="98"/>
      <c r="C370" s="103"/>
      <c r="D370" s="101"/>
      <c r="E370" s="113"/>
      <c r="F370" s="113"/>
      <c r="G370" s="89"/>
      <c r="H370" s="11" t="str">
        <f>'Приложение 10'!H290</f>
        <v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v>
      </c>
      <c r="I370" s="10">
        <f>'Приложение 10'!I290</f>
        <v>27</v>
      </c>
      <c r="J370" s="7">
        <f>'Приложение 10'!J290</f>
        <v>11</v>
      </c>
      <c r="K370" s="7">
        <f>'Приложение 10'!K290</f>
        <v>1</v>
      </c>
      <c r="L370" s="122" t="str">
        <f>'Приложение 10'!L290</f>
        <v>29</v>
      </c>
      <c r="M370" s="123" t="str">
        <f>'Приложение 10'!M290</f>
        <v>0</v>
      </c>
      <c r="N370" s="123" t="str">
        <f>'Приложение 10'!N290</f>
        <v>02</v>
      </c>
      <c r="O370" s="123" t="str">
        <f>'Приложение 10'!O290</f>
        <v>70030</v>
      </c>
      <c r="P370" s="10" t="s">
        <v>614</v>
      </c>
      <c r="Q370" s="214">
        <f>'Приложение 10'!Q290</f>
        <v>932.7</v>
      </c>
      <c r="R370" s="214">
        <f>R371</f>
        <v>932.7</v>
      </c>
      <c r="S370" s="214">
        <f>S371</f>
        <v>932.7</v>
      </c>
    </row>
    <row r="371" spans="1:19" ht="22.5" customHeight="1">
      <c r="A371" s="99"/>
      <c r="B371" s="98"/>
      <c r="C371" s="103"/>
      <c r="D371" s="101"/>
      <c r="E371" s="113"/>
      <c r="F371" s="113"/>
      <c r="G371" s="89"/>
      <c r="H371" s="11" t="str">
        <f>'Приложение 10'!H291</f>
        <v>Субсидии бюджетным учреждениям</v>
      </c>
      <c r="I371" s="10">
        <f>'Приложение 10'!I291</f>
        <v>27</v>
      </c>
      <c r="J371" s="7">
        <f>'Приложение 10'!J291</f>
        <v>11</v>
      </c>
      <c r="K371" s="7">
        <f>'Приложение 10'!K291</f>
        <v>1</v>
      </c>
      <c r="L371" s="122" t="str">
        <f>'Приложение 10'!L291</f>
        <v>29</v>
      </c>
      <c r="M371" s="123" t="str">
        <f>'Приложение 10'!M291</f>
        <v>0</v>
      </c>
      <c r="N371" s="123" t="str">
        <f>'Приложение 10'!N291</f>
        <v>02</v>
      </c>
      <c r="O371" s="123" t="str">
        <f>'Приложение 10'!O291</f>
        <v>70030</v>
      </c>
      <c r="P371" s="10">
        <f>'Приложение 10'!P291</f>
        <v>610</v>
      </c>
      <c r="Q371" s="214">
        <f>'Приложение 10'!Q291</f>
        <v>932.7</v>
      </c>
      <c r="R371" s="214">
        <f>'Приложение 10'!Q291</f>
        <v>932.7</v>
      </c>
      <c r="S371" s="214">
        <f>'Приложение 10'!R291</f>
        <v>932.7</v>
      </c>
    </row>
    <row r="372" spans="1:19" ht="37.5" customHeight="1">
      <c r="A372" s="99"/>
      <c r="B372" s="98"/>
      <c r="C372" s="103"/>
      <c r="D372" s="101"/>
      <c r="E372" s="113"/>
      <c r="F372" s="113"/>
      <c r="G372" s="89"/>
      <c r="H372" s="11" t="s">
        <v>678</v>
      </c>
      <c r="I372" s="10">
        <v>27</v>
      </c>
      <c r="J372" s="7">
        <v>11</v>
      </c>
      <c r="K372" s="7">
        <v>1</v>
      </c>
      <c r="L372" s="122" t="s">
        <v>676</v>
      </c>
      <c r="M372" s="123" t="s">
        <v>556</v>
      </c>
      <c r="N372" s="123" t="s">
        <v>677</v>
      </c>
      <c r="O372" s="123" t="s">
        <v>73</v>
      </c>
      <c r="P372" s="10"/>
      <c r="Q372" s="214"/>
      <c r="R372" s="214">
        <f>R373</f>
        <v>2884.8</v>
      </c>
      <c r="S372" s="214">
        <f>S373</f>
        <v>0</v>
      </c>
    </row>
    <row r="373" spans="1:19" ht="27" customHeight="1">
      <c r="A373" s="99"/>
      <c r="B373" s="98"/>
      <c r="C373" s="103"/>
      <c r="D373" s="101"/>
      <c r="E373" s="113"/>
      <c r="F373" s="113"/>
      <c r="G373" s="89"/>
      <c r="H373" s="11" t="s">
        <v>714</v>
      </c>
      <c r="I373" s="10">
        <v>27</v>
      </c>
      <c r="J373" s="7">
        <v>11</v>
      </c>
      <c r="K373" s="7">
        <v>1</v>
      </c>
      <c r="L373" s="122" t="s">
        <v>676</v>
      </c>
      <c r="M373" s="123" t="s">
        <v>556</v>
      </c>
      <c r="N373" s="123" t="s">
        <v>677</v>
      </c>
      <c r="O373" s="123" t="s">
        <v>73</v>
      </c>
      <c r="P373" s="10">
        <v>610</v>
      </c>
      <c r="Q373" s="214">
        <v>0</v>
      </c>
      <c r="R373" s="214">
        <v>2884.8</v>
      </c>
      <c r="S373" s="214">
        <v>0</v>
      </c>
    </row>
    <row r="374" spans="1:19" s="179" customFormat="1" ht="30.75" customHeight="1">
      <c r="A374" s="142"/>
      <c r="B374" s="143"/>
      <c r="C374" s="157"/>
      <c r="D374" s="170"/>
      <c r="E374" s="145"/>
      <c r="F374" s="145"/>
      <c r="G374" s="155"/>
      <c r="H374" s="137" t="s">
        <v>333</v>
      </c>
      <c r="I374" s="146">
        <v>661</v>
      </c>
      <c r="J374" s="148">
        <v>14</v>
      </c>
      <c r="K374" s="148" t="s">
        <v>527</v>
      </c>
      <c r="L374" s="139" t="s">
        <v>527</v>
      </c>
      <c r="M374" s="141" t="s">
        <v>527</v>
      </c>
      <c r="N374" s="141"/>
      <c r="O374" s="141" t="s">
        <v>527</v>
      </c>
      <c r="P374" s="146" t="s">
        <v>527</v>
      </c>
      <c r="Q374" s="217">
        <f>Q375+Q383</f>
        <v>12096.8</v>
      </c>
      <c r="R374" s="217">
        <f>R375+R383</f>
        <v>17823.8</v>
      </c>
      <c r="S374" s="217">
        <f>S375+S383</f>
        <v>17916.8</v>
      </c>
    </row>
    <row r="375" spans="1:19" s="179" customFormat="1" ht="30.75" customHeight="1">
      <c r="A375" s="142"/>
      <c r="B375" s="143"/>
      <c r="C375" s="157"/>
      <c r="D375" s="170"/>
      <c r="E375" s="145"/>
      <c r="F375" s="145"/>
      <c r="G375" s="155"/>
      <c r="H375" s="137" t="s">
        <v>580</v>
      </c>
      <c r="I375" s="146">
        <v>661</v>
      </c>
      <c r="J375" s="148">
        <v>14</v>
      </c>
      <c r="K375" s="148">
        <v>1</v>
      </c>
      <c r="L375" s="139" t="s">
        <v>527</v>
      </c>
      <c r="M375" s="141" t="s">
        <v>527</v>
      </c>
      <c r="N375" s="141"/>
      <c r="O375" s="141" t="s">
        <v>527</v>
      </c>
      <c r="P375" s="146" t="s">
        <v>527</v>
      </c>
      <c r="Q375" s="217">
        <f aca="true" t="shared" si="44" ref="Q375:S377">Q376</f>
        <v>5032.799999999999</v>
      </c>
      <c r="R375" s="217">
        <f t="shared" si="44"/>
        <v>5252.3</v>
      </c>
      <c r="S375" s="217">
        <f t="shared" si="44"/>
        <v>5735.7</v>
      </c>
    </row>
    <row r="376" spans="1:19" ht="36.75" customHeight="1">
      <c r="A376" s="97"/>
      <c r="B376" s="98"/>
      <c r="C376" s="103"/>
      <c r="D376" s="101"/>
      <c r="E376" s="104"/>
      <c r="F376" s="104"/>
      <c r="G376" s="89"/>
      <c r="H376" s="11" t="s">
        <v>700</v>
      </c>
      <c r="I376" s="10">
        <v>661</v>
      </c>
      <c r="J376" s="7">
        <v>14</v>
      </c>
      <c r="K376" s="7">
        <v>1</v>
      </c>
      <c r="L376" s="95" t="s">
        <v>701</v>
      </c>
      <c r="M376" s="96" t="s">
        <v>556</v>
      </c>
      <c r="N376" s="96" t="s">
        <v>576</v>
      </c>
      <c r="O376" s="96" t="s">
        <v>613</v>
      </c>
      <c r="P376" s="6"/>
      <c r="Q376" s="216">
        <f t="shared" si="44"/>
        <v>5032.799999999999</v>
      </c>
      <c r="R376" s="216">
        <f t="shared" si="44"/>
        <v>5252.3</v>
      </c>
      <c r="S376" s="216">
        <f t="shared" si="44"/>
        <v>5735.7</v>
      </c>
    </row>
    <row r="377" spans="1:19" ht="36.75" customHeight="1">
      <c r="A377" s="97"/>
      <c r="B377" s="98"/>
      <c r="C377" s="106"/>
      <c r="D377" s="107"/>
      <c r="E377" s="104"/>
      <c r="F377" s="104"/>
      <c r="G377" s="89"/>
      <c r="H377" s="11" t="s">
        <v>706</v>
      </c>
      <c r="I377" s="10">
        <v>661</v>
      </c>
      <c r="J377" s="7">
        <v>14</v>
      </c>
      <c r="K377" s="7">
        <v>1</v>
      </c>
      <c r="L377" s="95" t="s">
        <v>701</v>
      </c>
      <c r="M377" s="96" t="s">
        <v>552</v>
      </c>
      <c r="N377" s="96" t="s">
        <v>576</v>
      </c>
      <c r="O377" s="96" t="s">
        <v>613</v>
      </c>
      <c r="P377" s="6"/>
      <c r="Q377" s="216">
        <f t="shared" si="44"/>
        <v>5032.799999999999</v>
      </c>
      <c r="R377" s="216">
        <f t="shared" si="44"/>
        <v>5252.3</v>
      </c>
      <c r="S377" s="216">
        <f t="shared" si="44"/>
        <v>5735.7</v>
      </c>
    </row>
    <row r="378" spans="1:19" ht="22.5" customHeight="1">
      <c r="A378" s="99"/>
      <c r="B378" s="98"/>
      <c r="C378" s="106"/>
      <c r="D378" s="107"/>
      <c r="E378" s="104"/>
      <c r="F378" s="104"/>
      <c r="G378" s="105"/>
      <c r="H378" s="11" t="s">
        <v>41</v>
      </c>
      <c r="I378" s="6">
        <v>661</v>
      </c>
      <c r="J378" s="7">
        <v>14</v>
      </c>
      <c r="K378" s="7">
        <v>1</v>
      </c>
      <c r="L378" s="16">
        <v>33</v>
      </c>
      <c r="M378" s="96" t="s">
        <v>552</v>
      </c>
      <c r="N378" s="96" t="s">
        <v>557</v>
      </c>
      <c r="O378" s="96" t="s">
        <v>613</v>
      </c>
      <c r="P378" s="6" t="s">
        <v>527</v>
      </c>
      <c r="Q378" s="216">
        <f>Q379+Q381</f>
        <v>5032.799999999999</v>
      </c>
      <c r="R378" s="216">
        <f>R379+R381</f>
        <v>5252.3</v>
      </c>
      <c r="S378" s="216">
        <f>S379+S381</f>
        <v>5735.7</v>
      </c>
    </row>
    <row r="379" spans="1:19" ht="67.5" customHeight="1">
      <c r="A379" s="99"/>
      <c r="B379" s="98"/>
      <c r="C379" s="106"/>
      <c r="D379" s="107"/>
      <c r="E379" s="104"/>
      <c r="F379" s="104"/>
      <c r="G379" s="105"/>
      <c r="H379" s="11" t="s">
        <v>53</v>
      </c>
      <c r="I379" s="6">
        <v>661</v>
      </c>
      <c r="J379" s="7">
        <v>14</v>
      </c>
      <c r="K379" s="7">
        <v>1</v>
      </c>
      <c r="L379" s="16">
        <v>33</v>
      </c>
      <c r="M379" s="96" t="s">
        <v>552</v>
      </c>
      <c r="N379" s="96" t="s">
        <v>557</v>
      </c>
      <c r="O379" s="96" t="s">
        <v>646</v>
      </c>
      <c r="P379" s="6"/>
      <c r="Q379" s="214">
        <f>Q380</f>
        <v>2865.2</v>
      </c>
      <c r="R379" s="214">
        <f>R380</f>
        <v>2747.9</v>
      </c>
      <c r="S379" s="214">
        <f>S380</f>
        <v>2974.6</v>
      </c>
    </row>
    <row r="380" spans="1:19" ht="24.75" customHeight="1">
      <c r="A380" s="99"/>
      <c r="B380" s="98"/>
      <c r="C380" s="106"/>
      <c r="D380" s="107"/>
      <c r="E380" s="104"/>
      <c r="F380" s="104"/>
      <c r="G380" s="105"/>
      <c r="H380" s="11" t="s">
        <v>718</v>
      </c>
      <c r="I380" s="6">
        <v>661</v>
      </c>
      <c r="J380" s="7">
        <v>14</v>
      </c>
      <c r="K380" s="7">
        <v>1</v>
      </c>
      <c r="L380" s="16">
        <v>33</v>
      </c>
      <c r="M380" s="96" t="s">
        <v>552</v>
      </c>
      <c r="N380" s="96" t="s">
        <v>557</v>
      </c>
      <c r="O380" s="96" t="s">
        <v>646</v>
      </c>
      <c r="P380" s="6">
        <v>510</v>
      </c>
      <c r="Q380" s="214">
        <v>2865.2</v>
      </c>
      <c r="R380" s="214">
        <v>2747.9</v>
      </c>
      <c r="S380" s="214">
        <v>2974.6</v>
      </c>
    </row>
    <row r="381" spans="1:19" ht="21" customHeight="1">
      <c r="A381" s="99"/>
      <c r="B381" s="98"/>
      <c r="C381" s="106"/>
      <c r="D381" s="107"/>
      <c r="E381" s="104"/>
      <c r="F381" s="104"/>
      <c r="G381" s="105"/>
      <c r="H381" s="11" t="s">
        <v>55</v>
      </c>
      <c r="I381" s="6">
        <v>661</v>
      </c>
      <c r="J381" s="7">
        <v>14</v>
      </c>
      <c r="K381" s="7">
        <v>1</v>
      </c>
      <c r="L381" s="16">
        <v>33</v>
      </c>
      <c r="M381" s="96" t="s">
        <v>552</v>
      </c>
      <c r="N381" s="96" t="s">
        <v>557</v>
      </c>
      <c r="O381" s="96" t="s">
        <v>54</v>
      </c>
      <c r="P381" s="6" t="s">
        <v>527</v>
      </c>
      <c r="Q381" s="216">
        <f>Q382</f>
        <v>2167.6</v>
      </c>
      <c r="R381" s="216">
        <f>R382</f>
        <v>2504.4</v>
      </c>
      <c r="S381" s="216">
        <f>S382</f>
        <v>2761.1</v>
      </c>
    </row>
    <row r="382" spans="1:19" ht="23.25" customHeight="1">
      <c r="A382" s="99"/>
      <c r="B382" s="98"/>
      <c r="C382" s="106"/>
      <c r="D382" s="107"/>
      <c r="E382" s="104"/>
      <c r="F382" s="104"/>
      <c r="G382" s="105"/>
      <c r="H382" s="11" t="s">
        <v>718</v>
      </c>
      <c r="I382" s="6">
        <v>661</v>
      </c>
      <c r="J382" s="7">
        <v>14</v>
      </c>
      <c r="K382" s="7">
        <v>1</v>
      </c>
      <c r="L382" s="16">
        <v>33</v>
      </c>
      <c r="M382" s="96" t="s">
        <v>552</v>
      </c>
      <c r="N382" s="96" t="s">
        <v>557</v>
      </c>
      <c r="O382" s="96" t="s">
        <v>54</v>
      </c>
      <c r="P382" s="6">
        <v>510</v>
      </c>
      <c r="Q382" s="216">
        <v>2167.6</v>
      </c>
      <c r="R382" s="216">
        <v>2504.4</v>
      </c>
      <c r="S382" s="216">
        <v>2761.1</v>
      </c>
    </row>
    <row r="383" spans="1:19" s="179" customFormat="1" ht="22.5" customHeight="1">
      <c r="A383" s="142"/>
      <c r="B383" s="143"/>
      <c r="C383" s="157"/>
      <c r="D383" s="170"/>
      <c r="E383" s="145"/>
      <c r="F383" s="145"/>
      <c r="G383" s="155"/>
      <c r="H383" s="137" t="s">
        <v>638</v>
      </c>
      <c r="I383" s="146">
        <v>661</v>
      </c>
      <c r="J383" s="148">
        <v>14</v>
      </c>
      <c r="K383" s="148">
        <v>2</v>
      </c>
      <c r="L383" s="139" t="s">
        <v>527</v>
      </c>
      <c r="M383" s="141" t="s">
        <v>527</v>
      </c>
      <c r="N383" s="141"/>
      <c r="O383" s="141" t="s">
        <v>527</v>
      </c>
      <c r="P383" s="146" t="s">
        <v>527</v>
      </c>
      <c r="Q383" s="217">
        <f aca="true" t="shared" si="45" ref="Q383:S387">Q384</f>
        <v>7064</v>
      </c>
      <c r="R383" s="217">
        <f t="shared" si="45"/>
        <v>12571.5</v>
      </c>
      <c r="S383" s="217">
        <f t="shared" si="45"/>
        <v>12181.1</v>
      </c>
    </row>
    <row r="384" spans="1:19" ht="36.75" customHeight="1">
      <c r="A384" s="97"/>
      <c r="B384" s="98"/>
      <c r="C384" s="103"/>
      <c r="D384" s="101"/>
      <c r="E384" s="104"/>
      <c r="F384" s="104"/>
      <c r="G384" s="89"/>
      <c r="H384" s="11" t="s">
        <v>700</v>
      </c>
      <c r="I384" s="10">
        <v>661</v>
      </c>
      <c r="J384" s="7">
        <v>14</v>
      </c>
      <c r="K384" s="7">
        <v>2</v>
      </c>
      <c r="L384" s="95" t="s">
        <v>701</v>
      </c>
      <c r="M384" s="96" t="s">
        <v>556</v>
      </c>
      <c r="N384" s="96" t="s">
        <v>576</v>
      </c>
      <c r="O384" s="96" t="s">
        <v>613</v>
      </c>
      <c r="P384" s="6"/>
      <c r="Q384" s="216">
        <f t="shared" si="45"/>
        <v>7064</v>
      </c>
      <c r="R384" s="216">
        <f t="shared" si="45"/>
        <v>12571.5</v>
      </c>
      <c r="S384" s="216">
        <f t="shared" si="45"/>
        <v>12181.1</v>
      </c>
    </row>
    <row r="385" spans="1:19" ht="36.75" customHeight="1">
      <c r="A385" s="97"/>
      <c r="B385" s="98"/>
      <c r="C385" s="106"/>
      <c r="D385" s="107"/>
      <c r="E385" s="104"/>
      <c r="F385" s="104"/>
      <c r="G385" s="89"/>
      <c r="H385" s="11" t="s">
        <v>706</v>
      </c>
      <c r="I385" s="10">
        <v>661</v>
      </c>
      <c r="J385" s="7">
        <v>14</v>
      </c>
      <c r="K385" s="7">
        <v>2</v>
      </c>
      <c r="L385" s="95" t="s">
        <v>701</v>
      </c>
      <c r="M385" s="96" t="s">
        <v>552</v>
      </c>
      <c r="N385" s="96" t="s">
        <v>576</v>
      </c>
      <c r="O385" s="96" t="s">
        <v>613</v>
      </c>
      <c r="P385" s="6"/>
      <c r="Q385" s="216">
        <f t="shared" si="45"/>
        <v>7064</v>
      </c>
      <c r="R385" s="216">
        <f t="shared" si="45"/>
        <v>12571.5</v>
      </c>
      <c r="S385" s="216">
        <f t="shared" si="45"/>
        <v>12181.1</v>
      </c>
    </row>
    <row r="386" spans="1:19" ht="18.75" customHeight="1">
      <c r="A386" s="97"/>
      <c r="B386" s="98"/>
      <c r="C386" s="106"/>
      <c r="D386" s="107"/>
      <c r="E386" s="104"/>
      <c r="F386" s="104"/>
      <c r="G386" s="105"/>
      <c r="H386" s="11" t="s">
        <v>44</v>
      </c>
      <c r="I386" s="6">
        <v>661</v>
      </c>
      <c r="J386" s="7">
        <v>14</v>
      </c>
      <c r="K386" s="7">
        <v>2</v>
      </c>
      <c r="L386" s="16">
        <v>33</v>
      </c>
      <c r="M386" s="96" t="s">
        <v>552</v>
      </c>
      <c r="N386" s="96" t="s">
        <v>585</v>
      </c>
      <c r="O386" s="96" t="s">
        <v>613</v>
      </c>
      <c r="P386" s="6"/>
      <c r="Q386" s="216">
        <f t="shared" si="45"/>
        <v>7064</v>
      </c>
      <c r="R386" s="216">
        <f t="shared" si="45"/>
        <v>12571.5</v>
      </c>
      <c r="S386" s="216">
        <f t="shared" si="45"/>
        <v>12181.1</v>
      </c>
    </row>
    <row r="387" spans="1:19" ht="23.25" customHeight="1">
      <c r="A387" s="99"/>
      <c r="B387" s="98"/>
      <c r="C387" s="106"/>
      <c r="D387" s="107"/>
      <c r="E387" s="104"/>
      <c r="F387" s="104"/>
      <c r="G387" s="105"/>
      <c r="H387" s="11" t="s">
        <v>42</v>
      </c>
      <c r="I387" s="6">
        <v>661</v>
      </c>
      <c r="J387" s="7">
        <v>14</v>
      </c>
      <c r="K387" s="7">
        <v>2</v>
      </c>
      <c r="L387" s="16">
        <v>33</v>
      </c>
      <c r="M387" s="96" t="s">
        <v>552</v>
      </c>
      <c r="N387" s="96" t="s">
        <v>585</v>
      </c>
      <c r="O387" s="96" t="s">
        <v>56</v>
      </c>
      <c r="P387" s="6" t="s">
        <v>527</v>
      </c>
      <c r="Q387" s="216">
        <f t="shared" si="45"/>
        <v>7064</v>
      </c>
      <c r="R387" s="216">
        <f t="shared" si="45"/>
        <v>12571.5</v>
      </c>
      <c r="S387" s="216">
        <f t="shared" si="45"/>
        <v>12181.1</v>
      </c>
    </row>
    <row r="388" spans="1:19" ht="18" customHeight="1">
      <c r="A388" s="99"/>
      <c r="B388" s="98"/>
      <c r="C388" s="106"/>
      <c r="D388" s="107"/>
      <c r="E388" s="104"/>
      <c r="F388" s="104"/>
      <c r="G388" s="105"/>
      <c r="H388" s="11" t="s">
        <v>718</v>
      </c>
      <c r="I388" s="6">
        <v>661</v>
      </c>
      <c r="J388" s="7">
        <v>14</v>
      </c>
      <c r="K388" s="7">
        <v>2</v>
      </c>
      <c r="L388" s="16">
        <v>33</v>
      </c>
      <c r="M388" s="96" t="s">
        <v>552</v>
      </c>
      <c r="N388" s="96" t="s">
        <v>585</v>
      </c>
      <c r="O388" s="96" t="s">
        <v>56</v>
      </c>
      <c r="P388" s="6">
        <v>510</v>
      </c>
      <c r="Q388" s="216">
        <v>7064</v>
      </c>
      <c r="R388" s="216">
        <v>12571.5</v>
      </c>
      <c r="S388" s="216">
        <v>12181.1</v>
      </c>
    </row>
    <row r="389" spans="1:19" ht="21.75" customHeight="1">
      <c r="A389" s="99"/>
      <c r="B389" s="98"/>
      <c r="C389" s="97"/>
      <c r="D389" s="368">
        <v>20000</v>
      </c>
      <c r="E389" s="369"/>
      <c r="F389" s="369"/>
      <c r="G389" s="89">
        <v>360</v>
      </c>
      <c r="H389" s="125" t="s">
        <v>525</v>
      </c>
      <c r="I389" s="90"/>
      <c r="J389" s="127"/>
      <c r="K389" s="127"/>
      <c r="L389" s="92"/>
      <c r="M389" s="93"/>
      <c r="N389" s="93"/>
      <c r="O389" s="93"/>
      <c r="P389" s="131"/>
      <c r="Q389" s="315" t="e">
        <f>Q15+Q117+Q127+Q179+Q206+Q217+Q311+Q328+Q332+Q364+#REF!+Q374</f>
        <v>#REF!</v>
      </c>
      <c r="R389" s="315">
        <f>R15+R117+R127+R179+R206+R217+R311+R328+R332+R364+R374</f>
        <v>494990.7</v>
      </c>
      <c r="S389" s="315">
        <f>S15+S117+S127+S179+S206+S217+S311+S328+S332+S364+S374</f>
        <v>470975</v>
      </c>
    </row>
    <row r="390" spans="1:19" ht="17.25" customHeight="1">
      <c r="A390" s="201"/>
      <c r="B390" s="111"/>
      <c r="C390" s="111"/>
      <c r="D390" s="107"/>
      <c r="E390" s="107"/>
      <c r="F390" s="107"/>
      <c r="G390" s="202"/>
      <c r="H390" s="125" t="s">
        <v>17</v>
      </c>
      <c r="I390" s="9"/>
      <c r="J390" s="127"/>
      <c r="K390" s="127"/>
      <c r="L390" s="92"/>
      <c r="M390" s="93"/>
      <c r="N390" s="93"/>
      <c r="O390" s="208"/>
      <c r="P390" s="9"/>
      <c r="Q390" s="212"/>
      <c r="R390" s="212">
        <v>6200</v>
      </c>
      <c r="S390" s="212">
        <v>12500</v>
      </c>
    </row>
    <row r="391" spans="1:19" ht="25.5" customHeight="1">
      <c r="A391" s="201"/>
      <c r="B391" s="111"/>
      <c r="C391" s="111"/>
      <c r="D391" s="107"/>
      <c r="E391" s="107"/>
      <c r="F391" s="107"/>
      <c r="G391" s="202"/>
      <c r="H391" s="125" t="s">
        <v>16</v>
      </c>
      <c r="I391" s="9"/>
      <c r="J391" s="127"/>
      <c r="K391" s="127"/>
      <c r="L391" s="92"/>
      <c r="M391" s="93"/>
      <c r="N391" s="93"/>
      <c r="O391" s="208"/>
      <c r="P391" s="9"/>
      <c r="Q391" s="212" t="e">
        <f>Q389+Q390</f>
        <v>#REF!</v>
      </c>
      <c r="R391" s="212">
        <f>R389+R390</f>
        <v>501190.7</v>
      </c>
      <c r="S391" s="212">
        <f>S389+S390</f>
        <v>483475</v>
      </c>
    </row>
    <row r="392" ht="15.75">
      <c r="S392" s="316" t="s">
        <v>521</v>
      </c>
    </row>
  </sheetData>
  <sheetProtection/>
  <mergeCells count="33">
    <mergeCell ref="J4:S4"/>
    <mergeCell ref="J5:S5"/>
    <mergeCell ref="J6:S6"/>
    <mergeCell ref="J7:S7"/>
    <mergeCell ref="J8:S8"/>
    <mergeCell ref="H10:S10"/>
    <mergeCell ref="D389:F389"/>
    <mergeCell ref="E360:F360"/>
    <mergeCell ref="E354:F354"/>
    <mergeCell ref="D311:F311"/>
    <mergeCell ref="A62:F62"/>
    <mergeCell ref="E313:F313"/>
    <mergeCell ref="D365:F365"/>
    <mergeCell ref="Q12:S12"/>
    <mergeCell ref="D336:F336"/>
    <mergeCell ref="D217:F217"/>
    <mergeCell ref="E218:F218"/>
    <mergeCell ref="L12:O12"/>
    <mergeCell ref="A15:F15"/>
    <mergeCell ref="D274:F274"/>
    <mergeCell ref="C26:F26"/>
    <mergeCell ref="D28:F28"/>
    <mergeCell ref="D95:F95"/>
    <mergeCell ref="P1:S1"/>
    <mergeCell ref="P2:S2"/>
    <mergeCell ref="P3:S3"/>
    <mergeCell ref="D344:F344"/>
    <mergeCell ref="D99:F99"/>
    <mergeCell ref="E334:F334"/>
    <mergeCell ref="C63:F63"/>
    <mergeCell ref="D64:F64"/>
    <mergeCell ref="E312:F312"/>
    <mergeCell ref="E47:F47"/>
  </mergeCells>
  <printOptions/>
  <pageMargins left="0.5511811023622047" right="0.2755905511811024" top="0.31496062992125984" bottom="0.5118110236220472" header="0.5118110236220472" footer="0.5118110236220472"/>
  <pageSetup fitToHeight="0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7"/>
  <sheetViews>
    <sheetView showGridLines="0" tabSelected="1" zoomScale="75" zoomScaleNormal="75" zoomScaleSheetLayoutView="100" workbookViewId="0" topLeftCell="H523">
      <selection activeCell="H525" sqref="H525"/>
    </sheetView>
  </sheetViews>
  <sheetFormatPr defaultColWidth="9.140625" defaultRowHeight="15"/>
  <cols>
    <col min="1" max="7" width="0" style="31" hidden="1" customWidth="1"/>
    <col min="8" max="8" width="113.140625" style="307" customWidth="1"/>
    <col min="9" max="9" width="7.8515625" style="175" customWidth="1"/>
    <col min="10" max="10" width="5.140625" style="175" customWidth="1"/>
    <col min="11" max="11" width="5.00390625" style="175" customWidth="1"/>
    <col min="12" max="12" width="5.7109375" style="308" customWidth="1"/>
    <col min="13" max="14" width="4.28125" style="308" customWidth="1"/>
    <col min="15" max="15" width="10.28125" style="308" customWidth="1"/>
    <col min="16" max="16" width="9.140625" style="175" customWidth="1"/>
    <col min="17" max="17" width="33.57421875" style="65" customWidth="1"/>
    <col min="18" max="18" width="16.8515625" style="309" hidden="1" customWidth="1"/>
    <col min="19" max="19" width="18.00390625" style="309" hidden="1" customWidth="1"/>
    <col min="20" max="16384" width="9.140625" style="31" customWidth="1"/>
  </cols>
  <sheetData>
    <row r="1" ht="15.75">
      <c r="I1" s="176" t="s">
        <v>854</v>
      </c>
    </row>
    <row r="2" ht="15.75">
      <c r="I2" s="176" t="s">
        <v>522</v>
      </c>
    </row>
    <row r="3" ht="15.75">
      <c r="I3" s="68" t="s">
        <v>523</v>
      </c>
    </row>
    <row r="4" spans="8:19" ht="15.75">
      <c r="H4" s="317"/>
      <c r="I4" s="377" t="s">
        <v>102</v>
      </c>
      <c r="J4" s="377"/>
      <c r="K4" s="377"/>
      <c r="L4" s="377"/>
      <c r="M4" s="377"/>
      <c r="N4" s="377"/>
      <c r="O4" s="377"/>
      <c r="P4" s="377"/>
      <c r="Q4" s="377"/>
      <c r="R4" s="377"/>
      <c r="S4" s="377"/>
    </row>
    <row r="5" spans="9:19" ht="15.75">
      <c r="I5" s="377" t="s">
        <v>13</v>
      </c>
      <c r="J5" s="377"/>
      <c r="K5" s="377"/>
      <c r="L5" s="377"/>
      <c r="M5" s="377"/>
      <c r="N5" s="377"/>
      <c r="O5" s="377"/>
      <c r="P5" s="377"/>
      <c r="Q5" s="377"/>
      <c r="R5" s="377"/>
      <c r="S5" s="377"/>
    </row>
    <row r="6" spans="9:19" ht="15.75">
      <c r="I6" s="377" t="s">
        <v>820</v>
      </c>
      <c r="J6" s="377"/>
      <c r="K6" s="377"/>
      <c r="L6" s="377"/>
      <c r="M6" s="377"/>
      <c r="N6" s="377"/>
      <c r="O6" s="377"/>
      <c r="P6" s="377"/>
      <c r="Q6" s="377"/>
      <c r="R6" s="377"/>
      <c r="S6" s="377"/>
    </row>
    <row r="7" spans="1:19" ht="19.5" customHeight="1">
      <c r="A7" s="66"/>
      <c r="B7" s="66"/>
      <c r="C7" s="66"/>
      <c r="D7" s="66"/>
      <c r="E7" s="66"/>
      <c r="F7" s="66"/>
      <c r="G7" s="66"/>
      <c r="H7" s="67"/>
      <c r="I7" s="370" t="s">
        <v>0</v>
      </c>
      <c r="J7" s="370"/>
      <c r="K7" s="370"/>
      <c r="L7" s="370"/>
      <c r="M7" s="370"/>
      <c r="N7" s="370"/>
      <c r="O7" s="370"/>
      <c r="P7" s="370"/>
      <c r="Q7" s="370"/>
      <c r="R7" s="370"/>
      <c r="S7" s="370"/>
    </row>
    <row r="8" spans="1:19" ht="15.75" customHeight="1">
      <c r="A8" s="66"/>
      <c r="B8" s="66"/>
      <c r="C8" s="66"/>
      <c r="D8" s="66"/>
      <c r="E8" s="66"/>
      <c r="F8" s="66"/>
      <c r="G8" s="66"/>
      <c r="H8" s="67"/>
      <c r="I8" s="370" t="s">
        <v>103</v>
      </c>
      <c r="J8" s="370"/>
      <c r="K8" s="370"/>
      <c r="L8" s="370"/>
      <c r="M8" s="370"/>
      <c r="N8" s="370"/>
      <c r="O8" s="370"/>
      <c r="P8" s="370"/>
      <c r="Q8" s="370"/>
      <c r="R8" s="370"/>
      <c r="S8" s="370"/>
    </row>
    <row r="9" spans="1:17" ht="14.25" customHeight="1">
      <c r="A9" s="66"/>
      <c r="B9" s="66"/>
      <c r="C9" s="66"/>
      <c r="D9" s="66"/>
      <c r="E9" s="66"/>
      <c r="F9" s="66"/>
      <c r="G9" s="66"/>
      <c r="H9" s="67" t="s">
        <v>614</v>
      </c>
      <c r="I9" s="72" t="s">
        <v>614</v>
      </c>
      <c r="J9" s="73" t="s">
        <v>614</v>
      </c>
      <c r="K9" s="73"/>
      <c r="L9" s="70"/>
      <c r="M9" s="70"/>
      <c r="N9" s="70"/>
      <c r="O9" s="70" t="s">
        <v>614</v>
      </c>
      <c r="P9" s="73"/>
      <c r="Q9" s="71"/>
    </row>
    <row r="10" spans="1:19" ht="51" customHeight="1">
      <c r="A10" s="74"/>
      <c r="B10" s="74"/>
      <c r="C10" s="74"/>
      <c r="D10" s="74"/>
      <c r="E10" s="74"/>
      <c r="F10" s="74"/>
      <c r="G10" s="74"/>
      <c r="H10" s="390" t="s">
        <v>704</v>
      </c>
      <c r="I10" s="390"/>
      <c r="J10" s="390"/>
      <c r="K10" s="390"/>
      <c r="L10" s="390"/>
      <c r="M10" s="390"/>
      <c r="N10" s="390"/>
      <c r="O10" s="390"/>
      <c r="P10" s="390"/>
      <c r="Q10" s="390"/>
      <c r="R10" s="390"/>
      <c r="S10" s="390"/>
    </row>
    <row r="11" spans="1:19" ht="18.75" customHeight="1" thickBot="1">
      <c r="A11" s="76"/>
      <c r="B11" s="76"/>
      <c r="C11" s="76"/>
      <c r="D11" s="76"/>
      <c r="E11" s="76"/>
      <c r="F11" s="76"/>
      <c r="G11" s="76"/>
      <c r="H11" s="67"/>
      <c r="I11" s="72"/>
      <c r="J11" s="72"/>
      <c r="K11" s="72"/>
      <c r="L11" s="75"/>
      <c r="M11" s="75"/>
      <c r="N11" s="75"/>
      <c r="O11" s="75"/>
      <c r="P11" s="72"/>
      <c r="Q11" s="264" t="s">
        <v>12</v>
      </c>
      <c r="R11" s="394" t="s">
        <v>12</v>
      </c>
      <c r="S11" s="394"/>
    </row>
    <row r="12" spans="1:19" ht="42.75" customHeight="1">
      <c r="A12" s="77"/>
      <c r="B12" s="77" t="s">
        <v>509</v>
      </c>
      <c r="C12" s="78" t="s">
        <v>508</v>
      </c>
      <c r="D12" s="78" t="s">
        <v>507</v>
      </c>
      <c r="E12" s="78" t="s">
        <v>506</v>
      </c>
      <c r="F12" s="78" t="s">
        <v>505</v>
      </c>
      <c r="G12" s="78" t="s">
        <v>504</v>
      </c>
      <c r="H12" s="79" t="s">
        <v>503</v>
      </c>
      <c r="I12" s="80" t="s">
        <v>502</v>
      </c>
      <c r="J12" s="80" t="s">
        <v>501</v>
      </c>
      <c r="K12" s="79" t="s">
        <v>500</v>
      </c>
      <c r="L12" s="378" t="s">
        <v>499</v>
      </c>
      <c r="M12" s="379"/>
      <c r="N12" s="379"/>
      <c r="O12" s="380"/>
      <c r="P12" s="79" t="s">
        <v>498</v>
      </c>
      <c r="Q12" s="387" t="s">
        <v>497</v>
      </c>
      <c r="R12" s="388"/>
      <c r="S12" s="389"/>
    </row>
    <row r="13" spans="1:19" ht="18.75" customHeight="1">
      <c r="A13" s="81"/>
      <c r="B13" s="82"/>
      <c r="C13" s="82"/>
      <c r="D13" s="82"/>
      <c r="E13" s="82"/>
      <c r="F13" s="82"/>
      <c r="G13" s="83"/>
      <c r="H13" s="84">
        <v>1</v>
      </c>
      <c r="I13" s="85">
        <v>2</v>
      </c>
      <c r="J13" s="86">
        <v>3</v>
      </c>
      <c r="K13" s="84">
        <v>4</v>
      </c>
      <c r="L13" s="391">
        <v>5</v>
      </c>
      <c r="M13" s="392"/>
      <c r="N13" s="392"/>
      <c r="O13" s="393"/>
      <c r="P13" s="84">
        <v>6</v>
      </c>
      <c r="Q13" s="87">
        <v>7</v>
      </c>
      <c r="R13" s="318">
        <v>8</v>
      </c>
      <c r="S13" s="318">
        <v>9</v>
      </c>
    </row>
    <row r="14" spans="1:19" s="319" customFormat="1" ht="18.75" customHeight="1">
      <c r="A14" s="395">
        <v>1</v>
      </c>
      <c r="B14" s="395"/>
      <c r="C14" s="395"/>
      <c r="D14" s="395"/>
      <c r="E14" s="395"/>
      <c r="F14" s="395"/>
      <c r="G14" s="132">
        <v>120</v>
      </c>
      <c r="H14" s="33" t="s">
        <v>510</v>
      </c>
      <c r="I14" s="14">
        <v>27</v>
      </c>
      <c r="J14" s="15" t="s">
        <v>527</v>
      </c>
      <c r="K14" s="15" t="s">
        <v>527</v>
      </c>
      <c r="L14" s="133" t="s">
        <v>527</v>
      </c>
      <c r="M14" s="134" t="s">
        <v>527</v>
      </c>
      <c r="N14" s="134"/>
      <c r="O14" s="134" t="s">
        <v>527</v>
      </c>
      <c r="P14" s="14" t="s">
        <v>527</v>
      </c>
      <c r="Q14" s="212">
        <f>Q15+Q84+Q105+Q191+Q229+Q241+Q264+Q294+Q298+Q323</f>
        <v>298363.2</v>
      </c>
      <c r="R14" s="212">
        <f>R15+R84+R105+R191+R229+R241+R264+R294+R298+R323</f>
        <v>135213.19999999998</v>
      </c>
      <c r="S14" s="212">
        <f>S15+S84+S105+S191+S229+S241+S264+S294+S298+S323</f>
        <v>129324.8</v>
      </c>
    </row>
    <row r="15" spans="1:19" s="179" customFormat="1" ht="18.75" customHeight="1">
      <c r="A15" s="375">
        <v>100</v>
      </c>
      <c r="B15" s="375"/>
      <c r="C15" s="376"/>
      <c r="D15" s="376"/>
      <c r="E15" s="376"/>
      <c r="F15" s="376"/>
      <c r="G15" s="136">
        <v>120</v>
      </c>
      <c r="H15" s="137" t="s">
        <v>529</v>
      </c>
      <c r="I15" s="138">
        <v>27</v>
      </c>
      <c r="J15" s="139">
        <v>1</v>
      </c>
      <c r="K15" s="139" t="s">
        <v>614</v>
      </c>
      <c r="L15" s="140" t="s">
        <v>527</v>
      </c>
      <c r="M15" s="141" t="s">
        <v>527</v>
      </c>
      <c r="N15" s="141"/>
      <c r="O15" s="141" t="s">
        <v>527</v>
      </c>
      <c r="P15" s="138" t="s">
        <v>527</v>
      </c>
      <c r="Q15" s="213">
        <f>Q16+Q38+Q41+Q45</f>
        <v>68592.4</v>
      </c>
      <c r="R15" s="213">
        <f>R16+R38+R41+R45</f>
        <v>54545.7</v>
      </c>
      <c r="S15" s="213">
        <f>S16+S38+S41+S45</f>
        <v>53518.9</v>
      </c>
    </row>
    <row r="16" spans="1:19" s="179" customFormat="1" ht="45" customHeight="1">
      <c r="A16" s="142"/>
      <c r="B16" s="143"/>
      <c r="C16" s="375">
        <v>104</v>
      </c>
      <c r="D16" s="376"/>
      <c r="E16" s="376"/>
      <c r="F16" s="376"/>
      <c r="G16" s="136">
        <v>120</v>
      </c>
      <c r="H16" s="137" t="s">
        <v>495</v>
      </c>
      <c r="I16" s="138">
        <v>27</v>
      </c>
      <c r="J16" s="139">
        <v>1</v>
      </c>
      <c r="K16" s="139">
        <v>4</v>
      </c>
      <c r="L16" s="140" t="s">
        <v>527</v>
      </c>
      <c r="M16" s="141" t="s">
        <v>527</v>
      </c>
      <c r="N16" s="141" t="s">
        <v>614</v>
      </c>
      <c r="O16" s="141" t="s">
        <v>527</v>
      </c>
      <c r="P16" s="138" t="s">
        <v>527</v>
      </c>
      <c r="Q16" s="213">
        <f>Q17</f>
        <v>20314.8</v>
      </c>
      <c r="R16" s="213">
        <f>R17</f>
        <v>22997.4</v>
      </c>
      <c r="S16" s="213">
        <f>S17</f>
        <v>22839.9</v>
      </c>
    </row>
    <row r="17" spans="1:19" ht="27" customHeight="1">
      <c r="A17" s="99"/>
      <c r="B17" s="98"/>
      <c r="C17" s="97"/>
      <c r="D17" s="94"/>
      <c r="E17" s="94"/>
      <c r="F17" s="94"/>
      <c r="G17" s="89"/>
      <c r="H17" s="11" t="s">
        <v>334</v>
      </c>
      <c r="I17" s="10">
        <v>27</v>
      </c>
      <c r="J17" s="16">
        <v>1</v>
      </c>
      <c r="K17" s="16">
        <v>4</v>
      </c>
      <c r="L17" s="16" t="s">
        <v>573</v>
      </c>
      <c r="M17" s="96" t="s">
        <v>556</v>
      </c>
      <c r="N17" s="96" t="s">
        <v>576</v>
      </c>
      <c r="O17" s="96" t="s">
        <v>613</v>
      </c>
      <c r="P17" s="10"/>
      <c r="Q17" s="214">
        <f>Q18+Q26+Q29+Q31+Q34+Q36+Q24+Q22</f>
        <v>20314.8</v>
      </c>
      <c r="R17" s="214">
        <f>R18+R26+R29+R31+R34+R36</f>
        <v>22997.4</v>
      </c>
      <c r="S17" s="214">
        <f>S18+S26+S29+S31+S34+S36</f>
        <v>22839.9</v>
      </c>
    </row>
    <row r="18" spans="1:19" ht="29.25" customHeight="1">
      <c r="A18" s="99"/>
      <c r="B18" s="98"/>
      <c r="C18" s="97"/>
      <c r="D18" s="368">
        <v>20000</v>
      </c>
      <c r="E18" s="369"/>
      <c r="F18" s="369"/>
      <c r="G18" s="89">
        <v>120</v>
      </c>
      <c r="H18" s="11" t="s">
        <v>335</v>
      </c>
      <c r="I18" s="10">
        <v>27</v>
      </c>
      <c r="J18" s="16">
        <v>1</v>
      </c>
      <c r="K18" s="16">
        <v>4</v>
      </c>
      <c r="L18" s="16" t="s">
        <v>573</v>
      </c>
      <c r="M18" s="96" t="s">
        <v>556</v>
      </c>
      <c r="N18" s="96" t="s">
        <v>576</v>
      </c>
      <c r="O18" s="96" t="s">
        <v>641</v>
      </c>
      <c r="P18" s="10" t="s">
        <v>527</v>
      </c>
      <c r="Q18" s="214">
        <f>SUM(Q19:Q21)</f>
        <v>16012.800000000001</v>
      </c>
      <c r="R18" s="214">
        <f>SUM(R19:R21)</f>
        <v>22997.4</v>
      </c>
      <c r="S18" s="214">
        <f>SUM(S19:S21)</f>
        <v>22839.9</v>
      </c>
    </row>
    <row r="19" spans="1:19" ht="29.25" customHeight="1">
      <c r="A19" s="99"/>
      <c r="B19" s="98"/>
      <c r="C19" s="97"/>
      <c r="D19" s="101"/>
      <c r="E19" s="102"/>
      <c r="F19" s="102"/>
      <c r="G19" s="89"/>
      <c r="H19" s="11" t="s">
        <v>526</v>
      </c>
      <c r="I19" s="6">
        <v>27</v>
      </c>
      <c r="J19" s="16">
        <v>1</v>
      </c>
      <c r="K19" s="16">
        <v>4</v>
      </c>
      <c r="L19" s="16">
        <v>91</v>
      </c>
      <c r="M19" s="96" t="s">
        <v>556</v>
      </c>
      <c r="N19" s="96" t="s">
        <v>576</v>
      </c>
      <c r="O19" s="96" t="s">
        <v>641</v>
      </c>
      <c r="P19" s="10">
        <v>120</v>
      </c>
      <c r="Q19" s="214">
        <f>14355.1+114.6-30-500</f>
        <v>13939.7</v>
      </c>
      <c r="R19" s="214">
        <v>14355.1</v>
      </c>
      <c r="S19" s="214">
        <v>14355.1</v>
      </c>
    </row>
    <row r="20" spans="1:19" ht="26.25" customHeight="1">
      <c r="A20" s="99"/>
      <c r="B20" s="98"/>
      <c r="C20" s="103"/>
      <c r="D20" s="101"/>
      <c r="E20" s="104"/>
      <c r="F20" s="104"/>
      <c r="G20" s="105"/>
      <c r="H20" s="5" t="s">
        <v>712</v>
      </c>
      <c r="I20" s="8">
        <v>27</v>
      </c>
      <c r="J20" s="16">
        <v>1</v>
      </c>
      <c r="K20" s="16">
        <v>4</v>
      </c>
      <c r="L20" s="16">
        <v>91</v>
      </c>
      <c r="M20" s="96" t="s">
        <v>556</v>
      </c>
      <c r="N20" s="96" t="s">
        <v>576</v>
      </c>
      <c r="O20" s="96" t="s">
        <v>641</v>
      </c>
      <c r="P20" s="6">
        <v>240</v>
      </c>
      <c r="Q20" s="214">
        <f>4891.8-2182.3-341.4+341.4-14.7-136.9-592.4-353-195-60.1-50.4</f>
        <v>1307</v>
      </c>
      <c r="R20" s="214">
        <v>7892.3</v>
      </c>
      <c r="S20" s="214">
        <v>7734.8</v>
      </c>
    </row>
    <row r="21" spans="1:19" ht="20.25" customHeight="1">
      <c r="A21" s="99"/>
      <c r="B21" s="98"/>
      <c r="C21" s="106"/>
      <c r="D21" s="107"/>
      <c r="E21" s="104"/>
      <c r="F21" s="104"/>
      <c r="G21" s="89"/>
      <c r="H21" s="108" t="s">
        <v>713</v>
      </c>
      <c r="I21" s="8">
        <v>27</v>
      </c>
      <c r="J21" s="16">
        <v>1</v>
      </c>
      <c r="K21" s="16">
        <v>4</v>
      </c>
      <c r="L21" s="16">
        <v>91</v>
      </c>
      <c r="M21" s="96" t="s">
        <v>556</v>
      </c>
      <c r="N21" s="96" t="s">
        <v>576</v>
      </c>
      <c r="O21" s="96" t="s">
        <v>641</v>
      </c>
      <c r="P21" s="6">
        <v>850</v>
      </c>
      <c r="Q21" s="214">
        <f>750-2.7-27+45.8</f>
        <v>766.0999999999999</v>
      </c>
      <c r="R21" s="214">
        <v>750</v>
      </c>
      <c r="S21" s="214">
        <v>750</v>
      </c>
    </row>
    <row r="22" spans="1:19" ht="51" customHeight="1" hidden="1">
      <c r="A22" s="99"/>
      <c r="B22" s="98"/>
      <c r="C22" s="106"/>
      <c r="D22" s="107"/>
      <c r="E22" s="104"/>
      <c r="F22" s="104"/>
      <c r="G22" s="89"/>
      <c r="H22" s="108" t="s">
        <v>864</v>
      </c>
      <c r="I22" s="13">
        <v>27</v>
      </c>
      <c r="J22" s="16">
        <v>1</v>
      </c>
      <c r="K22" s="16">
        <v>4</v>
      </c>
      <c r="L22" s="16">
        <v>91</v>
      </c>
      <c r="M22" s="96" t="s">
        <v>556</v>
      </c>
      <c r="N22" s="96" t="s">
        <v>576</v>
      </c>
      <c r="O22" s="96" t="s">
        <v>863</v>
      </c>
      <c r="P22" s="10"/>
      <c r="Q22" s="214">
        <f>Q23</f>
        <v>0</v>
      </c>
      <c r="R22" s="214"/>
      <c r="S22" s="214"/>
    </row>
    <row r="23" spans="1:19" ht="20.25" customHeight="1" hidden="1">
      <c r="A23" s="99"/>
      <c r="B23" s="98"/>
      <c r="C23" s="106"/>
      <c r="D23" s="107"/>
      <c r="E23" s="104"/>
      <c r="F23" s="104"/>
      <c r="G23" s="89"/>
      <c r="H23" s="11" t="s">
        <v>526</v>
      </c>
      <c r="I23" s="6">
        <v>27</v>
      </c>
      <c r="J23" s="16">
        <v>1</v>
      </c>
      <c r="K23" s="16">
        <v>4</v>
      </c>
      <c r="L23" s="16">
        <v>91</v>
      </c>
      <c r="M23" s="96" t="s">
        <v>556</v>
      </c>
      <c r="N23" s="96" t="s">
        <v>576</v>
      </c>
      <c r="O23" s="96" t="s">
        <v>863</v>
      </c>
      <c r="P23" s="10">
        <v>120</v>
      </c>
      <c r="Q23" s="214">
        <v>0</v>
      </c>
      <c r="R23" s="214"/>
      <c r="S23" s="214"/>
    </row>
    <row r="24" spans="1:19" ht="20.25" customHeight="1">
      <c r="A24" s="99"/>
      <c r="B24" s="98"/>
      <c r="C24" s="106"/>
      <c r="D24" s="107"/>
      <c r="E24" s="104"/>
      <c r="F24" s="104"/>
      <c r="G24" s="89"/>
      <c r="H24" s="108" t="s">
        <v>61</v>
      </c>
      <c r="I24" s="13">
        <v>27</v>
      </c>
      <c r="J24" s="16">
        <v>1</v>
      </c>
      <c r="K24" s="16">
        <v>4</v>
      </c>
      <c r="L24" s="16">
        <v>91</v>
      </c>
      <c r="M24" s="96" t="s">
        <v>556</v>
      </c>
      <c r="N24" s="96" t="s">
        <v>576</v>
      </c>
      <c r="O24" s="96" t="s">
        <v>60</v>
      </c>
      <c r="P24" s="10"/>
      <c r="Q24" s="214">
        <f>Q25</f>
        <v>2785.9</v>
      </c>
      <c r="R24" s="214"/>
      <c r="S24" s="214"/>
    </row>
    <row r="25" spans="1:19" ht="20.25" customHeight="1">
      <c r="A25" s="99"/>
      <c r="B25" s="98"/>
      <c r="C25" s="106"/>
      <c r="D25" s="107"/>
      <c r="E25" s="104"/>
      <c r="F25" s="104"/>
      <c r="G25" s="89"/>
      <c r="H25" s="5" t="s">
        <v>526</v>
      </c>
      <c r="I25" s="13">
        <v>27</v>
      </c>
      <c r="J25" s="16">
        <v>1</v>
      </c>
      <c r="K25" s="16">
        <v>4</v>
      </c>
      <c r="L25" s="16">
        <v>91</v>
      </c>
      <c r="M25" s="96" t="s">
        <v>556</v>
      </c>
      <c r="N25" s="96" t="s">
        <v>576</v>
      </c>
      <c r="O25" s="96" t="s">
        <v>60</v>
      </c>
      <c r="P25" s="10">
        <v>120</v>
      </c>
      <c r="Q25" s="214">
        <f>7619.4-7619.4+2111.9+674</f>
        <v>2785.9</v>
      </c>
      <c r="R25" s="214"/>
      <c r="S25" s="214"/>
    </row>
    <row r="26" spans="1:19" ht="36" customHeight="1">
      <c r="A26" s="99"/>
      <c r="B26" s="98"/>
      <c r="C26" s="106"/>
      <c r="D26" s="107"/>
      <c r="E26" s="104"/>
      <c r="F26" s="104"/>
      <c r="G26" s="89"/>
      <c r="H26" s="11" t="s">
        <v>58</v>
      </c>
      <c r="I26" s="10">
        <v>27</v>
      </c>
      <c r="J26" s="16">
        <v>1</v>
      </c>
      <c r="K26" s="16">
        <v>4</v>
      </c>
      <c r="L26" s="16">
        <v>91</v>
      </c>
      <c r="M26" s="96" t="s">
        <v>556</v>
      </c>
      <c r="N26" s="96" t="s">
        <v>576</v>
      </c>
      <c r="O26" s="96" t="s">
        <v>57</v>
      </c>
      <c r="P26" s="10"/>
      <c r="Q26" s="214">
        <f>SUM(Q27:Q28)</f>
        <v>812.4</v>
      </c>
      <c r="R26" s="214">
        <f>SUM(R27:R28)</f>
        <v>0</v>
      </c>
      <c r="S26" s="214">
        <f>SUM(S27:S28)</f>
        <v>0</v>
      </c>
    </row>
    <row r="27" spans="1:19" ht="18" customHeight="1">
      <c r="A27" s="99"/>
      <c r="B27" s="98"/>
      <c r="C27" s="106"/>
      <c r="D27" s="107"/>
      <c r="E27" s="104"/>
      <c r="F27" s="104"/>
      <c r="G27" s="89"/>
      <c r="H27" s="11" t="s">
        <v>526</v>
      </c>
      <c r="I27" s="10">
        <v>27</v>
      </c>
      <c r="J27" s="16">
        <v>1</v>
      </c>
      <c r="K27" s="16">
        <v>4</v>
      </c>
      <c r="L27" s="16">
        <v>91</v>
      </c>
      <c r="M27" s="96" t="s">
        <v>556</v>
      </c>
      <c r="N27" s="96" t="s">
        <v>576</v>
      </c>
      <c r="O27" s="96" t="s">
        <v>57</v>
      </c>
      <c r="P27" s="10">
        <v>120</v>
      </c>
      <c r="Q27" s="214">
        <f>652.1+107.5+37.8</f>
        <v>797.4</v>
      </c>
      <c r="R27" s="214">
        <v>0</v>
      </c>
      <c r="S27" s="214">
        <v>0</v>
      </c>
    </row>
    <row r="28" spans="1:19" ht="17.25" customHeight="1">
      <c r="A28" s="99"/>
      <c r="B28" s="98"/>
      <c r="C28" s="106"/>
      <c r="D28" s="107"/>
      <c r="E28" s="104"/>
      <c r="F28" s="104"/>
      <c r="G28" s="89"/>
      <c r="H28" s="11" t="s">
        <v>712</v>
      </c>
      <c r="I28" s="10">
        <v>27</v>
      </c>
      <c r="J28" s="16">
        <v>1</v>
      </c>
      <c r="K28" s="16">
        <v>4</v>
      </c>
      <c r="L28" s="16">
        <v>91</v>
      </c>
      <c r="M28" s="96" t="s">
        <v>556</v>
      </c>
      <c r="N28" s="96" t="s">
        <v>576</v>
      </c>
      <c r="O28" s="96" t="s">
        <v>57</v>
      </c>
      <c r="P28" s="10">
        <v>240</v>
      </c>
      <c r="Q28" s="214">
        <f>5+10</f>
        <v>15</v>
      </c>
      <c r="R28" s="214">
        <v>0</v>
      </c>
      <c r="S28" s="214">
        <v>0</v>
      </c>
    </row>
    <row r="29" spans="1:19" ht="56.25" customHeight="1">
      <c r="A29" s="99"/>
      <c r="B29" s="98"/>
      <c r="C29" s="106"/>
      <c r="D29" s="107"/>
      <c r="E29" s="104"/>
      <c r="F29" s="104"/>
      <c r="G29" s="89"/>
      <c r="H29" s="11" t="s">
        <v>233</v>
      </c>
      <c r="I29" s="10">
        <v>27</v>
      </c>
      <c r="J29" s="16">
        <v>1</v>
      </c>
      <c r="K29" s="16">
        <v>4</v>
      </c>
      <c r="L29" s="16">
        <v>91</v>
      </c>
      <c r="M29" s="96" t="s">
        <v>556</v>
      </c>
      <c r="N29" s="96" t="s">
        <v>576</v>
      </c>
      <c r="O29" s="96" t="s">
        <v>59</v>
      </c>
      <c r="P29" s="10"/>
      <c r="Q29" s="214">
        <f>Q30</f>
        <v>95.6</v>
      </c>
      <c r="R29" s="214">
        <v>0</v>
      </c>
      <c r="S29" s="214">
        <v>0</v>
      </c>
    </row>
    <row r="30" spans="1:19" ht="27.75" customHeight="1">
      <c r="A30" s="99"/>
      <c r="B30" s="98"/>
      <c r="C30" s="106"/>
      <c r="D30" s="107"/>
      <c r="E30" s="104"/>
      <c r="F30" s="104"/>
      <c r="G30" s="89"/>
      <c r="H30" s="11" t="s">
        <v>526</v>
      </c>
      <c r="I30" s="10">
        <v>27</v>
      </c>
      <c r="J30" s="16">
        <v>1</v>
      </c>
      <c r="K30" s="16">
        <v>4</v>
      </c>
      <c r="L30" s="16">
        <v>91</v>
      </c>
      <c r="M30" s="96" t="s">
        <v>556</v>
      </c>
      <c r="N30" s="96" t="s">
        <v>576</v>
      </c>
      <c r="O30" s="96" t="s">
        <v>59</v>
      </c>
      <c r="P30" s="10">
        <v>120</v>
      </c>
      <c r="Q30" s="214">
        <f>84+11.6</f>
        <v>95.6</v>
      </c>
      <c r="R30" s="214">
        <v>0</v>
      </c>
      <c r="S30" s="214">
        <v>0</v>
      </c>
    </row>
    <row r="31" spans="1:19" ht="66" customHeight="1">
      <c r="A31" s="99"/>
      <c r="B31" s="98"/>
      <c r="C31" s="106"/>
      <c r="D31" s="107"/>
      <c r="E31" s="104"/>
      <c r="F31" s="104"/>
      <c r="G31" s="89"/>
      <c r="H31" s="11" t="s">
        <v>747</v>
      </c>
      <c r="I31" s="10">
        <v>27</v>
      </c>
      <c r="J31" s="16">
        <v>1</v>
      </c>
      <c r="K31" s="16">
        <v>4</v>
      </c>
      <c r="L31" s="16">
        <v>91</v>
      </c>
      <c r="M31" s="96" t="s">
        <v>556</v>
      </c>
      <c r="N31" s="96" t="s">
        <v>576</v>
      </c>
      <c r="O31" s="96" t="s">
        <v>745</v>
      </c>
      <c r="P31" s="10"/>
      <c r="Q31" s="214">
        <f>SUM(Q32:Q33)</f>
        <v>448.50000000000006</v>
      </c>
      <c r="R31" s="214">
        <f>SUM(R32:R33)</f>
        <v>0</v>
      </c>
      <c r="S31" s="214">
        <f>SUM(S32:S33)</f>
        <v>0</v>
      </c>
    </row>
    <row r="32" spans="1:19" ht="26.25" customHeight="1">
      <c r="A32" s="99"/>
      <c r="B32" s="98"/>
      <c r="C32" s="106"/>
      <c r="D32" s="107"/>
      <c r="E32" s="104"/>
      <c r="F32" s="104"/>
      <c r="G32" s="89"/>
      <c r="H32" s="11" t="s">
        <v>526</v>
      </c>
      <c r="I32" s="10">
        <v>27</v>
      </c>
      <c r="J32" s="16">
        <v>1</v>
      </c>
      <c r="K32" s="16">
        <v>4</v>
      </c>
      <c r="L32" s="16">
        <v>91</v>
      </c>
      <c r="M32" s="96" t="s">
        <v>556</v>
      </c>
      <c r="N32" s="96" t="s">
        <v>576</v>
      </c>
      <c r="O32" s="96" t="s">
        <v>745</v>
      </c>
      <c r="P32" s="10">
        <v>120</v>
      </c>
      <c r="Q32" s="214">
        <f>348.1+4.1+87.8</f>
        <v>440.00000000000006</v>
      </c>
      <c r="R32" s="214">
        <v>0</v>
      </c>
      <c r="S32" s="214">
        <v>0</v>
      </c>
    </row>
    <row r="33" spans="1:19" ht="30" customHeight="1">
      <c r="A33" s="99"/>
      <c r="B33" s="98"/>
      <c r="C33" s="106"/>
      <c r="D33" s="107"/>
      <c r="E33" s="104"/>
      <c r="F33" s="104"/>
      <c r="G33" s="89"/>
      <c r="H33" s="11" t="s">
        <v>712</v>
      </c>
      <c r="I33" s="10">
        <v>27</v>
      </c>
      <c r="J33" s="16">
        <v>1</v>
      </c>
      <c r="K33" s="16">
        <v>4</v>
      </c>
      <c r="L33" s="16">
        <v>91</v>
      </c>
      <c r="M33" s="96" t="s">
        <v>556</v>
      </c>
      <c r="N33" s="96" t="s">
        <v>576</v>
      </c>
      <c r="O33" s="96" t="s">
        <v>745</v>
      </c>
      <c r="P33" s="10">
        <v>240</v>
      </c>
      <c r="Q33" s="214">
        <f>5+3.5</f>
        <v>8.5</v>
      </c>
      <c r="R33" s="215">
        <v>0</v>
      </c>
      <c r="S33" s="215">
        <v>0</v>
      </c>
    </row>
    <row r="34" spans="1:19" ht="27" customHeight="1">
      <c r="A34" s="99"/>
      <c r="B34" s="98"/>
      <c r="C34" s="106"/>
      <c r="D34" s="107"/>
      <c r="E34" s="104"/>
      <c r="F34" s="104"/>
      <c r="G34" s="89"/>
      <c r="H34" s="11" t="s">
        <v>748</v>
      </c>
      <c r="I34" s="10">
        <v>27</v>
      </c>
      <c r="J34" s="16">
        <v>1</v>
      </c>
      <c r="K34" s="16">
        <v>4</v>
      </c>
      <c r="L34" s="16">
        <v>91</v>
      </c>
      <c r="M34" s="96" t="s">
        <v>556</v>
      </c>
      <c r="N34" s="96" t="s">
        <v>576</v>
      </c>
      <c r="O34" s="96" t="s">
        <v>746</v>
      </c>
      <c r="P34" s="10"/>
      <c r="Q34" s="214">
        <f>Q35</f>
        <v>159.1</v>
      </c>
      <c r="R34" s="214">
        <f>R35</f>
        <v>0</v>
      </c>
      <c r="S34" s="214">
        <f>S35</f>
        <v>0</v>
      </c>
    </row>
    <row r="35" spans="1:19" ht="24" customHeight="1">
      <c r="A35" s="99"/>
      <c r="B35" s="98"/>
      <c r="C35" s="106"/>
      <c r="D35" s="107"/>
      <c r="E35" s="104"/>
      <c r="F35" s="104"/>
      <c r="G35" s="89"/>
      <c r="H35" s="11" t="s">
        <v>526</v>
      </c>
      <c r="I35" s="10">
        <v>27</v>
      </c>
      <c r="J35" s="16">
        <v>1</v>
      </c>
      <c r="K35" s="16">
        <v>4</v>
      </c>
      <c r="L35" s="16">
        <v>91</v>
      </c>
      <c r="M35" s="96" t="s">
        <v>556</v>
      </c>
      <c r="N35" s="96" t="s">
        <v>576</v>
      </c>
      <c r="O35" s="96" t="s">
        <v>746</v>
      </c>
      <c r="P35" s="10">
        <v>120</v>
      </c>
      <c r="Q35" s="214">
        <f>124.2+4.4+30.5</f>
        <v>159.1</v>
      </c>
      <c r="R35" s="214"/>
      <c r="S35" s="214"/>
    </row>
    <row r="36" spans="1:19" ht="67.5" customHeight="1">
      <c r="A36" s="99"/>
      <c r="B36" s="98"/>
      <c r="C36" s="106"/>
      <c r="D36" s="107"/>
      <c r="E36" s="104"/>
      <c r="F36" s="104"/>
      <c r="G36" s="89"/>
      <c r="H36" s="11" t="s">
        <v>655</v>
      </c>
      <c r="I36" s="10">
        <v>27</v>
      </c>
      <c r="J36" s="16">
        <v>1</v>
      </c>
      <c r="K36" s="16">
        <v>4</v>
      </c>
      <c r="L36" s="16">
        <v>91</v>
      </c>
      <c r="M36" s="96" t="s">
        <v>556</v>
      </c>
      <c r="N36" s="96" t="s">
        <v>576</v>
      </c>
      <c r="O36" s="96" t="s">
        <v>5</v>
      </c>
      <c r="P36" s="10"/>
      <c r="Q36" s="214">
        <f>Q37</f>
        <v>0.5</v>
      </c>
      <c r="R36" s="214">
        <v>0</v>
      </c>
      <c r="S36" s="214">
        <v>0</v>
      </c>
    </row>
    <row r="37" spans="1:19" ht="24" customHeight="1">
      <c r="A37" s="99"/>
      <c r="B37" s="98"/>
      <c r="C37" s="106"/>
      <c r="D37" s="107"/>
      <c r="E37" s="104"/>
      <c r="F37" s="104"/>
      <c r="G37" s="89"/>
      <c r="H37" s="11" t="s">
        <v>712</v>
      </c>
      <c r="I37" s="10">
        <v>27</v>
      </c>
      <c r="J37" s="16">
        <v>1</v>
      </c>
      <c r="K37" s="16">
        <v>4</v>
      </c>
      <c r="L37" s="16">
        <v>91</v>
      </c>
      <c r="M37" s="96" t="s">
        <v>556</v>
      </c>
      <c r="N37" s="96" t="s">
        <v>576</v>
      </c>
      <c r="O37" s="96" t="s">
        <v>5</v>
      </c>
      <c r="P37" s="10">
        <v>240</v>
      </c>
      <c r="Q37" s="214">
        <v>0.5</v>
      </c>
      <c r="R37" s="214">
        <v>0</v>
      </c>
      <c r="S37" s="214">
        <v>0</v>
      </c>
    </row>
    <row r="38" spans="1:19" s="179" customFormat="1" ht="27.75" customHeight="1">
      <c r="A38" s="142"/>
      <c r="B38" s="143"/>
      <c r="C38" s="157"/>
      <c r="D38" s="170"/>
      <c r="E38" s="145"/>
      <c r="F38" s="145"/>
      <c r="G38" s="136"/>
      <c r="H38" s="137" t="s">
        <v>609</v>
      </c>
      <c r="I38" s="138">
        <v>27</v>
      </c>
      <c r="J38" s="139">
        <v>1</v>
      </c>
      <c r="K38" s="139">
        <v>5</v>
      </c>
      <c r="L38" s="139"/>
      <c r="M38" s="141"/>
      <c r="N38" s="141"/>
      <c r="O38" s="141"/>
      <c r="P38" s="138"/>
      <c r="Q38" s="213">
        <f aca="true" t="shared" si="0" ref="Q38:S39">Q39</f>
        <v>9.4</v>
      </c>
      <c r="R38" s="213">
        <f t="shared" si="0"/>
        <v>10.1</v>
      </c>
      <c r="S38" s="213">
        <f t="shared" si="0"/>
        <v>28.7</v>
      </c>
    </row>
    <row r="39" spans="1:19" ht="36.75" customHeight="1">
      <c r="A39" s="99"/>
      <c r="B39" s="98"/>
      <c r="C39" s="106"/>
      <c r="D39" s="107"/>
      <c r="E39" s="104"/>
      <c r="F39" s="104"/>
      <c r="G39" s="89"/>
      <c r="H39" s="11" t="s">
        <v>756</v>
      </c>
      <c r="I39" s="10">
        <v>27</v>
      </c>
      <c r="J39" s="16">
        <v>1</v>
      </c>
      <c r="K39" s="16">
        <v>5</v>
      </c>
      <c r="L39" s="16">
        <v>91</v>
      </c>
      <c r="M39" s="96" t="s">
        <v>556</v>
      </c>
      <c r="N39" s="96" t="s">
        <v>576</v>
      </c>
      <c r="O39" s="96" t="s">
        <v>755</v>
      </c>
      <c r="P39" s="10"/>
      <c r="Q39" s="214">
        <f t="shared" si="0"/>
        <v>9.4</v>
      </c>
      <c r="R39" s="214">
        <f t="shared" si="0"/>
        <v>10.1</v>
      </c>
      <c r="S39" s="214">
        <f t="shared" si="0"/>
        <v>28.7</v>
      </c>
    </row>
    <row r="40" spans="1:19" ht="27.75" customHeight="1">
      <c r="A40" s="99"/>
      <c r="B40" s="98"/>
      <c r="C40" s="106"/>
      <c r="D40" s="107"/>
      <c r="E40" s="104"/>
      <c r="F40" s="104"/>
      <c r="G40" s="89"/>
      <c r="H40" s="11" t="s">
        <v>712</v>
      </c>
      <c r="I40" s="10">
        <v>27</v>
      </c>
      <c r="J40" s="16">
        <v>1</v>
      </c>
      <c r="K40" s="16">
        <v>5</v>
      </c>
      <c r="L40" s="16">
        <v>91</v>
      </c>
      <c r="M40" s="96" t="s">
        <v>556</v>
      </c>
      <c r="N40" s="96" t="s">
        <v>576</v>
      </c>
      <c r="O40" s="96" t="s">
        <v>755</v>
      </c>
      <c r="P40" s="10">
        <v>240</v>
      </c>
      <c r="Q40" s="214">
        <v>9.4</v>
      </c>
      <c r="R40" s="214">
        <v>10.1</v>
      </c>
      <c r="S40" s="214">
        <v>28.7</v>
      </c>
    </row>
    <row r="41" spans="1:19" s="179" customFormat="1" ht="18.75" customHeight="1" hidden="1">
      <c r="A41" s="375">
        <v>1200</v>
      </c>
      <c r="B41" s="375"/>
      <c r="C41" s="376"/>
      <c r="D41" s="376"/>
      <c r="E41" s="376"/>
      <c r="F41" s="376"/>
      <c r="G41" s="136">
        <v>622</v>
      </c>
      <c r="H41" s="137" t="s">
        <v>363</v>
      </c>
      <c r="I41" s="138">
        <v>27</v>
      </c>
      <c r="J41" s="139">
        <v>1</v>
      </c>
      <c r="K41" s="139">
        <v>11</v>
      </c>
      <c r="L41" s="140" t="s">
        <v>527</v>
      </c>
      <c r="M41" s="141" t="s">
        <v>527</v>
      </c>
      <c r="N41" s="141"/>
      <c r="O41" s="141" t="s">
        <v>527</v>
      </c>
      <c r="P41" s="138" t="s">
        <v>527</v>
      </c>
      <c r="Q41" s="213">
        <f aca="true" t="shared" si="1" ref="Q41:S43">Q42</f>
        <v>0</v>
      </c>
      <c r="R41" s="213">
        <f t="shared" si="1"/>
        <v>500</v>
      </c>
      <c r="S41" s="213">
        <f t="shared" si="1"/>
        <v>500</v>
      </c>
    </row>
    <row r="42" spans="1:19" ht="23.25" customHeight="1" hidden="1">
      <c r="A42" s="99"/>
      <c r="B42" s="98"/>
      <c r="C42" s="381">
        <v>1204</v>
      </c>
      <c r="D42" s="382"/>
      <c r="E42" s="382"/>
      <c r="F42" s="382"/>
      <c r="G42" s="89">
        <v>622</v>
      </c>
      <c r="H42" s="11" t="s">
        <v>363</v>
      </c>
      <c r="I42" s="10">
        <v>27</v>
      </c>
      <c r="J42" s="16">
        <v>1</v>
      </c>
      <c r="K42" s="16">
        <v>11</v>
      </c>
      <c r="L42" s="95">
        <v>70</v>
      </c>
      <c r="M42" s="96">
        <v>0</v>
      </c>
      <c r="N42" s="96" t="s">
        <v>576</v>
      </c>
      <c r="O42" s="96" t="s">
        <v>613</v>
      </c>
      <c r="P42" s="10" t="s">
        <v>527</v>
      </c>
      <c r="Q42" s="214">
        <f t="shared" si="1"/>
        <v>0</v>
      </c>
      <c r="R42" s="214">
        <f t="shared" si="1"/>
        <v>500</v>
      </c>
      <c r="S42" s="214">
        <f t="shared" si="1"/>
        <v>500</v>
      </c>
    </row>
    <row r="43" spans="1:19" ht="21" customHeight="1" hidden="1">
      <c r="A43" s="99"/>
      <c r="B43" s="98"/>
      <c r="C43" s="97"/>
      <c r="D43" s="368">
        <v>4440000</v>
      </c>
      <c r="E43" s="368"/>
      <c r="F43" s="368"/>
      <c r="G43" s="89">
        <v>621</v>
      </c>
      <c r="H43" s="11" t="s">
        <v>346</v>
      </c>
      <c r="I43" s="10">
        <v>27</v>
      </c>
      <c r="J43" s="16">
        <v>1</v>
      </c>
      <c r="K43" s="16">
        <v>11</v>
      </c>
      <c r="L43" s="95" t="s">
        <v>336</v>
      </c>
      <c r="M43" s="96" t="s">
        <v>579</v>
      </c>
      <c r="N43" s="96" t="s">
        <v>576</v>
      </c>
      <c r="O43" s="96" t="s">
        <v>613</v>
      </c>
      <c r="P43" s="10" t="s">
        <v>527</v>
      </c>
      <c r="Q43" s="214">
        <f t="shared" si="1"/>
        <v>0</v>
      </c>
      <c r="R43" s="214">
        <f t="shared" si="1"/>
        <v>500</v>
      </c>
      <c r="S43" s="214">
        <f t="shared" si="1"/>
        <v>500</v>
      </c>
    </row>
    <row r="44" spans="1:19" ht="23.25" customHeight="1" hidden="1">
      <c r="A44" s="99"/>
      <c r="B44" s="98"/>
      <c r="C44" s="103"/>
      <c r="D44" s="109"/>
      <c r="E44" s="104"/>
      <c r="F44" s="104"/>
      <c r="G44" s="105">
        <v>621</v>
      </c>
      <c r="H44" s="5" t="s">
        <v>544</v>
      </c>
      <c r="I44" s="8">
        <v>27</v>
      </c>
      <c r="J44" s="21">
        <v>1</v>
      </c>
      <c r="K44" s="16">
        <v>11</v>
      </c>
      <c r="L44" s="95" t="s">
        <v>336</v>
      </c>
      <c r="M44" s="96" t="s">
        <v>579</v>
      </c>
      <c r="N44" s="96" t="s">
        <v>576</v>
      </c>
      <c r="O44" s="96" t="s">
        <v>613</v>
      </c>
      <c r="P44" s="6">
        <v>870</v>
      </c>
      <c r="Q44" s="216">
        <f>500+8900-9400</f>
        <v>0</v>
      </c>
      <c r="R44" s="216">
        <v>500</v>
      </c>
      <c r="S44" s="216">
        <v>500</v>
      </c>
    </row>
    <row r="45" spans="1:19" s="179" customFormat="1" ht="23.25" customHeight="1">
      <c r="A45" s="142"/>
      <c r="B45" s="143"/>
      <c r="C45" s="142"/>
      <c r="D45" s="144"/>
      <c r="E45" s="145"/>
      <c r="F45" s="145"/>
      <c r="G45" s="136"/>
      <c r="H45" s="137" t="s">
        <v>528</v>
      </c>
      <c r="I45" s="146">
        <v>27</v>
      </c>
      <c r="J45" s="147">
        <v>1</v>
      </c>
      <c r="K45" s="139">
        <v>13</v>
      </c>
      <c r="L45" s="140"/>
      <c r="M45" s="141"/>
      <c r="N45" s="141"/>
      <c r="O45" s="141"/>
      <c r="P45" s="146"/>
      <c r="Q45" s="217">
        <f>Q46+Q59+Q57</f>
        <v>48268.2</v>
      </c>
      <c r="R45" s="217">
        <f>R46+R59</f>
        <v>31038.2</v>
      </c>
      <c r="S45" s="217">
        <f>S46+S59</f>
        <v>30150.3</v>
      </c>
    </row>
    <row r="46" spans="1:19" s="179" customFormat="1" ht="41.25" customHeight="1">
      <c r="A46" s="142"/>
      <c r="B46" s="143"/>
      <c r="C46" s="142"/>
      <c r="D46" s="144"/>
      <c r="E46" s="145"/>
      <c r="F46" s="145"/>
      <c r="G46" s="136"/>
      <c r="H46" s="11" t="s">
        <v>612</v>
      </c>
      <c r="I46" s="6">
        <v>27</v>
      </c>
      <c r="J46" s="19">
        <v>1</v>
      </c>
      <c r="K46" s="16">
        <v>13</v>
      </c>
      <c r="L46" s="95" t="s">
        <v>555</v>
      </c>
      <c r="M46" s="96" t="s">
        <v>556</v>
      </c>
      <c r="N46" s="96" t="s">
        <v>576</v>
      </c>
      <c r="O46" s="96" t="s">
        <v>613</v>
      </c>
      <c r="P46" s="6"/>
      <c r="Q46" s="216">
        <f>Q47+Q54</f>
        <v>5180.6</v>
      </c>
      <c r="R46" s="216"/>
      <c r="S46" s="216"/>
    </row>
    <row r="47" spans="1:19" s="179" customFormat="1" ht="23.25" customHeight="1">
      <c r="A47" s="142"/>
      <c r="B47" s="143"/>
      <c r="C47" s="142"/>
      <c r="D47" s="144"/>
      <c r="E47" s="145"/>
      <c r="F47" s="145"/>
      <c r="G47" s="136"/>
      <c r="H47" s="11" t="s">
        <v>782</v>
      </c>
      <c r="I47" s="6">
        <v>27</v>
      </c>
      <c r="J47" s="19">
        <v>1</v>
      </c>
      <c r="K47" s="16">
        <v>13</v>
      </c>
      <c r="L47" s="95" t="s">
        <v>555</v>
      </c>
      <c r="M47" s="96" t="s">
        <v>556</v>
      </c>
      <c r="N47" s="96" t="s">
        <v>585</v>
      </c>
      <c r="O47" s="96" t="s">
        <v>613</v>
      </c>
      <c r="P47" s="6"/>
      <c r="Q47" s="216">
        <f>Q48+Q50+Q52</f>
        <v>5013.6</v>
      </c>
      <c r="R47" s="216"/>
      <c r="S47" s="216"/>
    </row>
    <row r="48" spans="1:19" s="179" customFormat="1" ht="41.25" customHeight="1" hidden="1">
      <c r="A48" s="142"/>
      <c r="B48" s="143"/>
      <c r="C48" s="142"/>
      <c r="D48" s="144"/>
      <c r="E48" s="145"/>
      <c r="F48" s="145"/>
      <c r="G48" s="136"/>
      <c r="H48" s="11" t="s">
        <v>780</v>
      </c>
      <c r="I48" s="6">
        <v>27</v>
      </c>
      <c r="J48" s="19">
        <v>1</v>
      </c>
      <c r="K48" s="16">
        <v>13</v>
      </c>
      <c r="L48" s="95" t="s">
        <v>555</v>
      </c>
      <c r="M48" s="96" t="s">
        <v>556</v>
      </c>
      <c r="N48" s="96" t="s">
        <v>585</v>
      </c>
      <c r="O48" s="96" t="s">
        <v>779</v>
      </c>
      <c r="P48" s="6"/>
      <c r="Q48" s="216">
        <f>Q49</f>
        <v>0</v>
      </c>
      <c r="R48" s="216"/>
      <c r="S48" s="216"/>
    </row>
    <row r="49" spans="1:19" s="179" customFormat="1" ht="23.25" customHeight="1" hidden="1">
      <c r="A49" s="142"/>
      <c r="B49" s="143"/>
      <c r="C49" s="142"/>
      <c r="D49" s="144"/>
      <c r="E49" s="145"/>
      <c r="F49" s="145"/>
      <c r="G49" s="136"/>
      <c r="H49" s="11" t="s">
        <v>640</v>
      </c>
      <c r="I49" s="6">
        <v>27</v>
      </c>
      <c r="J49" s="19">
        <v>1</v>
      </c>
      <c r="K49" s="16">
        <v>13</v>
      </c>
      <c r="L49" s="95" t="s">
        <v>555</v>
      </c>
      <c r="M49" s="96" t="s">
        <v>556</v>
      </c>
      <c r="N49" s="96" t="s">
        <v>585</v>
      </c>
      <c r="O49" s="96" t="s">
        <v>779</v>
      </c>
      <c r="P49" s="6">
        <v>540</v>
      </c>
      <c r="Q49" s="216">
        <v>0</v>
      </c>
      <c r="R49" s="216"/>
      <c r="S49" s="216"/>
    </row>
    <row r="50" spans="1:19" s="179" customFormat="1" ht="23.25" customHeight="1">
      <c r="A50" s="142"/>
      <c r="B50" s="143"/>
      <c r="C50" s="142"/>
      <c r="D50" s="144"/>
      <c r="E50" s="145"/>
      <c r="F50" s="145"/>
      <c r="G50" s="136"/>
      <c r="H50" s="11" t="s">
        <v>787</v>
      </c>
      <c r="I50" s="6">
        <v>27</v>
      </c>
      <c r="J50" s="19">
        <v>1</v>
      </c>
      <c r="K50" s="16">
        <v>13</v>
      </c>
      <c r="L50" s="95" t="s">
        <v>555</v>
      </c>
      <c r="M50" s="96" t="s">
        <v>556</v>
      </c>
      <c r="N50" s="96" t="s">
        <v>585</v>
      </c>
      <c r="O50" s="96" t="s">
        <v>786</v>
      </c>
      <c r="P50" s="6"/>
      <c r="Q50" s="216">
        <f>Q51</f>
        <v>582</v>
      </c>
      <c r="R50" s="216"/>
      <c r="S50" s="216"/>
    </row>
    <row r="51" spans="1:19" s="179" customFormat="1" ht="23.25" customHeight="1">
      <c r="A51" s="142"/>
      <c r="B51" s="143"/>
      <c r="C51" s="142"/>
      <c r="D51" s="144"/>
      <c r="E51" s="145"/>
      <c r="F51" s="145"/>
      <c r="G51" s="136"/>
      <c r="H51" s="11" t="s">
        <v>640</v>
      </c>
      <c r="I51" s="6">
        <v>27</v>
      </c>
      <c r="J51" s="19">
        <v>1</v>
      </c>
      <c r="K51" s="16">
        <v>13</v>
      </c>
      <c r="L51" s="95" t="s">
        <v>555</v>
      </c>
      <c r="M51" s="96" t="s">
        <v>556</v>
      </c>
      <c r="N51" s="96" t="s">
        <v>585</v>
      </c>
      <c r="O51" s="96" t="s">
        <v>786</v>
      </c>
      <c r="P51" s="6">
        <v>540</v>
      </c>
      <c r="Q51" s="216">
        <f>522+60</f>
        <v>582</v>
      </c>
      <c r="R51" s="216"/>
      <c r="S51" s="216"/>
    </row>
    <row r="52" spans="1:19" s="179" customFormat="1" ht="23.25" customHeight="1">
      <c r="A52" s="142"/>
      <c r="B52" s="143"/>
      <c r="C52" s="142"/>
      <c r="D52" s="144"/>
      <c r="E52" s="145"/>
      <c r="F52" s="145"/>
      <c r="G52" s="136"/>
      <c r="H52" s="11" t="s">
        <v>762</v>
      </c>
      <c r="I52" s="6">
        <v>27</v>
      </c>
      <c r="J52" s="19">
        <v>1</v>
      </c>
      <c r="K52" s="16">
        <v>13</v>
      </c>
      <c r="L52" s="95" t="s">
        <v>555</v>
      </c>
      <c r="M52" s="96" t="s">
        <v>556</v>
      </c>
      <c r="N52" s="96" t="s">
        <v>585</v>
      </c>
      <c r="O52" s="96" t="s">
        <v>763</v>
      </c>
      <c r="P52" s="6"/>
      <c r="Q52" s="216">
        <f>Q53</f>
        <v>4431.6</v>
      </c>
      <c r="R52" s="216"/>
      <c r="S52" s="216"/>
    </row>
    <row r="53" spans="1:19" s="179" customFormat="1" ht="23.25" customHeight="1">
      <c r="A53" s="142"/>
      <c r="B53" s="143"/>
      <c r="C53" s="142"/>
      <c r="D53" s="144"/>
      <c r="E53" s="145"/>
      <c r="F53" s="145"/>
      <c r="G53" s="136"/>
      <c r="H53" s="11" t="s">
        <v>640</v>
      </c>
      <c r="I53" s="6">
        <v>27</v>
      </c>
      <c r="J53" s="19">
        <v>1</v>
      </c>
      <c r="K53" s="16">
        <v>13</v>
      </c>
      <c r="L53" s="95" t="s">
        <v>555</v>
      </c>
      <c r="M53" s="96" t="s">
        <v>556</v>
      </c>
      <c r="N53" s="96" t="s">
        <v>585</v>
      </c>
      <c r="O53" s="96" t="s">
        <v>763</v>
      </c>
      <c r="P53" s="6">
        <v>540</v>
      </c>
      <c r="Q53" s="216">
        <f>3850+38.9+14.7+1456-918.7-9.3</f>
        <v>4431.6</v>
      </c>
      <c r="R53" s="216"/>
      <c r="S53" s="216"/>
    </row>
    <row r="54" spans="1:19" s="179" customFormat="1" ht="23.25" customHeight="1">
      <c r="A54" s="142"/>
      <c r="B54" s="143"/>
      <c r="C54" s="142"/>
      <c r="D54" s="144"/>
      <c r="E54" s="145"/>
      <c r="F54" s="145"/>
      <c r="G54" s="136"/>
      <c r="H54" s="11" t="s">
        <v>229</v>
      </c>
      <c r="I54" s="6">
        <v>27</v>
      </c>
      <c r="J54" s="19">
        <v>1</v>
      </c>
      <c r="K54" s="16">
        <v>13</v>
      </c>
      <c r="L54" s="95" t="s">
        <v>555</v>
      </c>
      <c r="M54" s="96" t="s">
        <v>556</v>
      </c>
      <c r="N54" s="96" t="s">
        <v>586</v>
      </c>
      <c r="O54" s="96" t="s">
        <v>613</v>
      </c>
      <c r="P54" s="6"/>
      <c r="Q54" s="216">
        <f>Q55</f>
        <v>167</v>
      </c>
      <c r="R54" s="216"/>
      <c r="S54" s="216"/>
    </row>
    <row r="55" spans="1:19" s="179" customFormat="1" ht="23.25" customHeight="1">
      <c r="A55" s="142"/>
      <c r="B55" s="143"/>
      <c r="C55" s="142"/>
      <c r="D55" s="144"/>
      <c r="E55" s="145"/>
      <c r="F55" s="145"/>
      <c r="G55" s="136"/>
      <c r="H55" s="11" t="s">
        <v>230</v>
      </c>
      <c r="I55" s="6">
        <v>27</v>
      </c>
      <c r="J55" s="19">
        <v>1</v>
      </c>
      <c r="K55" s="16">
        <v>13</v>
      </c>
      <c r="L55" s="95" t="s">
        <v>555</v>
      </c>
      <c r="M55" s="96" t="s">
        <v>556</v>
      </c>
      <c r="N55" s="96" t="s">
        <v>586</v>
      </c>
      <c r="O55" s="96" t="s">
        <v>228</v>
      </c>
      <c r="P55" s="6"/>
      <c r="Q55" s="216">
        <f>Q56</f>
        <v>167</v>
      </c>
      <c r="R55" s="216"/>
      <c r="S55" s="216"/>
    </row>
    <row r="56" spans="1:19" s="179" customFormat="1" ht="23.25" customHeight="1">
      <c r="A56" s="142"/>
      <c r="B56" s="143"/>
      <c r="C56" s="142"/>
      <c r="D56" s="144"/>
      <c r="E56" s="145"/>
      <c r="F56" s="145"/>
      <c r="G56" s="136"/>
      <c r="H56" s="11" t="s">
        <v>640</v>
      </c>
      <c r="I56" s="6">
        <v>27</v>
      </c>
      <c r="J56" s="19">
        <v>1</v>
      </c>
      <c r="K56" s="16">
        <v>13</v>
      </c>
      <c r="L56" s="95" t="s">
        <v>555</v>
      </c>
      <c r="M56" s="96" t="s">
        <v>556</v>
      </c>
      <c r="N56" s="96" t="s">
        <v>586</v>
      </c>
      <c r="O56" s="96" t="s">
        <v>228</v>
      </c>
      <c r="P56" s="6">
        <v>540</v>
      </c>
      <c r="Q56" s="216">
        <f>250-60-23</f>
        <v>167</v>
      </c>
      <c r="R56" s="216"/>
      <c r="S56" s="216"/>
    </row>
    <row r="57" spans="1:19" s="179" customFormat="1" ht="23.25" customHeight="1">
      <c r="A57" s="142"/>
      <c r="B57" s="143"/>
      <c r="C57" s="142"/>
      <c r="D57" s="144"/>
      <c r="E57" s="145"/>
      <c r="F57" s="145"/>
      <c r="G57" s="136"/>
      <c r="H57" s="11" t="s">
        <v>346</v>
      </c>
      <c r="I57" s="6">
        <v>27</v>
      </c>
      <c r="J57" s="19">
        <v>1</v>
      </c>
      <c r="K57" s="16">
        <v>13</v>
      </c>
      <c r="L57" s="95" t="s">
        <v>336</v>
      </c>
      <c r="M57" s="96" t="s">
        <v>579</v>
      </c>
      <c r="N57" s="96" t="s">
        <v>576</v>
      </c>
      <c r="O57" s="96" t="s">
        <v>613</v>
      </c>
      <c r="P57" s="6"/>
      <c r="Q57" s="216">
        <f>Q58</f>
        <v>9741.4</v>
      </c>
      <c r="R57" s="216"/>
      <c r="S57" s="216"/>
    </row>
    <row r="58" spans="1:19" s="179" customFormat="1" ht="23.25" customHeight="1">
      <c r="A58" s="142"/>
      <c r="B58" s="143"/>
      <c r="C58" s="142"/>
      <c r="D58" s="144"/>
      <c r="E58" s="145"/>
      <c r="F58" s="145"/>
      <c r="G58" s="136"/>
      <c r="H58" s="11" t="s">
        <v>712</v>
      </c>
      <c r="I58" s="6">
        <v>27</v>
      </c>
      <c r="J58" s="19">
        <v>1</v>
      </c>
      <c r="K58" s="16">
        <v>13</v>
      </c>
      <c r="L58" s="95" t="s">
        <v>336</v>
      </c>
      <c r="M58" s="96" t="s">
        <v>579</v>
      </c>
      <c r="N58" s="96" t="s">
        <v>576</v>
      </c>
      <c r="O58" s="96" t="s">
        <v>613</v>
      </c>
      <c r="P58" s="6">
        <v>240</v>
      </c>
      <c r="Q58" s="216">
        <v>9741.4</v>
      </c>
      <c r="R58" s="216"/>
      <c r="S58" s="216"/>
    </row>
    <row r="59" spans="1:19" s="179" customFormat="1" ht="23.25" customHeight="1">
      <c r="A59" s="142"/>
      <c r="B59" s="143"/>
      <c r="C59" s="142"/>
      <c r="D59" s="144"/>
      <c r="E59" s="145"/>
      <c r="F59" s="145"/>
      <c r="G59" s="136"/>
      <c r="H59" s="11" t="s">
        <v>292</v>
      </c>
      <c r="I59" s="6">
        <v>27</v>
      </c>
      <c r="J59" s="19">
        <v>1</v>
      </c>
      <c r="K59" s="16">
        <v>13</v>
      </c>
      <c r="L59" s="95" t="s">
        <v>573</v>
      </c>
      <c r="M59" s="96" t="s">
        <v>556</v>
      </c>
      <c r="N59" s="96" t="s">
        <v>576</v>
      </c>
      <c r="O59" s="96" t="s">
        <v>613</v>
      </c>
      <c r="P59" s="6"/>
      <c r="Q59" s="217">
        <f>Q60+Q63+Q70+Q73+Q75+Q78+Q80+Q68+Q82+Q66</f>
        <v>33346.2</v>
      </c>
      <c r="R59" s="217">
        <f>R60+R63+R70+R73+R75+R78+R80</f>
        <v>31038.2</v>
      </c>
      <c r="S59" s="217">
        <f>S60+S63+S70+S73+S75+S78+S80</f>
        <v>30150.3</v>
      </c>
    </row>
    <row r="60" spans="1:19" ht="25.5" customHeight="1">
      <c r="A60" s="99"/>
      <c r="B60" s="98"/>
      <c r="C60" s="103"/>
      <c r="D60" s="101"/>
      <c r="E60" s="372">
        <v>5203500</v>
      </c>
      <c r="F60" s="372"/>
      <c r="G60" s="89">
        <v>521</v>
      </c>
      <c r="H60" s="11" t="s">
        <v>335</v>
      </c>
      <c r="I60" s="10">
        <v>27</v>
      </c>
      <c r="J60" s="16">
        <v>1</v>
      </c>
      <c r="K60" s="16">
        <v>13</v>
      </c>
      <c r="L60" s="95" t="s">
        <v>573</v>
      </c>
      <c r="M60" s="96" t="s">
        <v>556</v>
      </c>
      <c r="N60" s="96" t="s">
        <v>576</v>
      </c>
      <c r="O60" s="96" t="s">
        <v>641</v>
      </c>
      <c r="P60" s="10" t="s">
        <v>527</v>
      </c>
      <c r="Q60" s="214">
        <f>SUM(Q61:Q62)</f>
        <v>866.1000000000001</v>
      </c>
      <c r="R60" s="214">
        <f>SUM(R61:R62)</f>
        <v>2594.7</v>
      </c>
      <c r="S60" s="214">
        <f>SUM(S61:S62)</f>
        <v>1927.5</v>
      </c>
    </row>
    <row r="61" spans="1:19" ht="26.25" customHeight="1">
      <c r="A61" s="110"/>
      <c r="B61" s="111"/>
      <c r="C61" s="106"/>
      <c r="D61" s="107"/>
      <c r="E61" s="104"/>
      <c r="F61" s="104"/>
      <c r="G61" s="89"/>
      <c r="H61" s="11" t="s">
        <v>712</v>
      </c>
      <c r="I61" s="6">
        <v>27</v>
      </c>
      <c r="J61" s="19">
        <v>1</v>
      </c>
      <c r="K61" s="16">
        <v>13</v>
      </c>
      <c r="L61" s="95" t="s">
        <v>573</v>
      </c>
      <c r="M61" s="96" t="s">
        <v>556</v>
      </c>
      <c r="N61" s="96" t="s">
        <v>576</v>
      </c>
      <c r="O61" s="96" t="s">
        <v>641</v>
      </c>
      <c r="P61" s="6">
        <v>240</v>
      </c>
      <c r="Q61" s="216">
        <f>931-86+75+2.7-77.6-45.8-85-0.8-29.8</f>
        <v>683.7000000000002</v>
      </c>
      <c r="R61" s="216">
        <v>2512.2</v>
      </c>
      <c r="S61" s="216">
        <v>1845</v>
      </c>
    </row>
    <row r="62" spans="1:19" ht="20.25" customHeight="1">
      <c r="A62" s="110"/>
      <c r="B62" s="112"/>
      <c r="C62" s="106"/>
      <c r="D62" s="109"/>
      <c r="E62" s="104"/>
      <c r="F62" s="104"/>
      <c r="G62" s="89"/>
      <c r="H62" s="11" t="s">
        <v>713</v>
      </c>
      <c r="I62" s="6">
        <v>27</v>
      </c>
      <c r="J62" s="21">
        <v>1</v>
      </c>
      <c r="K62" s="16">
        <v>13</v>
      </c>
      <c r="L62" s="95" t="s">
        <v>573</v>
      </c>
      <c r="M62" s="96" t="s">
        <v>556</v>
      </c>
      <c r="N62" s="96" t="s">
        <v>576</v>
      </c>
      <c r="O62" s="96" t="s">
        <v>641</v>
      </c>
      <c r="P62" s="6">
        <v>850</v>
      </c>
      <c r="Q62" s="216">
        <f>82.5+45.8+100-45.8-0.1</f>
        <v>182.4</v>
      </c>
      <c r="R62" s="216">
        <v>82.5</v>
      </c>
      <c r="S62" s="216">
        <v>82.5</v>
      </c>
    </row>
    <row r="63" spans="1:19" ht="26.25" customHeight="1">
      <c r="A63" s="99"/>
      <c r="B63" s="98"/>
      <c r="C63" s="97"/>
      <c r="D63" s="368">
        <v>5220000</v>
      </c>
      <c r="E63" s="369"/>
      <c r="F63" s="369"/>
      <c r="G63" s="89">
        <v>622</v>
      </c>
      <c r="H63" s="11" t="s">
        <v>337</v>
      </c>
      <c r="I63" s="10">
        <v>27</v>
      </c>
      <c r="J63" s="16">
        <v>1</v>
      </c>
      <c r="K63" s="16">
        <v>13</v>
      </c>
      <c r="L63" s="95" t="s">
        <v>573</v>
      </c>
      <c r="M63" s="96" t="s">
        <v>556</v>
      </c>
      <c r="N63" s="96" t="s">
        <v>576</v>
      </c>
      <c r="O63" s="96" t="s">
        <v>338</v>
      </c>
      <c r="P63" s="10"/>
      <c r="Q63" s="214">
        <f>SUM(Q64:Q65)</f>
        <v>17117.999999999996</v>
      </c>
      <c r="R63" s="214">
        <f>SUM(R64:R65)</f>
        <v>23760</v>
      </c>
      <c r="S63" s="214">
        <f>SUM(S64:S65)</f>
        <v>23760</v>
      </c>
    </row>
    <row r="64" spans="1:19" ht="26.25" customHeight="1">
      <c r="A64" s="99"/>
      <c r="B64" s="98"/>
      <c r="C64" s="97"/>
      <c r="D64" s="101"/>
      <c r="E64" s="100"/>
      <c r="F64" s="100"/>
      <c r="G64" s="89"/>
      <c r="H64" s="11" t="s">
        <v>714</v>
      </c>
      <c r="I64" s="6">
        <v>27</v>
      </c>
      <c r="J64" s="19">
        <v>1</v>
      </c>
      <c r="K64" s="16">
        <v>13</v>
      </c>
      <c r="L64" s="95" t="s">
        <v>573</v>
      </c>
      <c r="M64" s="96" t="s">
        <v>556</v>
      </c>
      <c r="N64" s="96" t="s">
        <v>576</v>
      </c>
      <c r="O64" s="96" t="s">
        <v>338</v>
      </c>
      <c r="P64" s="10">
        <v>610</v>
      </c>
      <c r="Q64" s="214">
        <v>258.8</v>
      </c>
      <c r="R64" s="214">
        <v>260</v>
      </c>
      <c r="S64" s="214">
        <v>260</v>
      </c>
    </row>
    <row r="65" spans="1:19" ht="21" customHeight="1">
      <c r="A65" s="99"/>
      <c r="B65" s="98"/>
      <c r="C65" s="103"/>
      <c r="D65" s="107"/>
      <c r="E65" s="178"/>
      <c r="F65" s="178"/>
      <c r="G65" s="89"/>
      <c r="H65" s="11" t="s">
        <v>749</v>
      </c>
      <c r="I65" s="10">
        <v>27</v>
      </c>
      <c r="J65" s="16">
        <v>1</v>
      </c>
      <c r="K65" s="16">
        <v>13</v>
      </c>
      <c r="L65" s="95" t="s">
        <v>573</v>
      </c>
      <c r="M65" s="96" t="s">
        <v>556</v>
      </c>
      <c r="N65" s="96" t="s">
        <v>576</v>
      </c>
      <c r="O65" s="96" t="s">
        <v>338</v>
      </c>
      <c r="P65" s="10">
        <v>620</v>
      </c>
      <c r="Q65" s="214">
        <f>18474.1-3000+950+200+60.1+175</f>
        <v>16859.199999999997</v>
      </c>
      <c r="R65" s="214">
        <v>23500</v>
      </c>
      <c r="S65" s="214">
        <v>23500</v>
      </c>
    </row>
    <row r="66" spans="1:19" ht="21" customHeight="1">
      <c r="A66" s="110"/>
      <c r="B66" s="111"/>
      <c r="C66" s="106"/>
      <c r="D66" s="107"/>
      <c r="E66" s="104"/>
      <c r="F66" s="104"/>
      <c r="G66" s="89"/>
      <c r="H66" s="11" t="s">
        <v>116</v>
      </c>
      <c r="I66" s="10">
        <v>27</v>
      </c>
      <c r="J66" s="16">
        <v>1</v>
      </c>
      <c r="K66" s="16">
        <v>13</v>
      </c>
      <c r="L66" s="95" t="s">
        <v>573</v>
      </c>
      <c r="M66" s="96" t="s">
        <v>556</v>
      </c>
      <c r="N66" s="96" t="s">
        <v>576</v>
      </c>
      <c r="O66" s="96" t="s">
        <v>115</v>
      </c>
      <c r="P66" s="10"/>
      <c r="Q66" s="214">
        <f>Q67</f>
        <v>163.7</v>
      </c>
      <c r="R66" s="216"/>
      <c r="S66" s="216"/>
    </row>
    <row r="67" spans="1:19" ht="21" customHeight="1">
      <c r="A67" s="110"/>
      <c r="B67" s="111"/>
      <c r="C67" s="106"/>
      <c r="D67" s="107"/>
      <c r="E67" s="104"/>
      <c r="F67" s="104"/>
      <c r="G67" s="89"/>
      <c r="H67" s="11" t="s">
        <v>712</v>
      </c>
      <c r="I67" s="10">
        <v>27</v>
      </c>
      <c r="J67" s="16">
        <v>1</v>
      </c>
      <c r="K67" s="16">
        <v>13</v>
      </c>
      <c r="L67" s="95" t="s">
        <v>573</v>
      </c>
      <c r="M67" s="96" t="s">
        <v>556</v>
      </c>
      <c r="N67" s="96" t="s">
        <v>576</v>
      </c>
      <c r="O67" s="96" t="s">
        <v>115</v>
      </c>
      <c r="P67" s="10">
        <v>240</v>
      </c>
      <c r="Q67" s="214">
        <f>86+77.7</f>
        <v>163.7</v>
      </c>
      <c r="R67" s="216"/>
      <c r="S67" s="216"/>
    </row>
    <row r="68" spans="1:19" ht="34.5" customHeight="1">
      <c r="A68" s="110"/>
      <c r="B68" s="111"/>
      <c r="C68" s="106"/>
      <c r="D68" s="107"/>
      <c r="E68" s="104"/>
      <c r="F68" s="104"/>
      <c r="G68" s="89"/>
      <c r="H68" s="11" t="s">
        <v>61</v>
      </c>
      <c r="I68" s="10">
        <v>27</v>
      </c>
      <c r="J68" s="16">
        <v>1</v>
      </c>
      <c r="K68" s="16">
        <v>13</v>
      </c>
      <c r="L68" s="95" t="s">
        <v>573</v>
      </c>
      <c r="M68" s="96" t="s">
        <v>556</v>
      </c>
      <c r="N68" s="96" t="s">
        <v>576</v>
      </c>
      <c r="O68" s="96" t="s">
        <v>60</v>
      </c>
      <c r="P68" s="6"/>
      <c r="Q68" s="216">
        <f>Q69</f>
        <v>9228.7</v>
      </c>
      <c r="R68" s="216"/>
      <c r="S68" s="216"/>
    </row>
    <row r="69" spans="1:19" ht="21" customHeight="1">
      <c r="A69" s="110"/>
      <c r="B69" s="111"/>
      <c r="C69" s="106"/>
      <c r="D69" s="107"/>
      <c r="E69" s="104"/>
      <c r="F69" s="104"/>
      <c r="G69" s="89"/>
      <c r="H69" s="11" t="s">
        <v>749</v>
      </c>
      <c r="I69" s="10">
        <v>27</v>
      </c>
      <c r="J69" s="16">
        <v>1</v>
      </c>
      <c r="K69" s="16">
        <v>13</v>
      </c>
      <c r="L69" s="95" t="s">
        <v>573</v>
      </c>
      <c r="M69" s="96" t="s">
        <v>556</v>
      </c>
      <c r="N69" s="96" t="s">
        <v>576</v>
      </c>
      <c r="O69" s="96" t="s">
        <v>60</v>
      </c>
      <c r="P69" s="6">
        <v>620</v>
      </c>
      <c r="Q69" s="216">
        <f>2988.9+6239.8</f>
        <v>9228.7</v>
      </c>
      <c r="R69" s="216"/>
      <c r="S69" s="216"/>
    </row>
    <row r="70" spans="1:19" ht="51" customHeight="1">
      <c r="A70" s="110"/>
      <c r="B70" s="112"/>
      <c r="C70" s="106"/>
      <c r="D70" s="109"/>
      <c r="E70" s="104"/>
      <c r="F70" s="104"/>
      <c r="G70" s="89"/>
      <c r="H70" s="34" t="s">
        <v>653</v>
      </c>
      <c r="I70" s="10">
        <v>27</v>
      </c>
      <c r="J70" s="16">
        <v>1</v>
      </c>
      <c r="K70" s="16">
        <v>13</v>
      </c>
      <c r="L70" s="95" t="s">
        <v>573</v>
      </c>
      <c r="M70" s="96" t="s">
        <v>556</v>
      </c>
      <c r="N70" s="96" t="s">
        <v>576</v>
      </c>
      <c r="O70" s="96" t="s">
        <v>648</v>
      </c>
      <c r="P70" s="6"/>
      <c r="Q70" s="216">
        <f>SUM(Q71:Q72)</f>
        <v>430.79999999999995</v>
      </c>
      <c r="R70" s="216">
        <f>SUM(R71:R72)</f>
        <v>240.4</v>
      </c>
      <c r="S70" s="216">
        <f>SUM(S71:S72)</f>
        <v>241.3</v>
      </c>
    </row>
    <row r="71" spans="1:19" ht="30" customHeight="1">
      <c r="A71" s="110"/>
      <c r="B71" s="112"/>
      <c r="C71" s="106"/>
      <c r="D71" s="109"/>
      <c r="E71" s="104"/>
      <c r="F71" s="104"/>
      <c r="G71" s="89"/>
      <c r="H71" s="34" t="s">
        <v>526</v>
      </c>
      <c r="I71" s="10">
        <v>27</v>
      </c>
      <c r="J71" s="16">
        <v>1</v>
      </c>
      <c r="K71" s="16">
        <v>13</v>
      </c>
      <c r="L71" s="95" t="s">
        <v>573</v>
      </c>
      <c r="M71" s="96" t="s">
        <v>556</v>
      </c>
      <c r="N71" s="96" t="s">
        <v>576</v>
      </c>
      <c r="O71" s="96" t="s">
        <v>648</v>
      </c>
      <c r="P71" s="10">
        <v>120</v>
      </c>
      <c r="Q71" s="214">
        <v>268.9</v>
      </c>
      <c r="R71" s="214">
        <v>240.4</v>
      </c>
      <c r="S71" s="214">
        <v>241.3</v>
      </c>
    </row>
    <row r="72" spans="1:19" ht="27" customHeight="1">
      <c r="A72" s="110"/>
      <c r="B72" s="112"/>
      <c r="C72" s="106"/>
      <c r="D72" s="109"/>
      <c r="E72" s="104"/>
      <c r="F72" s="104"/>
      <c r="G72" s="89"/>
      <c r="H72" s="34" t="s">
        <v>712</v>
      </c>
      <c r="I72" s="10">
        <v>27</v>
      </c>
      <c r="J72" s="16">
        <v>1</v>
      </c>
      <c r="K72" s="16">
        <v>13</v>
      </c>
      <c r="L72" s="95" t="s">
        <v>573</v>
      </c>
      <c r="M72" s="96" t="s">
        <v>556</v>
      </c>
      <c r="N72" s="96" t="s">
        <v>576</v>
      </c>
      <c r="O72" s="96" t="s">
        <v>648</v>
      </c>
      <c r="P72" s="10">
        <v>240</v>
      </c>
      <c r="Q72" s="214">
        <f>209.8-47.9</f>
        <v>161.9</v>
      </c>
      <c r="R72" s="214">
        <v>0</v>
      </c>
      <c r="S72" s="214">
        <v>0</v>
      </c>
    </row>
    <row r="73" spans="1:19" ht="66" customHeight="1">
      <c r="A73" s="110"/>
      <c r="B73" s="112"/>
      <c r="C73" s="106"/>
      <c r="D73" s="109"/>
      <c r="E73" s="104"/>
      <c r="F73" s="104"/>
      <c r="G73" s="89"/>
      <c r="H73" s="11" t="s">
        <v>339</v>
      </c>
      <c r="I73" s="10">
        <v>27</v>
      </c>
      <c r="J73" s="16">
        <v>1</v>
      </c>
      <c r="K73" s="16">
        <v>13</v>
      </c>
      <c r="L73" s="95" t="s">
        <v>573</v>
      </c>
      <c r="M73" s="96" t="s">
        <v>556</v>
      </c>
      <c r="N73" s="96" t="s">
        <v>576</v>
      </c>
      <c r="O73" s="96" t="s">
        <v>642</v>
      </c>
      <c r="P73" s="6"/>
      <c r="Q73" s="216">
        <f>Q74</f>
        <v>4542.5</v>
      </c>
      <c r="R73" s="216">
        <f>R74</f>
        <v>3437.1</v>
      </c>
      <c r="S73" s="216">
        <f>S74</f>
        <v>3437.1</v>
      </c>
    </row>
    <row r="74" spans="1:19" ht="27" customHeight="1">
      <c r="A74" s="99"/>
      <c r="B74" s="98"/>
      <c r="C74" s="103"/>
      <c r="D74" s="101"/>
      <c r="E74" s="113"/>
      <c r="F74" s="113"/>
      <c r="G74" s="105">
        <v>120</v>
      </c>
      <c r="H74" s="11" t="s">
        <v>714</v>
      </c>
      <c r="I74" s="10">
        <v>27</v>
      </c>
      <c r="J74" s="16">
        <v>1</v>
      </c>
      <c r="K74" s="16">
        <v>13</v>
      </c>
      <c r="L74" s="95" t="s">
        <v>573</v>
      </c>
      <c r="M74" s="96" t="s">
        <v>556</v>
      </c>
      <c r="N74" s="96" t="s">
        <v>576</v>
      </c>
      <c r="O74" s="96" t="s">
        <v>642</v>
      </c>
      <c r="P74" s="6">
        <v>610</v>
      </c>
      <c r="Q74" s="216">
        <f>3437.1+1105.4</f>
        <v>4542.5</v>
      </c>
      <c r="R74" s="216">
        <v>3437.1</v>
      </c>
      <c r="S74" s="216">
        <v>3437.1</v>
      </c>
    </row>
    <row r="75" spans="1:19" ht="21" customHeight="1">
      <c r="A75" s="97"/>
      <c r="B75" s="98"/>
      <c r="C75" s="106"/>
      <c r="D75" s="111"/>
      <c r="E75" s="114"/>
      <c r="F75" s="114"/>
      <c r="G75" s="89"/>
      <c r="H75" s="3" t="s">
        <v>807</v>
      </c>
      <c r="I75" s="10">
        <v>27</v>
      </c>
      <c r="J75" s="16">
        <v>1</v>
      </c>
      <c r="K75" s="16">
        <v>13</v>
      </c>
      <c r="L75" s="95" t="s">
        <v>573</v>
      </c>
      <c r="M75" s="96" t="s">
        <v>556</v>
      </c>
      <c r="N75" s="96" t="s">
        <v>576</v>
      </c>
      <c r="O75" s="96" t="s">
        <v>806</v>
      </c>
      <c r="P75" s="10"/>
      <c r="Q75" s="214">
        <f>SUM(Q76:Q77)</f>
        <v>882.9000000000001</v>
      </c>
      <c r="R75" s="214">
        <f>SUM(R76:R77)</f>
        <v>784.4000000000001</v>
      </c>
      <c r="S75" s="214">
        <f>SUM(S76:S77)</f>
        <v>784.4000000000001</v>
      </c>
    </row>
    <row r="76" spans="1:19" ht="26.25" customHeight="1">
      <c r="A76" s="97"/>
      <c r="B76" s="98"/>
      <c r="C76" s="106"/>
      <c r="D76" s="111"/>
      <c r="E76" s="114"/>
      <c r="F76" s="114"/>
      <c r="G76" s="89"/>
      <c r="H76" s="34" t="s">
        <v>526</v>
      </c>
      <c r="I76" s="10">
        <v>27</v>
      </c>
      <c r="J76" s="16">
        <v>1</v>
      </c>
      <c r="K76" s="16">
        <v>13</v>
      </c>
      <c r="L76" s="95" t="s">
        <v>573</v>
      </c>
      <c r="M76" s="96" t="s">
        <v>556</v>
      </c>
      <c r="N76" s="96" t="s">
        <v>576</v>
      </c>
      <c r="O76" s="96" t="s">
        <v>806</v>
      </c>
      <c r="P76" s="10">
        <v>120</v>
      </c>
      <c r="Q76" s="214">
        <v>479.1</v>
      </c>
      <c r="R76" s="215">
        <v>479.1</v>
      </c>
      <c r="S76" s="215">
        <v>479.1</v>
      </c>
    </row>
    <row r="77" spans="1:19" ht="30" customHeight="1">
      <c r="A77" s="97"/>
      <c r="B77" s="98"/>
      <c r="C77" s="106"/>
      <c r="D77" s="111"/>
      <c r="E77" s="114"/>
      <c r="F77" s="114"/>
      <c r="G77" s="89"/>
      <c r="H77" s="5" t="s">
        <v>712</v>
      </c>
      <c r="I77" s="10">
        <v>27</v>
      </c>
      <c r="J77" s="16">
        <v>1</v>
      </c>
      <c r="K77" s="16">
        <v>13</v>
      </c>
      <c r="L77" s="95" t="s">
        <v>573</v>
      </c>
      <c r="M77" s="96" t="s">
        <v>556</v>
      </c>
      <c r="N77" s="96" t="s">
        <v>576</v>
      </c>
      <c r="O77" s="96" t="s">
        <v>806</v>
      </c>
      <c r="P77" s="10">
        <v>240</v>
      </c>
      <c r="Q77" s="214">
        <f>305.3+98.5</f>
        <v>403.8</v>
      </c>
      <c r="R77" s="215">
        <v>305.3</v>
      </c>
      <c r="S77" s="215">
        <v>305.3</v>
      </c>
    </row>
    <row r="78" spans="1:19" ht="38.25" customHeight="1">
      <c r="A78" s="97"/>
      <c r="B78" s="98"/>
      <c r="C78" s="106"/>
      <c r="D78" s="111"/>
      <c r="E78" s="114"/>
      <c r="F78" s="114"/>
      <c r="G78" s="89"/>
      <c r="H78" s="3" t="s">
        <v>519</v>
      </c>
      <c r="I78" s="10">
        <v>27</v>
      </c>
      <c r="J78" s="16">
        <v>1</v>
      </c>
      <c r="K78" s="16">
        <v>13</v>
      </c>
      <c r="L78" s="95" t="s">
        <v>573</v>
      </c>
      <c r="M78" s="96" t="s">
        <v>556</v>
      </c>
      <c r="N78" s="96" t="s">
        <v>576</v>
      </c>
      <c r="O78" s="96" t="s">
        <v>520</v>
      </c>
      <c r="P78" s="10" t="s">
        <v>614</v>
      </c>
      <c r="Q78" s="214">
        <f>Q79</f>
        <v>2.200000000000001</v>
      </c>
      <c r="R78" s="214"/>
      <c r="S78" s="214"/>
    </row>
    <row r="79" spans="1:19" ht="28.5" customHeight="1">
      <c r="A79" s="97"/>
      <c r="B79" s="98"/>
      <c r="C79" s="106"/>
      <c r="D79" s="111"/>
      <c r="E79" s="114"/>
      <c r="F79" s="114"/>
      <c r="G79" s="89"/>
      <c r="H79" s="3" t="s">
        <v>712</v>
      </c>
      <c r="I79" s="10">
        <v>27</v>
      </c>
      <c r="J79" s="16">
        <v>1</v>
      </c>
      <c r="K79" s="16">
        <v>13</v>
      </c>
      <c r="L79" s="95" t="s">
        <v>573</v>
      </c>
      <c r="M79" s="96" t="s">
        <v>556</v>
      </c>
      <c r="N79" s="96" t="s">
        <v>576</v>
      </c>
      <c r="O79" s="96" t="s">
        <v>520</v>
      </c>
      <c r="P79" s="10">
        <v>240</v>
      </c>
      <c r="Q79" s="214">
        <f>6+11.8-15.6</f>
        <v>2.200000000000001</v>
      </c>
      <c r="R79" s="214"/>
      <c r="S79" s="214"/>
    </row>
    <row r="80" spans="1:19" ht="27.75" customHeight="1" hidden="1">
      <c r="A80" s="97"/>
      <c r="B80" s="98"/>
      <c r="C80" s="106"/>
      <c r="D80" s="111"/>
      <c r="E80" s="114"/>
      <c r="F80" s="114"/>
      <c r="G80" s="89"/>
      <c r="H80" s="3" t="s">
        <v>278</v>
      </c>
      <c r="I80" s="10">
        <v>27</v>
      </c>
      <c r="J80" s="16">
        <v>1</v>
      </c>
      <c r="K80" s="16">
        <v>13</v>
      </c>
      <c r="L80" s="95" t="s">
        <v>573</v>
      </c>
      <c r="M80" s="96" t="s">
        <v>556</v>
      </c>
      <c r="N80" s="96" t="s">
        <v>576</v>
      </c>
      <c r="O80" s="96" t="s">
        <v>6</v>
      </c>
      <c r="P80" s="10"/>
      <c r="Q80" s="214">
        <f>Q81</f>
        <v>0</v>
      </c>
      <c r="R80" s="214">
        <f>R81</f>
        <v>221.6</v>
      </c>
      <c r="S80" s="214">
        <f>S81</f>
        <v>0</v>
      </c>
    </row>
    <row r="81" spans="1:19" ht="33.75" customHeight="1" hidden="1">
      <c r="A81" s="97"/>
      <c r="B81" s="98"/>
      <c r="C81" s="106"/>
      <c r="D81" s="111"/>
      <c r="E81" s="114"/>
      <c r="F81" s="114"/>
      <c r="G81" s="89"/>
      <c r="H81" s="3" t="s">
        <v>712</v>
      </c>
      <c r="I81" s="10">
        <v>27</v>
      </c>
      <c r="J81" s="16">
        <v>1</v>
      </c>
      <c r="K81" s="16">
        <v>13</v>
      </c>
      <c r="L81" s="95" t="s">
        <v>573</v>
      </c>
      <c r="M81" s="96" t="s">
        <v>556</v>
      </c>
      <c r="N81" s="96" t="s">
        <v>576</v>
      </c>
      <c r="O81" s="96" t="s">
        <v>6</v>
      </c>
      <c r="P81" s="10">
        <v>240</v>
      </c>
      <c r="Q81" s="214">
        <v>0</v>
      </c>
      <c r="R81" s="239">
        <v>221.6</v>
      </c>
      <c r="S81" s="239">
        <v>0</v>
      </c>
    </row>
    <row r="82" spans="1:19" ht="33.75" customHeight="1">
      <c r="A82" s="114"/>
      <c r="B82" s="111"/>
      <c r="C82" s="106"/>
      <c r="D82" s="111"/>
      <c r="E82" s="114"/>
      <c r="F82" s="114"/>
      <c r="G82" s="89"/>
      <c r="H82" s="320" t="s">
        <v>76</v>
      </c>
      <c r="I82" s="10">
        <v>27</v>
      </c>
      <c r="J82" s="16">
        <v>1</v>
      </c>
      <c r="K82" s="16">
        <v>13</v>
      </c>
      <c r="L82" s="95" t="s">
        <v>77</v>
      </c>
      <c r="M82" s="96" t="s">
        <v>556</v>
      </c>
      <c r="N82" s="96" t="s">
        <v>576</v>
      </c>
      <c r="O82" s="96" t="s">
        <v>78</v>
      </c>
      <c r="P82" s="6"/>
      <c r="Q82" s="216">
        <v>111.3</v>
      </c>
      <c r="R82" s="239"/>
      <c r="S82" s="239"/>
    </row>
    <row r="83" spans="1:19" ht="33.75" customHeight="1">
      <c r="A83" s="114"/>
      <c r="B83" s="111"/>
      <c r="C83" s="106"/>
      <c r="D83" s="111"/>
      <c r="E83" s="114"/>
      <c r="F83" s="114"/>
      <c r="G83" s="89"/>
      <c r="H83" s="11" t="s">
        <v>640</v>
      </c>
      <c r="I83" s="10">
        <v>27</v>
      </c>
      <c r="J83" s="16">
        <v>1</v>
      </c>
      <c r="K83" s="16">
        <v>13</v>
      </c>
      <c r="L83" s="95" t="s">
        <v>573</v>
      </c>
      <c r="M83" s="96" t="s">
        <v>556</v>
      </c>
      <c r="N83" s="96" t="s">
        <v>576</v>
      </c>
      <c r="O83" s="96" t="s">
        <v>78</v>
      </c>
      <c r="P83" s="6">
        <v>240</v>
      </c>
      <c r="Q83" s="216">
        <v>111.3</v>
      </c>
      <c r="R83" s="239"/>
      <c r="S83" s="239"/>
    </row>
    <row r="84" spans="1:19" s="179" customFormat="1" ht="27" customHeight="1">
      <c r="A84" s="135"/>
      <c r="B84" s="135"/>
      <c r="C84" s="135"/>
      <c r="D84" s="135"/>
      <c r="E84" s="135"/>
      <c r="F84" s="135"/>
      <c r="G84" s="136"/>
      <c r="H84" s="137" t="s">
        <v>548</v>
      </c>
      <c r="I84" s="138">
        <v>27</v>
      </c>
      <c r="J84" s="139">
        <v>3</v>
      </c>
      <c r="K84" s="139" t="s">
        <v>614</v>
      </c>
      <c r="L84" s="140"/>
      <c r="M84" s="141"/>
      <c r="N84" s="141"/>
      <c r="O84" s="141"/>
      <c r="P84" s="146"/>
      <c r="Q84" s="217">
        <f>Q85+Q92</f>
        <v>2213.7999999999997</v>
      </c>
      <c r="R84" s="217">
        <f>R85+R92</f>
        <v>1927</v>
      </c>
      <c r="S84" s="217">
        <f>S85+S92</f>
        <v>1927</v>
      </c>
    </row>
    <row r="85" spans="1:19" s="179" customFormat="1" ht="33" customHeight="1">
      <c r="A85" s="135"/>
      <c r="B85" s="135"/>
      <c r="C85" s="135"/>
      <c r="D85" s="135"/>
      <c r="E85" s="135"/>
      <c r="F85" s="135"/>
      <c r="G85" s="136"/>
      <c r="H85" s="137" t="s">
        <v>550</v>
      </c>
      <c r="I85" s="138">
        <v>27</v>
      </c>
      <c r="J85" s="139">
        <v>3</v>
      </c>
      <c r="K85" s="139">
        <v>9</v>
      </c>
      <c r="L85" s="140" t="s">
        <v>527</v>
      </c>
      <c r="M85" s="141" t="s">
        <v>527</v>
      </c>
      <c r="N85" s="141"/>
      <c r="O85" s="141" t="s">
        <v>527</v>
      </c>
      <c r="P85" s="146" t="s">
        <v>527</v>
      </c>
      <c r="Q85" s="217">
        <f aca="true" t="shared" si="2" ref="Q85:S86">Q86</f>
        <v>2062.7999999999997</v>
      </c>
      <c r="R85" s="217">
        <f t="shared" si="2"/>
        <v>1756</v>
      </c>
      <c r="S85" s="217">
        <f t="shared" si="2"/>
        <v>1756</v>
      </c>
    </row>
    <row r="86" spans="1:19" s="179" customFormat="1" ht="33" customHeight="1">
      <c r="A86" s="135"/>
      <c r="B86" s="135"/>
      <c r="C86" s="135"/>
      <c r="D86" s="135"/>
      <c r="E86" s="135"/>
      <c r="F86" s="135"/>
      <c r="G86" s="136"/>
      <c r="H86" s="11" t="s">
        <v>292</v>
      </c>
      <c r="I86" s="10">
        <v>27</v>
      </c>
      <c r="J86" s="16">
        <v>3</v>
      </c>
      <c r="K86" s="16">
        <v>9</v>
      </c>
      <c r="L86" s="95" t="s">
        <v>573</v>
      </c>
      <c r="M86" s="96" t="s">
        <v>556</v>
      </c>
      <c r="N86" s="96" t="s">
        <v>576</v>
      </c>
      <c r="O86" s="96" t="s">
        <v>613</v>
      </c>
      <c r="P86" s="146"/>
      <c r="Q86" s="217">
        <f>Q87+Q90</f>
        <v>2062.7999999999997</v>
      </c>
      <c r="R86" s="217">
        <f t="shared" si="2"/>
        <v>1756</v>
      </c>
      <c r="S86" s="217">
        <f t="shared" si="2"/>
        <v>1756</v>
      </c>
    </row>
    <row r="87" spans="1:19" ht="26.25" customHeight="1">
      <c r="A87" s="88"/>
      <c r="B87" s="88"/>
      <c r="C87" s="88"/>
      <c r="D87" s="88"/>
      <c r="E87" s="88"/>
      <c r="F87" s="88"/>
      <c r="G87" s="89"/>
      <c r="H87" s="11" t="s">
        <v>337</v>
      </c>
      <c r="I87" s="10">
        <v>27</v>
      </c>
      <c r="J87" s="16">
        <v>3</v>
      </c>
      <c r="K87" s="16">
        <v>9</v>
      </c>
      <c r="L87" s="95" t="s">
        <v>573</v>
      </c>
      <c r="M87" s="96" t="s">
        <v>556</v>
      </c>
      <c r="N87" s="96" t="s">
        <v>576</v>
      </c>
      <c r="O87" s="96" t="s">
        <v>338</v>
      </c>
      <c r="P87" s="6" t="s">
        <v>527</v>
      </c>
      <c r="Q87" s="216">
        <f>SUM(Q88:Q89)</f>
        <v>1725.8999999999999</v>
      </c>
      <c r="R87" s="216">
        <f>SUM(R88:R89)</f>
        <v>1756</v>
      </c>
      <c r="S87" s="216">
        <f>SUM(S88:S89)</f>
        <v>1756</v>
      </c>
    </row>
    <row r="88" spans="1:19" ht="26.25" customHeight="1">
      <c r="A88" s="88"/>
      <c r="B88" s="88"/>
      <c r="C88" s="88"/>
      <c r="D88" s="88"/>
      <c r="E88" s="88"/>
      <c r="F88" s="88"/>
      <c r="G88" s="89"/>
      <c r="H88" s="11" t="s">
        <v>715</v>
      </c>
      <c r="I88" s="6">
        <v>27</v>
      </c>
      <c r="J88" s="19">
        <v>3</v>
      </c>
      <c r="K88" s="16">
        <v>9</v>
      </c>
      <c r="L88" s="95" t="s">
        <v>573</v>
      </c>
      <c r="M88" s="96" t="s">
        <v>556</v>
      </c>
      <c r="N88" s="96" t="s">
        <v>576</v>
      </c>
      <c r="O88" s="96" t="s">
        <v>338</v>
      </c>
      <c r="P88" s="6">
        <v>110</v>
      </c>
      <c r="Q88" s="216">
        <f>1690.1-2.6-37.4+39.5</f>
        <v>1689.6</v>
      </c>
      <c r="R88" s="216">
        <v>1690.1</v>
      </c>
      <c r="S88" s="216">
        <v>1690.1</v>
      </c>
    </row>
    <row r="89" spans="1:19" ht="23.25" customHeight="1">
      <c r="A89" s="88"/>
      <c r="B89" s="88"/>
      <c r="C89" s="88"/>
      <c r="D89" s="88"/>
      <c r="E89" s="88"/>
      <c r="F89" s="88"/>
      <c r="G89" s="89"/>
      <c r="H89" s="5" t="s">
        <v>712</v>
      </c>
      <c r="I89" s="8">
        <v>27</v>
      </c>
      <c r="J89" s="21">
        <v>3</v>
      </c>
      <c r="K89" s="16">
        <v>9</v>
      </c>
      <c r="L89" s="95" t="s">
        <v>573</v>
      </c>
      <c r="M89" s="96" t="s">
        <v>556</v>
      </c>
      <c r="N89" s="96" t="s">
        <v>576</v>
      </c>
      <c r="O89" s="96" t="s">
        <v>338</v>
      </c>
      <c r="P89" s="6">
        <v>240</v>
      </c>
      <c r="Q89" s="214">
        <f>65.8-20-3.5-6</f>
        <v>36.3</v>
      </c>
      <c r="R89" s="214">
        <v>65.9</v>
      </c>
      <c r="S89" s="214">
        <v>65.9</v>
      </c>
    </row>
    <row r="90" spans="1:19" ht="23.25" customHeight="1">
      <c r="A90" s="88"/>
      <c r="B90" s="88"/>
      <c r="C90" s="88"/>
      <c r="D90" s="88"/>
      <c r="E90" s="88"/>
      <c r="F90" s="88"/>
      <c r="G90" s="89"/>
      <c r="H90" s="11" t="s">
        <v>61</v>
      </c>
      <c r="I90" s="6">
        <v>27</v>
      </c>
      <c r="J90" s="7">
        <v>3</v>
      </c>
      <c r="K90" s="16">
        <v>9</v>
      </c>
      <c r="L90" s="95" t="s">
        <v>573</v>
      </c>
      <c r="M90" s="96" t="s">
        <v>556</v>
      </c>
      <c r="N90" s="96" t="s">
        <v>576</v>
      </c>
      <c r="O90" s="96" t="s">
        <v>60</v>
      </c>
      <c r="P90" s="6"/>
      <c r="Q90" s="216">
        <f>Q91</f>
        <v>336.9</v>
      </c>
      <c r="R90" s="216"/>
      <c r="S90" s="216"/>
    </row>
    <row r="91" spans="1:19" ht="23.25" customHeight="1">
      <c r="A91" s="88"/>
      <c r="B91" s="88"/>
      <c r="C91" s="88"/>
      <c r="D91" s="88"/>
      <c r="E91" s="88"/>
      <c r="F91" s="88"/>
      <c r="G91" s="89"/>
      <c r="H91" s="11" t="s">
        <v>715</v>
      </c>
      <c r="I91" s="6">
        <v>27</v>
      </c>
      <c r="J91" s="7">
        <v>3</v>
      </c>
      <c r="K91" s="16">
        <v>9</v>
      </c>
      <c r="L91" s="95" t="s">
        <v>573</v>
      </c>
      <c r="M91" s="96" t="s">
        <v>556</v>
      </c>
      <c r="N91" s="96" t="s">
        <v>576</v>
      </c>
      <c r="O91" s="96" t="s">
        <v>60</v>
      </c>
      <c r="P91" s="6">
        <v>110</v>
      </c>
      <c r="Q91" s="216">
        <v>336.9</v>
      </c>
      <c r="R91" s="216"/>
      <c r="S91" s="216"/>
    </row>
    <row r="92" spans="1:19" s="179" customFormat="1" ht="25.5" customHeight="1">
      <c r="A92" s="135"/>
      <c r="B92" s="135"/>
      <c r="C92" s="135"/>
      <c r="D92" s="135"/>
      <c r="E92" s="135"/>
      <c r="F92" s="135"/>
      <c r="G92" s="136"/>
      <c r="H92" s="137" t="s">
        <v>549</v>
      </c>
      <c r="I92" s="138">
        <v>27</v>
      </c>
      <c r="J92" s="139">
        <v>3</v>
      </c>
      <c r="K92" s="139">
        <v>14</v>
      </c>
      <c r="L92" s="140"/>
      <c r="M92" s="141"/>
      <c r="N92" s="141"/>
      <c r="O92" s="141"/>
      <c r="P92" s="146"/>
      <c r="Q92" s="217">
        <f>Q93</f>
        <v>151</v>
      </c>
      <c r="R92" s="217">
        <f>R93+R102</f>
        <v>171</v>
      </c>
      <c r="S92" s="217">
        <f>S93+S102</f>
        <v>171</v>
      </c>
    </row>
    <row r="93" spans="1:19" ht="38.25" customHeight="1">
      <c r="A93" s="88"/>
      <c r="B93" s="88"/>
      <c r="C93" s="88"/>
      <c r="D93" s="88"/>
      <c r="E93" s="88"/>
      <c r="F93" s="88"/>
      <c r="G93" s="89"/>
      <c r="H93" s="11" t="s">
        <v>245</v>
      </c>
      <c r="I93" s="10">
        <v>27</v>
      </c>
      <c r="J93" s="16">
        <v>3</v>
      </c>
      <c r="K93" s="16">
        <v>14</v>
      </c>
      <c r="L93" s="95" t="s">
        <v>590</v>
      </c>
      <c r="M93" s="96" t="s">
        <v>556</v>
      </c>
      <c r="N93" s="96" t="s">
        <v>576</v>
      </c>
      <c r="O93" s="96" t="s">
        <v>613</v>
      </c>
      <c r="P93" s="6"/>
      <c r="Q93" s="216">
        <f>Q94</f>
        <v>151</v>
      </c>
      <c r="R93" s="216">
        <f>R94</f>
        <v>0</v>
      </c>
      <c r="S93" s="216">
        <f>S94</f>
        <v>0</v>
      </c>
    </row>
    <row r="94" spans="1:19" ht="22.5" customHeight="1">
      <c r="A94" s="88"/>
      <c r="B94" s="88"/>
      <c r="C94" s="88"/>
      <c r="D94" s="88"/>
      <c r="E94" s="88"/>
      <c r="F94" s="88"/>
      <c r="G94" s="89"/>
      <c r="H94" s="11" t="s">
        <v>647</v>
      </c>
      <c r="I94" s="10">
        <v>27</v>
      </c>
      <c r="J94" s="16">
        <v>3</v>
      </c>
      <c r="K94" s="16">
        <v>14</v>
      </c>
      <c r="L94" s="95" t="s">
        <v>590</v>
      </c>
      <c r="M94" s="96" t="s">
        <v>552</v>
      </c>
      <c r="N94" s="96" t="s">
        <v>576</v>
      </c>
      <c r="O94" s="96" t="s">
        <v>613</v>
      </c>
      <c r="P94" s="6"/>
      <c r="Q94" s="216">
        <f>Q99+Q95+Q102</f>
        <v>151</v>
      </c>
      <c r="R94" s="216">
        <f>R99</f>
        <v>0</v>
      </c>
      <c r="S94" s="216">
        <f>S99</f>
        <v>0</v>
      </c>
    </row>
    <row r="95" spans="1:19" ht="22.5" customHeight="1">
      <c r="A95" s="88"/>
      <c r="B95" s="88"/>
      <c r="C95" s="88"/>
      <c r="D95" s="88"/>
      <c r="E95" s="88"/>
      <c r="F95" s="88"/>
      <c r="G95" s="89"/>
      <c r="H95" s="11" t="s">
        <v>167</v>
      </c>
      <c r="I95" s="10">
        <v>27</v>
      </c>
      <c r="J95" s="16">
        <v>3</v>
      </c>
      <c r="K95" s="16">
        <v>14</v>
      </c>
      <c r="L95" s="95" t="s">
        <v>590</v>
      </c>
      <c r="M95" s="96" t="s">
        <v>552</v>
      </c>
      <c r="N95" s="96" t="s">
        <v>586</v>
      </c>
      <c r="O95" s="96" t="s">
        <v>613</v>
      </c>
      <c r="P95" s="6"/>
      <c r="Q95" s="216">
        <f>Q96</f>
        <v>5</v>
      </c>
      <c r="R95" s="216"/>
      <c r="S95" s="216"/>
    </row>
    <row r="96" spans="1:19" ht="22.5" customHeight="1">
      <c r="A96" s="88"/>
      <c r="B96" s="88"/>
      <c r="C96" s="88"/>
      <c r="D96" s="88"/>
      <c r="E96" s="88"/>
      <c r="F96" s="88"/>
      <c r="G96" s="89"/>
      <c r="H96" s="11" t="s">
        <v>168</v>
      </c>
      <c r="I96" s="10">
        <v>27</v>
      </c>
      <c r="J96" s="16">
        <v>3</v>
      </c>
      <c r="K96" s="16">
        <v>14</v>
      </c>
      <c r="L96" s="95" t="s">
        <v>590</v>
      </c>
      <c r="M96" s="96" t="s">
        <v>552</v>
      </c>
      <c r="N96" s="96" t="s">
        <v>586</v>
      </c>
      <c r="O96" s="96" t="s">
        <v>165</v>
      </c>
      <c r="P96" s="6"/>
      <c r="Q96" s="216">
        <f>Q97+Q98</f>
        <v>5</v>
      </c>
      <c r="R96" s="216"/>
      <c r="S96" s="216"/>
    </row>
    <row r="97" spans="1:19" ht="22.5" customHeight="1" hidden="1">
      <c r="A97" s="88"/>
      <c r="B97" s="88"/>
      <c r="C97" s="88"/>
      <c r="D97" s="88"/>
      <c r="E97" s="88"/>
      <c r="F97" s="88"/>
      <c r="G97" s="89"/>
      <c r="H97" s="34" t="s">
        <v>712</v>
      </c>
      <c r="I97" s="10">
        <v>27</v>
      </c>
      <c r="J97" s="16">
        <v>3</v>
      </c>
      <c r="K97" s="16">
        <v>14</v>
      </c>
      <c r="L97" s="95" t="s">
        <v>590</v>
      </c>
      <c r="M97" s="96" t="s">
        <v>552</v>
      </c>
      <c r="N97" s="96" t="s">
        <v>586</v>
      </c>
      <c r="O97" s="96" t="s">
        <v>165</v>
      </c>
      <c r="P97" s="6">
        <v>240</v>
      </c>
      <c r="Q97" s="216">
        <f>15-15</f>
        <v>0</v>
      </c>
      <c r="R97" s="216"/>
      <c r="S97" s="216"/>
    </row>
    <row r="98" spans="1:19" ht="22.5" customHeight="1">
      <c r="A98" s="88"/>
      <c r="B98" s="88"/>
      <c r="C98" s="88"/>
      <c r="D98" s="88"/>
      <c r="E98" s="88"/>
      <c r="F98" s="88"/>
      <c r="G98" s="89"/>
      <c r="H98" s="11" t="s">
        <v>166</v>
      </c>
      <c r="I98" s="10">
        <v>27</v>
      </c>
      <c r="J98" s="16">
        <v>3</v>
      </c>
      <c r="K98" s="16">
        <v>14</v>
      </c>
      <c r="L98" s="95" t="s">
        <v>590</v>
      </c>
      <c r="M98" s="96" t="s">
        <v>552</v>
      </c>
      <c r="N98" s="96" t="s">
        <v>586</v>
      </c>
      <c r="O98" s="96" t="s">
        <v>165</v>
      </c>
      <c r="P98" s="6">
        <v>360</v>
      </c>
      <c r="Q98" s="216">
        <v>5</v>
      </c>
      <c r="R98" s="216"/>
      <c r="S98" s="216"/>
    </row>
    <row r="99" spans="1:19" ht="36.75" customHeight="1">
      <c r="A99" s="88"/>
      <c r="B99" s="88"/>
      <c r="C99" s="88"/>
      <c r="D99" s="88"/>
      <c r="E99" s="88"/>
      <c r="F99" s="88"/>
      <c r="G99" s="89"/>
      <c r="H99" s="11" t="s">
        <v>270</v>
      </c>
      <c r="I99" s="10">
        <v>27</v>
      </c>
      <c r="J99" s="16">
        <v>3</v>
      </c>
      <c r="K99" s="16">
        <v>14</v>
      </c>
      <c r="L99" s="95" t="s">
        <v>590</v>
      </c>
      <c r="M99" s="96" t="s">
        <v>552</v>
      </c>
      <c r="N99" s="96" t="s">
        <v>581</v>
      </c>
      <c r="O99" s="96" t="s">
        <v>613</v>
      </c>
      <c r="P99" s="6"/>
      <c r="Q99" s="216">
        <f aca="true" t="shared" si="3" ref="Q99:S100">Q100</f>
        <v>136</v>
      </c>
      <c r="R99" s="216">
        <f t="shared" si="3"/>
        <v>0</v>
      </c>
      <c r="S99" s="216">
        <f t="shared" si="3"/>
        <v>0</v>
      </c>
    </row>
    <row r="100" spans="1:19" ht="22.5" customHeight="1">
      <c r="A100" s="88"/>
      <c r="B100" s="88"/>
      <c r="C100" s="88"/>
      <c r="D100" s="88"/>
      <c r="E100" s="88"/>
      <c r="F100" s="88"/>
      <c r="G100" s="89"/>
      <c r="H100" s="34" t="s">
        <v>710</v>
      </c>
      <c r="I100" s="10">
        <v>27</v>
      </c>
      <c r="J100" s="16">
        <v>3</v>
      </c>
      <c r="K100" s="16">
        <v>14</v>
      </c>
      <c r="L100" s="16">
        <v>13</v>
      </c>
      <c r="M100" s="96" t="s">
        <v>552</v>
      </c>
      <c r="N100" s="96" t="s">
        <v>581</v>
      </c>
      <c r="O100" s="96" t="s">
        <v>344</v>
      </c>
      <c r="P100" s="6"/>
      <c r="Q100" s="216">
        <f t="shared" si="3"/>
        <v>136</v>
      </c>
      <c r="R100" s="216">
        <f t="shared" si="3"/>
        <v>0</v>
      </c>
      <c r="S100" s="216">
        <f t="shared" si="3"/>
        <v>0</v>
      </c>
    </row>
    <row r="101" spans="1:19" ht="22.5" customHeight="1">
      <c r="A101" s="88"/>
      <c r="B101" s="88"/>
      <c r="C101" s="88"/>
      <c r="D101" s="88"/>
      <c r="E101" s="88"/>
      <c r="F101" s="88"/>
      <c r="G101" s="89"/>
      <c r="H101" s="34" t="s">
        <v>712</v>
      </c>
      <c r="I101" s="6">
        <v>27</v>
      </c>
      <c r="J101" s="19">
        <v>3</v>
      </c>
      <c r="K101" s="16">
        <v>14</v>
      </c>
      <c r="L101" s="16">
        <v>13</v>
      </c>
      <c r="M101" s="96" t="s">
        <v>552</v>
      </c>
      <c r="N101" s="96" t="s">
        <v>581</v>
      </c>
      <c r="O101" s="96" t="s">
        <v>344</v>
      </c>
      <c r="P101" s="6">
        <v>240</v>
      </c>
      <c r="Q101" s="216">
        <f>181-45</f>
        <v>136</v>
      </c>
      <c r="R101" s="216"/>
      <c r="S101" s="216"/>
    </row>
    <row r="102" spans="1:19" ht="22.5" customHeight="1">
      <c r="A102" s="88"/>
      <c r="B102" s="88"/>
      <c r="C102" s="88"/>
      <c r="D102" s="88"/>
      <c r="E102" s="88"/>
      <c r="F102" s="88"/>
      <c r="G102" s="89"/>
      <c r="H102" s="11" t="s">
        <v>169</v>
      </c>
      <c r="I102" s="6">
        <v>27</v>
      </c>
      <c r="J102" s="19">
        <v>3</v>
      </c>
      <c r="K102" s="16">
        <v>14</v>
      </c>
      <c r="L102" s="16">
        <v>13</v>
      </c>
      <c r="M102" s="96" t="s">
        <v>552</v>
      </c>
      <c r="N102" s="96" t="s">
        <v>561</v>
      </c>
      <c r="O102" s="96" t="s">
        <v>613</v>
      </c>
      <c r="P102" s="6"/>
      <c r="Q102" s="216">
        <f aca="true" t="shared" si="4" ref="Q102:S103">Q103</f>
        <v>10</v>
      </c>
      <c r="R102" s="216">
        <f t="shared" si="4"/>
        <v>171</v>
      </c>
      <c r="S102" s="216">
        <f t="shared" si="4"/>
        <v>171</v>
      </c>
    </row>
    <row r="103" spans="1:19" ht="21" customHeight="1">
      <c r="A103" s="88"/>
      <c r="B103" s="88"/>
      <c r="C103" s="88"/>
      <c r="D103" s="88"/>
      <c r="E103" s="88"/>
      <c r="F103" s="88"/>
      <c r="G103" s="89"/>
      <c r="H103" s="11" t="s">
        <v>170</v>
      </c>
      <c r="I103" s="6">
        <v>27</v>
      </c>
      <c r="J103" s="21">
        <v>3</v>
      </c>
      <c r="K103" s="16">
        <v>14</v>
      </c>
      <c r="L103" s="16">
        <v>13</v>
      </c>
      <c r="M103" s="96" t="s">
        <v>552</v>
      </c>
      <c r="N103" s="96" t="s">
        <v>561</v>
      </c>
      <c r="O103" s="96" t="s">
        <v>251</v>
      </c>
      <c r="P103" s="6"/>
      <c r="Q103" s="216">
        <f t="shared" si="4"/>
        <v>10</v>
      </c>
      <c r="R103" s="216">
        <f t="shared" si="4"/>
        <v>171</v>
      </c>
      <c r="S103" s="216">
        <f t="shared" si="4"/>
        <v>171</v>
      </c>
    </row>
    <row r="104" spans="1:19" ht="19.5" customHeight="1">
      <c r="A104" s="88"/>
      <c r="B104" s="88"/>
      <c r="C104" s="88"/>
      <c r="D104" s="88"/>
      <c r="E104" s="88"/>
      <c r="F104" s="88"/>
      <c r="G104" s="89"/>
      <c r="H104" s="34" t="s">
        <v>712</v>
      </c>
      <c r="I104" s="6">
        <v>27</v>
      </c>
      <c r="J104" s="21">
        <v>3</v>
      </c>
      <c r="K104" s="16">
        <v>14</v>
      </c>
      <c r="L104" s="16">
        <v>13</v>
      </c>
      <c r="M104" s="96" t="s">
        <v>552</v>
      </c>
      <c r="N104" s="96" t="s">
        <v>561</v>
      </c>
      <c r="O104" s="96" t="s">
        <v>251</v>
      </c>
      <c r="P104" s="6">
        <v>240</v>
      </c>
      <c r="Q104" s="216">
        <v>10</v>
      </c>
      <c r="R104" s="240">
        <v>171</v>
      </c>
      <c r="S104" s="240">
        <v>171</v>
      </c>
    </row>
    <row r="105" spans="1:19" s="179" customFormat="1" ht="23.25" customHeight="1">
      <c r="A105" s="135"/>
      <c r="B105" s="135"/>
      <c r="C105" s="135"/>
      <c r="D105" s="135"/>
      <c r="E105" s="135"/>
      <c r="F105" s="135"/>
      <c r="G105" s="136"/>
      <c r="H105" s="137" t="s">
        <v>540</v>
      </c>
      <c r="I105" s="146">
        <v>27</v>
      </c>
      <c r="J105" s="148">
        <v>4</v>
      </c>
      <c r="K105" s="139"/>
      <c r="L105" s="140"/>
      <c r="M105" s="141"/>
      <c r="N105" s="141"/>
      <c r="O105" s="141"/>
      <c r="P105" s="146"/>
      <c r="Q105" s="217">
        <f>Q106+Q112+Q150</f>
        <v>71538.3</v>
      </c>
      <c r="R105" s="217">
        <f>R106+R112+R150</f>
        <v>21080.7</v>
      </c>
      <c r="S105" s="217">
        <f>S106+S112+S150</f>
        <v>21425.7</v>
      </c>
    </row>
    <row r="106" spans="1:19" s="179" customFormat="1" ht="26.25" customHeight="1">
      <c r="A106" s="142"/>
      <c r="B106" s="143"/>
      <c r="C106" s="153"/>
      <c r="D106" s="235"/>
      <c r="E106" s="166"/>
      <c r="F106" s="166"/>
      <c r="G106" s="136"/>
      <c r="H106" s="311" t="s">
        <v>345</v>
      </c>
      <c r="I106" s="152">
        <v>27</v>
      </c>
      <c r="J106" s="156">
        <v>4</v>
      </c>
      <c r="K106" s="139">
        <v>8</v>
      </c>
      <c r="L106" s="140"/>
      <c r="M106" s="141"/>
      <c r="N106" s="141"/>
      <c r="O106" s="141"/>
      <c r="P106" s="138"/>
      <c r="Q106" s="213">
        <f>Q107</f>
        <v>1751</v>
      </c>
      <c r="R106" s="213">
        <f aca="true" t="shared" si="5" ref="Q106:S108">R107</f>
        <v>600</v>
      </c>
      <c r="S106" s="213">
        <f t="shared" si="5"/>
        <v>600</v>
      </c>
    </row>
    <row r="107" spans="1:19" s="179" customFormat="1" ht="26.25" customHeight="1">
      <c r="A107" s="142"/>
      <c r="B107" s="143"/>
      <c r="C107" s="153"/>
      <c r="D107" s="235"/>
      <c r="E107" s="166"/>
      <c r="F107" s="166"/>
      <c r="G107" s="136"/>
      <c r="H107" s="11" t="s">
        <v>292</v>
      </c>
      <c r="I107" s="6">
        <v>27</v>
      </c>
      <c r="J107" s="21">
        <v>4</v>
      </c>
      <c r="K107" s="16">
        <v>8</v>
      </c>
      <c r="L107" s="95" t="s">
        <v>573</v>
      </c>
      <c r="M107" s="96" t="s">
        <v>556</v>
      </c>
      <c r="N107" s="96" t="s">
        <v>576</v>
      </c>
      <c r="O107" s="96" t="s">
        <v>613</v>
      </c>
      <c r="P107" s="138"/>
      <c r="Q107" s="213">
        <f>Q108+Q110</f>
        <v>1751</v>
      </c>
      <c r="R107" s="213">
        <f t="shared" si="5"/>
        <v>600</v>
      </c>
      <c r="S107" s="213">
        <f t="shared" si="5"/>
        <v>600</v>
      </c>
    </row>
    <row r="108" spans="1:19" ht="26.25" customHeight="1">
      <c r="A108" s="99"/>
      <c r="B108" s="98"/>
      <c r="C108" s="103"/>
      <c r="D108" s="111"/>
      <c r="E108" s="114"/>
      <c r="F108" s="114"/>
      <c r="G108" s="89"/>
      <c r="H108" s="30" t="s">
        <v>738</v>
      </c>
      <c r="I108" s="8">
        <v>27</v>
      </c>
      <c r="J108" s="21">
        <v>4</v>
      </c>
      <c r="K108" s="16">
        <v>8</v>
      </c>
      <c r="L108" s="95" t="s">
        <v>573</v>
      </c>
      <c r="M108" s="96" t="s">
        <v>556</v>
      </c>
      <c r="N108" s="96" t="s">
        <v>576</v>
      </c>
      <c r="O108" s="96" t="s">
        <v>719</v>
      </c>
      <c r="P108" s="10"/>
      <c r="Q108" s="214">
        <f t="shared" si="5"/>
        <v>216.5</v>
      </c>
      <c r="R108" s="214">
        <f t="shared" si="5"/>
        <v>600</v>
      </c>
      <c r="S108" s="214">
        <f t="shared" si="5"/>
        <v>600</v>
      </c>
    </row>
    <row r="109" spans="1:19" ht="28.5" customHeight="1">
      <c r="A109" s="99"/>
      <c r="B109" s="98"/>
      <c r="C109" s="103"/>
      <c r="D109" s="111"/>
      <c r="E109" s="114"/>
      <c r="F109" s="114"/>
      <c r="G109" s="89"/>
      <c r="H109" s="30" t="s">
        <v>712</v>
      </c>
      <c r="I109" s="8">
        <v>27</v>
      </c>
      <c r="J109" s="21">
        <v>4</v>
      </c>
      <c r="K109" s="16">
        <v>8</v>
      </c>
      <c r="L109" s="95" t="s">
        <v>573</v>
      </c>
      <c r="M109" s="96" t="s">
        <v>556</v>
      </c>
      <c r="N109" s="96" t="s">
        <v>576</v>
      </c>
      <c r="O109" s="96" t="s">
        <v>719</v>
      </c>
      <c r="P109" s="10">
        <v>240</v>
      </c>
      <c r="Q109" s="214">
        <f>600-96.6-286.9</f>
        <v>216.5</v>
      </c>
      <c r="R109" s="216">
        <v>600</v>
      </c>
      <c r="S109" s="216">
        <v>600</v>
      </c>
    </row>
    <row r="110" spans="1:19" ht="36.75" customHeight="1">
      <c r="A110" s="99"/>
      <c r="B110" s="98"/>
      <c r="C110" s="103"/>
      <c r="D110" s="111"/>
      <c r="E110" s="114"/>
      <c r="F110" s="114"/>
      <c r="G110" s="89"/>
      <c r="H110" s="30" t="s">
        <v>213</v>
      </c>
      <c r="I110" s="8">
        <v>27</v>
      </c>
      <c r="J110" s="21">
        <v>4</v>
      </c>
      <c r="K110" s="16">
        <v>8</v>
      </c>
      <c r="L110" s="95" t="s">
        <v>573</v>
      </c>
      <c r="M110" s="96" t="s">
        <v>556</v>
      </c>
      <c r="N110" s="96" t="s">
        <v>576</v>
      </c>
      <c r="O110" s="96" t="s">
        <v>212</v>
      </c>
      <c r="P110" s="10"/>
      <c r="Q110" s="214">
        <f>Q111</f>
        <v>1534.5</v>
      </c>
      <c r="R110" s="216"/>
      <c r="S110" s="216"/>
    </row>
    <row r="111" spans="1:19" ht="28.5" customHeight="1">
      <c r="A111" s="99"/>
      <c r="B111" s="98"/>
      <c r="C111" s="103"/>
      <c r="D111" s="111"/>
      <c r="E111" s="114"/>
      <c r="F111" s="114"/>
      <c r="G111" s="89"/>
      <c r="H111" s="30" t="s">
        <v>712</v>
      </c>
      <c r="I111" s="8">
        <v>27</v>
      </c>
      <c r="J111" s="21">
        <v>4</v>
      </c>
      <c r="K111" s="16">
        <v>8</v>
      </c>
      <c r="L111" s="95" t="s">
        <v>573</v>
      </c>
      <c r="M111" s="96" t="s">
        <v>556</v>
      </c>
      <c r="N111" s="96" t="s">
        <v>576</v>
      </c>
      <c r="O111" s="96" t="s">
        <v>212</v>
      </c>
      <c r="P111" s="10">
        <v>240</v>
      </c>
      <c r="Q111" s="214">
        <f>1670-131.6-3.9</f>
        <v>1534.5</v>
      </c>
      <c r="R111" s="216"/>
      <c r="S111" s="216"/>
    </row>
    <row r="112" spans="1:19" s="179" customFormat="1" ht="24.75" customHeight="1">
      <c r="A112" s="142"/>
      <c r="B112" s="143"/>
      <c r="C112" s="153"/>
      <c r="D112" s="150"/>
      <c r="E112" s="154"/>
      <c r="F112" s="154"/>
      <c r="G112" s="155">
        <v>321</v>
      </c>
      <c r="H112" s="149" t="s">
        <v>330</v>
      </c>
      <c r="I112" s="152">
        <v>27</v>
      </c>
      <c r="J112" s="156">
        <v>4</v>
      </c>
      <c r="K112" s="139">
        <v>9</v>
      </c>
      <c r="L112" s="140"/>
      <c r="M112" s="141"/>
      <c r="N112" s="141"/>
      <c r="O112" s="141"/>
      <c r="P112" s="146"/>
      <c r="Q112" s="217">
        <f>Q113</f>
        <v>62850.5</v>
      </c>
      <c r="R112" s="217">
        <f>R113</f>
        <v>12820.7</v>
      </c>
      <c r="S112" s="217">
        <f>S113</f>
        <v>13245.7</v>
      </c>
    </row>
    <row r="113" spans="1:19" ht="35.25" customHeight="1">
      <c r="A113" s="99"/>
      <c r="B113" s="98"/>
      <c r="C113" s="103"/>
      <c r="D113" s="101"/>
      <c r="E113" s="113"/>
      <c r="F113" s="113"/>
      <c r="G113" s="105">
        <v>530</v>
      </c>
      <c r="H113" s="5" t="s">
        <v>766</v>
      </c>
      <c r="I113" s="10">
        <v>27</v>
      </c>
      <c r="J113" s="16">
        <v>4</v>
      </c>
      <c r="K113" s="16">
        <v>9</v>
      </c>
      <c r="L113" s="95" t="s">
        <v>581</v>
      </c>
      <c r="M113" s="96" t="s">
        <v>556</v>
      </c>
      <c r="N113" s="96" t="s">
        <v>576</v>
      </c>
      <c r="O113" s="96" t="s">
        <v>613</v>
      </c>
      <c r="P113" s="6"/>
      <c r="Q113" s="216">
        <f>Q114+Q118+Q121+Q128+Q132+Q135+Q138+Q141+Q144+Q147</f>
        <v>62850.5</v>
      </c>
      <c r="R113" s="216">
        <f>R114+R118+R121+R128+R132</f>
        <v>12820.7</v>
      </c>
      <c r="S113" s="216">
        <f>S114+S118+S121+S128+S132</f>
        <v>13245.7</v>
      </c>
    </row>
    <row r="114" spans="1:19" ht="29.25" customHeight="1">
      <c r="A114" s="99"/>
      <c r="B114" s="98"/>
      <c r="C114" s="103"/>
      <c r="D114" s="101"/>
      <c r="E114" s="113"/>
      <c r="F114" s="113"/>
      <c r="G114" s="105"/>
      <c r="H114" s="11" t="s">
        <v>654</v>
      </c>
      <c r="I114" s="10">
        <v>27</v>
      </c>
      <c r="J114" s="16">
        <v>4</v>
      </c>
      <c r="K114" s="16">
        <v>9</v>
      </c>
      <c r="L114" s="95" t="s">
        <v>581</v>
      </c>
      <c r="M114" s="96" t="s">
        <v>556</v>
      </c>
      <c r="N114" s="96" t="s">
        <v>557</v>
      </c>
      <c r="O114" s="96" t="s">
        <v>613</v>
      </c>
      <c r="P114" s="6"/>
      <c r="Q114" s="216">
        <f>Q115</f>
        <v>44526.2</v>
      </c>
      <c r="R114" s="216">
        <f>R115</f>
        <v>1428</v>
      </c>
      <c r="S114" s="216">
        <f>S115</f>
        <v>1428</v>
      </c>
    </row>
    <row r="115" spans="1:19" ht="35.25" customHeight="1">
      <c r="A115" s="99"/>
      <c r="B115" s="98"/>
      <c r="C115" s="103"/>
      <c r="D115" s="101"/>
      <c r="E115" s="113"/>
      <c r="F115" s="113"/>
      <c r="G115" s="105"/>
      <c r="H115" s="11" t="s">
        <v>732</v>
      </c>
      <c r="I115" s="10">
        <v>27</v>
      </c>
      <c r="J115" s="16">
        <v>4</v>
      </c>
      <c r="K115" s="16">
        <v>9</v>
      </c>
      <c r="L115" s="95" t="s">
        <v>581</v>
      </c>
      <c r="M115" s="96" t="s">
        <v>556</v>
      </c>
      <c r="N115" s="96" t="s">
        <v>557</v>
      </c>
      <c r="O115" s="96" t="s">
        <v>342</v>
      </c>
      <c r="P115" s="6"/>
      <c r="Q115" s="216">
        <f>Q116+Q117</f>
        <v>44526.2</v>
      </c>
      <c r="R115" s="216">
        <f>R116+R117</f>
        <v>1428</v>
      </c>
      <c r="S115" s="216">
        <f>S116+S117</f>
        <v>1428</v>
      </c>
    </row>
    <row r="116" spans="1:19" ht="26.25" customHeight="1" hidden="1">
      <c r="A116" s="99"/>
      <c r="B116" s="98"/>
      <c r="C116" s="103"/>
      <c r="D116" s="101"/>
      <c r="E116" s="113"/>
      <c r="F116" s="113"/>
      <c r="G116" s="105"/>
      <c r="H116" s="30" t="s">
        <v>712</v>
      </c>
      <c r="I116" s="10">
        <v>27</v>
      </c>
      <c r="J116" s="16">
        <v>4</v>
      </c>
      <c r="K116" s="16">
        <v>9</v>
      </c>
      <c r="L116" s="95" t="s">
        <v>581</v>
      </c>
      <c r="M116" s="96" t="s">
        <v>556</v>
      </c>
      <c r="N116" s="96" t="s">
        <v>557</v>
      </c>
      <c r="O116" s="96" t="s">
        <v>342</v>
      </c>
      <c r="P116" s="6">
        <v>240</v>
      </c>
      <c r="Q116" s="216">
        <v>0</v>
      </c>
      <c r="R116" s="216">
        <v>1428</v>
      </c>
      <c r="S116" s="216">
        <v>1428</v>
      </c>
    </row>
    <row r="117" spans="1:19" ht="26.25" customHeight="1">
      <c r="A117" s="99"/>
      <c r="B117" s="98"/>
      <c r="C117" s="103"/>
      <c r="D117" s="101"/>
      <c r="E117" s="113"/>
      <c r="F117" s="113"/>
      <c r="G117" s="105"/>
      <c r="H117" s="11" t="s">
        <v>640</v>
      </c>
      <c r="I117" s="10">
        <v>27</v>
      </c>
      <c r="J117" s="16">
        <v>4</v>
      </c>
      <c r="K117" s="16">
        <v>9</v>
      </c>
      <c r="L117" s="95" t="s">
        <v>581</v>
      </c>
      <c r="M117" s="96" t="s">
        <v>556</v>
      </c>
      <c r="N117" s="96" t="s">
        <v>557</v>
      </c>
      <c r="O117" s="96" t="s">
        <v>342</v>
      </c>
      <c r="P117" s="6">
        <v>540</v>
      </c>
      <c r="Q117" s="216">
        <f>51949.3-1428+1025.7-6547-473.8</f>
        <v>44526.2</v>
      </c>
      <c r="R117" s="216"/>
      <c r="S117" s="216"/>
    </row>
    <row r="118" spans="1:19" ht="25.5" customHeight="1">
      <c r="A118" s="99"/>
      <c r="B118" s="98"/>
      <c r="C118" s="103"/>
      <c r="D118" s="101"/>
      <c r="E118" s="113"/>
      <c r="F118" s="113"/>
      <c r="G118" s="105"/>
      <c r="H118" s="11" t="s">
        <v>815</v>
      </c>
      <c r="I118" s="10">
        <v>27</v>
      </c>
      <c r="J118" s="16">
        <v>4</v>
      </c>
      <c r="K118" s="16">
        <v>9</v>
      </c>
      <c r="L118" s="95" t="s">
        <v>581</v>
      </c>
      <c r="M118" s="96" t="s">
        <v>556</v>
      </c>
      <c r="N118" s="96" t="s">
        <v>585</v>
      </c>
      <c r="O118" s="96" t="s">
        <v>613</v>
      </c>
      <c r="P118" s="6"/>
      <c r="Q118" s="216">
        <f aca="true" t="shared" si="6" ref="Q118:S119">Q119</f>
        <v>443.9</v>
      </c>
      <c r="R118" s="216">
        <f t="shared" si="6"/>
        <v>0</v>
      </c>
      <c r="S118" s="216">
        <f t="shared" si="6"/>
        <v>0</v>
      </c>
    </row>
    <row r="119" spans="1:19" ht="24.75" customHeight="1">
      <c r="A119" s="99"/>
      <c r="B119" s="98"/>
      <c r="C119" s="103"/>
      <c r="D119" s="101"/>
      <c r="E119" s="113"/>
      <c r="F119" s="113"/>
      <c r="G119" s="105">
        <v>611</v>
      </c>
      <c r="H119" s="11" t="s">
        <v>754</v>
      </c>
      <c r="I119" s="10">
        <v>27</v>
      </c>
      <c r="J119" s="16">
        <v>4</v>
      </c>
      <c r="K119" s="16">
        <v>9</v>
      </c>
      <c r="L119" s="95" t="s">
        <v>581</v>
      </c>
      <c r="M119" s="96" t="s">
        <v>556</v>
      </c>
      <c r="N119" s="96" t="s">
        <v>585</v>
      </c>
      <c r="O119" s="96" t="s">
        <v>753</v>
      </c>
      <c r="P119" s="6"/>
      <c r="Q119" s="216">
        <f t="shared" si="6"/>
        <v>443.9</v>
      </c>
      <c r="R119" s="216">
        <f t="shared" si="6"/>
        <v>0</v>
      </c>
      <c r="S119" s="216">
        <f t="shared" si="6"/>
        <v>0</v>
      </c>
    </row>
    <row r="120" spans="1:19" ht="27.75" customHeight="1">
      <c r="A120" s="99"/>
      <c r="B120" s="98"/>
      <c r="C120" s="103"/>
      <c r="D120" s="101"/>
      <c r="E120" s="104"/>
      <c r="F120" s="104"/>
      <c r="G120" s="105"/>
      <c r="H120" s="11" t="s">
        <v>640</v>
      </c>
      <c r="I120" s="6">
        <v>27</v>
      </c>
      <c r="J120" s="7">
        <v>4</v>
      </c>
      <c r="K120" s="16">
        <v>9</v>
      </c>
      <c r="L120" s="95" t="s">
        <v>581</v>
      </c>
      <c r="M120" s="96" t="s">
        <v>556</v>
      </c>
      <c r="N120" s="96" t="s">
        <v>585</v>
      </c>
      <c r="O120" s="96" t="s">
        <v>753</v>
      </c>
      <c r="P120" s="6">
        <v>540</v>
      </c>
      <c r="Q120" s="214">
        <v>443.9</v>
      </c>
      <c r="R120" s="214"/>
      <c r="S120" s="214"/>
    </row>
    <row r="121" spans="1:19" ht="24.75" customHeight="1">
      <c r="A121" s="99"/>
      <c r="B121" s="98"/>
      <c r="C121" s="103"/>
      <c r="D121" s="101"/>
      <c r="E121" s="104"/>
      <c r="F121" s="104"/>
      <c r="G121" s="105"/>
      <c r="H121" s="5" t="s">
        <v>855</v>
      </c>
      <c r="I121" s="13">
        <v>27</v>
      </c>
      <c r="J121" s="7">
        <v>4</v>
      </c>
      <c r="K121" s="16">
        <v>9</v>
      </c>
      <c r="L121" s="95" t="s">
        <v>581</v>
      </c>
      <c r="M121" s="96" t="s">
        <v>556</v>
      </c>
      <c r="N121" s="96" t="s">
        <v>586</v>
      </c>
      <c r="O121" s="96" t="s">
        <v>613</v>
      </c>
      <c r="P121" s="6"/>
      <c r="Q121" s="216">
        <f>Q122+Q125</f>
        <v>7882.200000000001</v>
      </c>
      <c r="R121" s="216">
        <f>R122</f>
        <v>10491</v>
      </c>
      <c r="S121" s="216">
        <f>S122</f>
        <v>10916</v>
      </c>
    </row>
    <row r="122" spans="1:19" ht="24.75" customHeight="1">
      <c r="A122" s="99"/>
      <c r="B122" s="98"/>
      <c r="C122" s="103"/>
      <c r="D122" s="101"/>
      <c r="E122" s="104"/>
      <c r="F122" s="104"/>
      <c r="G122" s="105"/>
      <c r="H122" s="5" t="s">
        <v>754</v>
      </c>
      <c r="I122" s="13">
        <v>27</v>
      </c>
      <c r="J122" s="7">
        <v>4</v>
      </c>
      <c r="K122" s="16">
        <v>9</v>
      </c>
      <c r="L122" s="95" t="s">
        <v>581</v>
      </c>
      <c r="M122" s="96" t="s">
        <v>556</v>
      </c>
      <c r="N122" s="96" t="s">
        <v>586</v>
      </c>
      <c r="O122" s="96" t="s">
        <v>753</v>
      </c>
      <c r="P122" s="6"/>
      <c r="Q122" s="216">
        <f>Q123+Q124</f>
        <v>5988.500000000001</v>
      </c>
      <c r="R122" s="216">
        <f>R123</f>
        <v>10491</v>
      </c>
      <c r="S122" s="216">
        <f>S123</f>
        <v>10916</v>
      </c>
    </row>
    <row r="123" spans="1:19" ht="24.75" customHeight="1">
      <c r="A123" s="99"/>
      <c r="B123" s="98"/>
      <c r="C123" s="103"/>
      <c r="D123" s="101"/>
      <c r="E123" s="104"/>
      <c r="F123" s="104"/>
      <c r="G123" s="105"/>
      <c r="H123" s="5" t="s">
        <v>712</v>
      </c>
      <c r="I123" s="13">
        <v>27</v>
      </c>
      <c r="J123" s="7">
        <v>4</v>
      </c>
      <c r="K123" s="16">
        <v>9</v>
      </c>
      <c r="L123" s="95" t="s">
        <v>581</v>
      </c>
      <c r="M123" s="96" t="s">
        <v>556</v>
      </c>
      <c r="N123" s="96" t="s">
        <v>586</v>
      </c>
      <c r="O123" s="96" t="s">
        <v>753</v>
      </c>
      <c r="P123" s="6">
        <v>240</v>
      </c>
      <c r="Q123" s="216">
        <f>6728.8+829.8-22-210-1025.7-50-100-300+29.1-355.9</f>
        <v>5524.100000000001</v>
      </c>
      <c r="R123" s="216">
        <v>10491</v>
      </c>
      <c r="S123" s="216">
        <v>10916</v>
      </c>
    </row>
    <row r="124" spans="1:19" ht="24.75" customHeight="1">
      <c r="A124" s="99"/>
      <c r="B124" s="98"/>
      <c r="C124" s="103"/>
      <c r="D124" s="101"/>
      <c r="E124" s="104"/>
      <c r="F124" s="104"/>
      <c r="G124" s="105"/>
      <c r="H124" s="11" t="s">
        <v>640</v>
      </c>
      <c r="I124" s="6">
        <v>27</v>
      </c>
      <c r="J124" s="7">
        <v>4</v>
      </c>
      <c r="K124" s="16">
        <v>9</v>
      </c>
      <c r="L124" s="95" t="s">
        <v>581</v>
      </c>
      <c r="M124" s="96" t="s">
        <v>556</v>
      </c>
      <c r="N124" s="96" t="s">
        <v>586</v>
      </c>
      <c r="O124" s="96" t="s">
        <v>753</v>
      </c>
      <c r="P124" s="6">
        <v>540</v>
      </c>
      <c r="Q124" s="216">
        <f>14.4+13.5+436.5</f>
        <v>464.4</v>
      </c>
      <c r="R124" s="216"/>
      <c r="S124" s="216"/>
    </row>
    <row r="125" spans="1:19" ht="24.75" customHeight="1">
      <c r="A125" s="99"/>
      <c r="B125" s="98"/>
      <c r="C125" s="103"/>
      <c r="D125" s="101"/>
      <c r="E125" s="104"/>
      <c r="F125" s="104"/>
      <c r="G125" s="105"/>
      <c r="H125" s="11" t="s">
        <v>732</v>
      </c>
      <c r="I125" s="6">
        <v>27</v>
      </c>
      <c r="J125" s="7">
        <v>4</v>
      </c>
      <c r="K125" s="16">
        <v>9</v>
      </c>
      <c r="L125" s="95" t="s">
        <v>581</v>
      </c>
      <c r="M125" s="96" t="s">
        <v>556</v>
      </c>
      <c r="N125" s="96" t="s">
        <v>586</v>
      </c>
      <c r="O125" s="96" t="s">
        <v>342</v>
      </c>
      <c r="P125" s="6"/>
      <c r="Q125" s="216">
        <f>Q126+Q127</f>
        <v>1893.6999999999998</v>
      </c>
      <c r="R125" s="216"/>
      <c r="S125" s="216"/>
    </row>
    <row r="126" spans="1:19" ht="24.75" customHeight="1">
      <c r="A126" s="99"/>
      <c r="B126" s="98"/>
      <c r="C126" s="103"/>
      <c r="D126" s="101"/>
      <c r="E126" s="104"/>
      <c r="F126" s="104"/>
      <c r="G126" s="105"/>
      <c r="H126" s="5" t="s">
        <v>712</v>
      </c>
      <c r="I126" s="13">
        <v>27</v>
      </c>
      <c r="J126" s="7">
        <v>4</v>
      </c>
      <c r="K126" s="16">
        <v>9</v>
      </c>
      <c r="L126" s="95" t="s">
        <v>581</v>
      </c>
      <c r="M126" s="96" t="s">
        <v>556</v>
      </c>
      <c r="N126" s="96" t="s">
        <v>586</v>
      </c>
      <c r="O126" s="96" t="s">
        <v>342</v>
      </c>
      <c r="P126" s="6">
        <v>240</v>
      </c>
      <c r="Q126" s="216">
        <f>1428+1277.6-1277.5</f>
        <v>1428.1</v>
      </c>
      <c r="R126" s="216"/>
      <c r="S126" s="216"/>
    </row>
    <row r="127" spans="1:19" ht="24.75" customHeight="1">
      <c r="A127" s="99"/>
      <c r="B127" s="98"/>
      <c r="C127" s="103"/>
      <c r="D127" s="101"/>
      <c r="E127" s="104"/>
      <c r="F127" s="104"/>
      <c r="G127" s="105"/>
      <c r="H127" s="11" t="s">
        <v>640</v>
      </c>
      <c r="I127" s="6">
        <v>27</v>
      </c>
      <c r="J127" s="7">
        <v>4</v>
      </c>
      <c r="K127" s="16">
        <v>9</v>
      </c>
      <c r="L127" s="95" t="s">
        <v>581</v>
      </c>
      <c r="M127" s="96" t="s">
        <v>556</v>
      </c>
      <c r="N127" s="96" t="s">
        <v>586</v>
      </c>
      <c r="O127" s="96" t="s">
        <v>342</v>
      </c>
      <c r="P127" s="6">
        <v>540</v>
      </c>
      <c r="Q127" s="216">
        <v>465.6</v>
      </c>
      <c r="R127" s="216"/>
      <c r="S127" s="216"/>
    </row>
    <row r="128" spans="1:19" ht="33.75" customHeight="1">
      <c r="A128" s="99"/>
      <c r="B128" s="98"/>
      <c r="C128" s="103"/>
      <c r="D128" s="101"/>
      <c r="E128" s="104"/>
      <c r="F128" s="104"/>
      <c r="G128" s="105"/>
      <c r="H128" s="5" t="s">
        <v>161</v>
      </c>
      <c r="I128" s="13">
        <v>27</v>
      </c>
      <c r="J128" s="7">
        <v>4</v>
      </c>
      <c r="K128" s="16">
        <v>9</v>
      </c>
      <c r="L128" s="95" t="s">
        <v>581</v>
      </c>
      <c r="M128" s="96" t="s">
        <v>556</v>
      </c>
      <c r="N128" s="96" t="s">
        <v>559</v>
      </c>
      <c r="O128" s="96" t="s">
        <v>613</v>
      </c>
      <c r="P128" s="6"/>
      <c r="Q128" s="216">
        <f>Q129</f>
        <v>934.7</v>
      </c>
      <c r="R128" s="216">
        <f>R129</f>
        <v>901.7</v>
      </c>
      <c r="S128" s="216">
        <f>S129</f>
        <v>901.7</v>
      </c>
    </row>
    <row r="129" spans="1:19" ht="31.5" customHeight="1">
      <c r="A129" s="99"/>
      <c r="B129" s="98"/>
      <c r="C129" s="103"/>
      <c r="D129" s="101"/>
      <c r="E129" s="104"/>
      <c r="F129" s="104"/>
      <c r="G129" s="105"/>
      <c r="H129" s="5" t="s">
        <v>267</v>
      </c>
      <c r="I129" s="13">
        <v>27</v>
      </c>
      <c r="J129" s="7">
        <v>4</v>
      </c>
      <c r="K129" s="16">
        <v>9</v>
      </c>
      <c r="L129" s="95" t="s">
        <v>581</v>
      </c>
      <c r="M129" s="96" t="s">
        <v>556</v>
      </c>
      <c r="N129" s="96" t="s">
        <v>559</v>
      </c>
      <c r="O129" s="96" t="s">
        <v>266</v>
      </c>
      <c r="P129" s="6"/>
      <c r="Q129" s="216">
        <f>Q131+Q130</f>
        <v>934.7</v>
      </c>
      <c r="R129" s="216">
        <f>R130</f>
        <v>901.7</v>
      </c>
      <c r="S129" s="216">
        <f>S130</f>
        <v>901.7</v>
      </c>
    </row>
    <row r="130" spans="1:19" ht="31.5" customHeight="1" hidden="1">
      <c r="A130" s="99"/>
      <c r="B130" s="98"/>
      <c r="C130" s="103"/>
      <c r="D130" s="101"/>
      <c r="E130" s="104"/>
      <c r="F130" s="104"/>
      <c r="G130" s="105"/>
      <c r="H130" s="5" t="s">
        <v>712</v>
      </c>
      <c r="I130" s="13">
        <v>27</v>
      </c>
      <c r="J130" s="7">
        <v>4</v>
      </c>
      <c r="K130" s="16">
        <v>9</v>
      </c>
      <c r="L130" s="95" t="s">
        <v>581</v>
      </c>
      <c r="M130" s="96" t="s">
        <v>556</v>
      </c>
      <c r="N130" s="96" t="s">
        <v>559</v>
      </c>
      <c r="O130" s="96" t="s">
        <v>266</v>
      </c>
      <c r="P130" s="6">
        <v>240</v>
      </c>
      <c r="Q130" s="216">
        <v>0</v>
      </c>
      <c r="R130" s="216">
        <v>901.7</v>
      </c>
      <c r="S130" s="216">
        <v>901.7</v>
      </c>
    </row>
    <row r="131" spans="1:19" ht="22.5" customHeight="1">
      <c r="A131" s="99"/>
      <c r="B131" s="98"/>
      <c r="C131" s="103"/>
      <c r="D131" s="101"/>
      <c r="E131" s="104"/>
      <c r="F131" s="104"/>
      <c r="G131" s="105"/>
      <c r="H131" s="5" t="s">
        <v>640</v>
      </c>
      <c r="I131" s="13">
        <v>27</v>
      </c>
      <c r="J131" s="7">
        <v>4</v>
      </c>
      <c r="K131" s="16">
        <v>9</v>
      </c>
      <c r="L131" s="95" t="s">
        <v>581</v>
      </c>
      <c r="M131" s="96" t="s">
        <v>556</v>
      </c>
      <c r="N131" s="96" t="s">
        <v>559</v>
      </c>
      <c r="O131" s="96" t="s">
        <v>266</v>
      </c>
      <c r="P131" s="6">
        <v>540</v>
      </c>
      <c r="Q131" s="216">
        <f>901.7+22+68.2+11-68.2</f>
        <v>934.7</v>
      </c>
      <c r="R131" s="216"/>
      <c r="S131" s="216"/>
    </row>
    <row r="132" spans="1:19" ht="33.75" customHeight="1">
      <c r="A132" s="99"/>
      <c r="B132" s="98"/>
      <c r="C132" s="103"/>
      <c r="D132" s="101"/>
      <c r="E132" s="104"/>
      <c r="F132" s="104"/>
      <c r="G132" s="105"/>
      <c r="H132" s="5" t="s">
        <v>775</v>
      </c>
      <c r="I132" s="13">
        <v>27</v>
      </c>
      <c r="J132" s="7">
        <v>4</v>
      </c>
      <c r="K132" s="16">
        <v>9</v>
      </c>
      <c r="L132" s="95" t="s">
        <v>581</v>
      </c>
      <c r="M132" s="96" t="s">
        <v>556</v>
      </c>
      <c r="N132" s="96" t="s">
        <v>588</v>
      </c>
      <c r="O132" s="96" t="s">
        <v>613</v>
      </c>
      <c r="P132" s="6"/>
      <c r="Q132" s="216">
        <f aca="true" t="shared" si="7" ref="Q132:S133">Q133</f>
        <v>2800</v>
      </c>
      <c r="R132" s="216">
        <f t="shared" si="7"/>
        <v>0</v>
      </c>
      <c r="S132" s="216">
        <f t="shared" si="7"/>
        <v>0</v>
      </c>
    </row>
    <row r="133" spans="1:19" ht="32.25" customHeight="1">
      <c r="A133" s="99"/>
      <c r="B133" s="98"/>
      <c r="C133" s="103"/>
      <c r="D133" s="101"/>
      <c r="E133" s="104"/>
      <c r="F133" s="104"/>
      <c r="G133" s="105"/>
      <c r="H133" s="5" t="s">
        <v>774</v>
      </c>
      <c r="I133" s="13">
        <v>27</v>
      </c>
      <c r="J133" s="7">
        <v>4</v>
      </c>
      <c r="K133" s="16">
        <v>9</v>
      </c>
      <c r="L133" s="95" t="s">
        <v>581</v>
      </c>
      <c r="M133" s="96" t="s">
        <v>556</v>
      </c>
      <c r="N133" s="96" t="s">
        <v>588</v>
      </c>
      <c r="O133" s="96" t="s">
        <v>248</v>
      </c>
      <c r="P133" s="6"/>
      <c r="Q133" s="216">
        <f t="shared" si="7"/>
        <v>2800</v>
      </c>
      <c r="R133" s="216">
        <f t="shared" si="7"/>
        <v>0</v>
      </c>
      <c r="S133" s="216">
        <f t="shared" si="7"/>
        <v>0</v>
      </c>
    </row>
    <row r="134" spans="1:19" ht="24.75" customHeight="1">
      <c r="A134" s="99"/>
      <c r="B134" s="98"/>
      <c r="C134" s="103"/>
      <c r="D134" s="101"/>
      <c r="E134" s="104"/>
      <c r="F134" s="104"/>
      <c r="G134" s="105"/>
      <c r="H134" s="5" t="s">
        <v>773</v>
      </c>
      <c r="I134" s="13">
        <v>27</v>
      </c>
      <c r="J134" s="7">
        <v>4</v>
      </c>
      <c r="K134" s="16">
        <v>9</v>
      </c>
      <c r="L134" s="95" t="s">
        <v>581</v>
      </c>
      <c r="M134" s="96" t="s">
        <v>556</v>
      </c>
      <c r="N134" s="96" t="s">
        <v>588</v>
      </c>
      <c r="O134" s="96" t="s">
        <v>248</v>
      </c>
      <c r="P134" s="6">
        <v>540</v>
      </c>
      <c r="Q134" s="216">
        <f>2500+300</f>
        <v>2800</v>
      </c>
      <c r="R134" s="216"/>
      <c r="S134" s="216"/>
    </row>
    <row r="135" spans="1:19" ht="24.75" customHeight="1">
      <c r="A135" s="99"/>
      <c r="B135" s="98"/>
      <c r="C135" s="103"/>
      <c r="D135" s="101"/>
      <c r="E135" s="104"/>
      <c r="F135" s="104"/>
      <c r="G135" s="105"/>
      <c r="H135" s="5" t="s">
        <v>162</v>
      </c>
      <c r="I135" s="13">
        <v>27</v>
      </c>
      <c r="J135" s="7">
        <v>4</v>
      </c>
      <c r="K135" s="16">
        <v>9</v>
      </c>
      <c r="L135" s="95" t="s">
        <v>581</v>
      </c>
      <c r="M135" s="96" t="s">
        <v>556</v>
      </c>
      <c r="N135" s="96" t="s">
        <v>561</v>
      </c>
      <c r="O135" s="96" t="s">
        <v>613</v>
      </c>
      <c r="P135" s="6"/>
      <c r="Q135" s="216">
        <f>Q136</f>
        <v>210</v>
      </c>
      <c r="R135" s="216"/>
      <c r="S135" s="216"/>
    </row>
    <row r="136" spans="1:19" ht="24.75" customHeight="1">
      <c r="A136" s="99"/>
      <c r="B136" s="98"/>
      <c r="C136" s="103"/>
      <c r="D136" s="101"/>
      <c r="E136" s="104"/>
      <c r="F136" s="104"/>
      <c r="G136" s="105"/>
      <c r="H136" s="5" t="s">
        <v>754</v>
      </c>
      <c r="I136" s="13">
        <v>27</v>
      </c>
      <c r="J136" s="7">
        <v>4</v>
      </c>
      <c r="K136" s="16">
        <v>9</v>
      </c>
      <c r="L136" s="95" t="s">
        <v>581</v>
      </c>
      <c r="M136" s="96" t="s">
        <v>556</v>
      </c>
      <c r="N136" s="96" t="s">
        <v>561</v>
      </c>
      <c r="O136" s="96" t="s">
        <v>753</v>
      </c>
      <c r="P136" s="6"/>
      <c r="Q136" s="216">
        <f>Q137</f>
        <v>210</v>
      </c>
      <c r="R136" s="216"/>
      <c r="S136" s="216"/>
    </row>
    <row r="137" spans="1:19" ht="24.75" customHeight="1">
      <c r="A137" s="99"/>
      <c r="B137" s="98"/>
      <c r="C137" s="103"/>
      <c r="D137" s="101"/>
      <c r="E137" s="104"/>
      <c r="F137" s="104"/>
      <c r="G137" s="105"/>
      <c r="H137" s="5" t="s">
        <v>712</v>
      </c>
      <c r="I137" s="13">
        <v>27</v>
      </c>
      <c r="J137" s="7">
        <v>4</v>
      </c>
      <c r="K137" s="16">
        <v>9</v>
      </c>
      <c r="L137" s="95" t="s">
        <v>581</v>
      </c>
      <c r="M137" s="96" t="s">
        <v>556</v>
      </c>
      <c r="N137" s="96" t="s">
        <v>561</v>
      </c>
      <c r="O137" s="96" t="s">
        <v>753</v>
      </c>
      <c r="P137" s="6">
        <v>240</v>
      </c>
      <c r="Q137" s="216">
        <v>210</v>
      </c>
      <c r="R137" s="216"/>
      <c r="S137" s="216"/>
    </row>
    <row r="138" spans="1:19" ht="24.75" customHeight="1">
      <c r="A138" s="99"/>
      <c r="B138" s="98"/>
      <c r="C138" s="103"/>
      <c r="D138" s="101"/>
      <c r="E138" s="104"/>
      <c r="F138" s="104"/>
      <c r="G138" s="105"/>
      <c r="H138" s="5" t="s">
        <v>209</v>
      </c>
      <c r="I138" s="13">
        <v>27</v>
      </c>
      <c r="J138" s="7">
        <v>4</v>
      </c>
      <c r="K138" s="16">
        <v>9</v>
      </c>
      <c r="L138" s="95" t="s">
        <v>581</v>
      </c>
      <c r="M138" s="96" t="s">
        <v>556</v>
      </c>
      <c r="N138" s="96" t="s">
        <v>555</v>
      </c>
      <c r="O138" s="96" t="s">
        <v>613</v>
      </c>
      <c r="P138" s="6"/>
      <c r="Q138" s="216">
        <f>Q139</f>
        <v>50</v>
      </c>
      <c r="R138" s="216"/>
      <c r="S138" s="216"/>
    </row>
    <row r="139" spans="1:19" ht="24.75" customHeight="1">
      <c r="A139" s="99"/>
      <c r="B139" s="98"/>
      <c r="C139" s="103"/>
      <c r="D139" s="101"/>
      <c r="E139" s="104"/>
      <c r="F139" s="104"/>
      <c r="G139" s="105"/>
      <c r="H139" s="5" t="s">
        <v>754</v>
      </c>
      <c r="I139" s="13">
        <v>27</v>
      </c>
      <c r="J139" s="7">
        <v>4</v>
      </c>
      <c r="K139" s="16">
        <v>9</v>
      </c>
      <c r="L139" s="95" t="s">
        <v>581</v>
      </c>
      <c r="M139" s="96" t="s">
        <v>556</v>
      </c>
      <c r="N139" s="96" t="s">
        <v>555</v>
      </c>
      <c r="O139" s="96" t="s">
        <v>753</v>
      </c>
      <c r="P139" s="6"/>
      <c r="Q139" s="216">
        <f>Q140</f>
        <v>50</v>
      </c>
      <c r="R139" s="216"/>
      <c r="S139" s="216"/>
    </row>
    <row r="140" spans="1:19" ht="24.75" customHeight="1">
      <c r="A140" s="99"/>
      <c r="B140" s="98"/>
      <c r="C140" s="103"/>
      <c r="D140" s="101"/>
      <c r="E140" s="104"/>
      <c r="F140" s="104"/>
      <c r="G140" s="105"/>
      <c r="H140" s="5" t="s">
        <v>773</v>
      </c>
      <c r="I140" s="13">
        <v>27</v>
      </c>
      <c r="J140" s="7">
        <v>4</v>
      </c>
      <c r="K140" s="16">
        <v>9</v>
      </c>
      <c r="L140" s="95" t="s">
        <v>581</v>
      </c>
      <c r="M140" s="96" t="s">
        <v>556</v>
      </c>
      <c r="N140" s="96" t="s">
        <v>555</v>
      </c>
      <c r="O140" s="96" t="s">
        <v>753</v>
      </c>
      <c r="P140" s="6">
        <v>540</v>
      </c>
      <c r="Q140" s="216">
        <v>50</v>
      </c>
      <c r="R140" s="216"/>
      <c r="S140" s="216"/>
    </row>
    <row r="141" spans="1:19" ht="24.75" customHeight="1">
      <c r="A141" s="99"/>
      <c r="B141" s="98"/>
      <c r="C141" s="103"/>
      <c r="D141" s="101"/>
      <c r="E141" s="104"/>
      <c r="F141" s="104"/>
      <c r="G141" s="105"/>
      <c r="H141" s="11" t="s">
        <v>821</v>
      </c>
      <c r="I141" s="10">
        <v>27</v>
      </c>
      <c r="J141" s="16">
        <v>4</v>
      </c>
      <c r="K141" s="16">
        <v>9</v>
      </c>
      <c r="L141" s="95" t="s">
        <v>581</v>
      </c>
      <c r="M141" s="96" t="s">
        <v>556</v>
      </c>
      <c r="N141" s="96" t="s">
        <v>551</v>
      </c>
      <c r="O141" s="96" t="s">
        <v>613</v>
      </c>
      <c r="P141" s="6"/>
      <c r="Q141" s="216">
        <f>Q142</f>
        <v>4749.3</v>
      </c>
      <c r="R141" s="216"/>
      <c r="S141" s="216"/>
    </row>
    <row r="142" spans="1:19" ht="24.75" customHeight="1">
      <c r="A142" s="99"/>
      <c r="B142" s="98"/>
      <c r="C142" s="103"/>
      <c r="D142" s="101"/>
      <c r="E142" s="104"/>
      <c r="F142" s="104"/>
      <c r="G142" s="105"/>
      <c r="H142" s="11" t="s">
        <v>732</v>
      </c>
      <c r="I142" s="10">
        <v>27</v>
      </c>
      <c r="J142" s="16">
        <v>4</v>
      </c>
      <c r="K142" s="16">
        <v>9</v>
      </c>
      <c r="L142" s="95" t="s">
        <v>581</v>
      </c>
      <c r="M142" s="96" t="s">
        <v>556</v>
      </c>
      <c r="N142" s="96" t="s">
        <v>551</v>
      </c>
      <c r="O142" s="96" t="s">
        <v>342</v>
      </c>
      <c r="P142" s="6"/>
      <c r="Q142" s="216">
        <f>Q143</f>
        <v>4749.3</v>
      </c>
      <c r="R142" s="216"/>
      <c r="S142" s="216"/>
    </row>
    <row r="143" spans="1:19" ht="24.75" customHeight="1">
      <c r="A143" s="99"/>
      <c r="B143" s="98"/>
      <c r="C143" s="103"/>
      <c r="D143" s="101"/>
      <c r="E143" s="104"/>
      <c r="F143" s="104"/>
      <c r="G143" s="105"/>
      <c r="H143" s="5" t="s">
        <v>773</v>
      </c>
      <c r="I143" s="10">
        <v>27</v>
      </c>
      <c r="J143" s="16">
        <v>4</v>
      </c>
      <c r="K143" s="16">
        <v>9</v>
      </c>
      <c r="L143" s="95" t="s">
        <v>581</v>
      </c>
      <c r="M143" s="96" t="s">
        <v>556</v>
      </c>
      <c r="N143" s="96" t="s">
        <v>551</v>
      </c>
      <c r="O143" s="96" t="s">
        <v>342</v>
      </c>
      <c r="P143" s="6">
        <v>540</v>
      </c>
      <c r="Q143" s="216">
        <f>6547-1743.2-54.5</f>
        <v>4749.3</v>
      </c>
      <c r="R143" s="216"/>
      <c r="S143" s="216"/>
    </row>
    <row r="144" spans="1:19" ht="24.75" customHeight="1">
      <c r="A144" s="99"/>
      <c r="B144" s="98"/>
      <c r="C144" s="103"/>
      <c r="D144" s="101"/>
      <c r="E144" s="104"/>
      <c r="F144" s="104"/>
      <c r="G144" s="105"/>
      <c r="H144" s="5" t="s">
        <v>824</v>
      </c>
      <c r="I144" s="13">
        <v>27</v>
      </c>
      <c r="J144" s="7">
        <v>4</v>
      </c>
      <c r="K144" s="16">
        <v>9</v>
      </c>
      <c r="L144" s="95" t="s">
        <v>581</v>
      </c>
      <c r="M144" s="96" t="s">
        <v>556</v>
      </c>
      <c r="N144" s="96" t="s">
        <v>577</v>
      </c>
      <c r="O144" s="96" t="s">
        <v>613</v>
      </c>
      <c r="P144" s="6"/>
      <c r="Q144" s="216">
        <f>Q145</f>
        <v>100</v>
      </c>
      <c r="R144" s="216"/>
      <c r="S144" s="216"/>
    </row>
    <row r="145" spans="1:19" ht="24.75" customHeight="1">
      <c r="A145" s="99"/>
      <c r="B145" s="98"/>
      <c r="C145" s="103"/>
      <c r="D145" s="101"/>
      <c r="E145" s="104"/>
      <c r="F145" s="104"/>
      <c r="G145" s="105"/>
      <c r="H145" s="5" t="s">
        <v>754</v>
      </c>
      <c r="I145" s="13">
        <v>27</v>
      </c>
      <c r="J145" s="7">
        <v>4</v>
      </c>
      <c r="K145" s="16">
        <v>9</v>
      </c>
      <c r="L145" s="95" t="s">
        <v>581</v>
      </c>
      <c r="M145" s="96" t="s">
        <v>556</v>
      </c>
      <c r="N145" s="96" t="s">
        <v>577</v>
      </c>
      <c r="O145" s="96" t="s">
        <v>753</v>
      </c>
      <c r="P145" s="6"/>
      <c r="Q145" s="216">
        <f>Q146</f>
        <v>100</v>
      </c>
      <c r="R145" s="216"/>
      <c r="S145" s="216"/>
    </row>
    <row r="146" spans="1:19" ht="24.75" customHeight="1">
      <c r="A146" s="99"/>
      <c r="B146" s="98"/>
      <c r="C146" s="103"/>
      <c r="D146" s="101"/>
      <c r="E146" s="104"/>
      <c r="F146" s="104"/>
      <c r="G146" s="105"/>
      <c r="H146" s="5" t="s">
        <v>773</v>
      </c>
      <c r="I146" s="13">
        <v>27</v>
      </c>
      <c r="J146" s="7">
        <v>4</v>
      </c>
      <c r="K146" s="16">
        <v>9</v>
      </c>
      <c r="L146" s="95" t="s">
        <v>581</v>
      </c>
      <c r="M146" s="96" t="s">
        <v>556</v>
      </c>
      <c r="N146" s="96" t="s">
        <v>577</v>
      </c>
      <c r="O146" s="96" t="s">
        <v>753</v>
      </c>
      <c r="P146" s="6">
        <v>540</v>
      </c>
      <c r="Q146" s="216">
        <v>100</v>
      </c>
      <c r="R146" s="216"/>
      <c r="S146" s="216"/>
    </row>
    <row r="147" spans="1:19" ht="24.75" customHeight="1">
      <c r="A147" s="99"/>
      <c r="B147" s="98"/>
      <c r="C147" s="103"/>
      <c r="D147" s="101"/>
      <c r="E147" s="104"/>
      <c r="F147" s="104"/>
      <c r="G147" s="105"/>
      <c r="H147" s="5" t="s">
        <v>870</v>
      </c>
      <c r="I147" s="13">
        <v>27</v>
      </c>
      <c r="J147" s="7">
        <v>4</v>
      </c>
      <c r="K147" s="16">
        <v>9</v>
      </c>
      <c r="L147" s="95" t="s">
        <v>581</v>
      </c>
      <c r="M147" s="96" t="s">
        <v>556</v>
      </c>
      <c r="N147" s="96" t="s">
        <v>589</v>
      </c>
      <c r="O147" s="96" t="s">
        <v>613</v>
      </c>
      <c r="P147" s="6"/>
      <c r="Q147" s="216">
        <f>Q148</f>
        <v>1154.2</v>
      </c>
      <c r="R147" s="216"/>
      <c r="S147" s="216"/>
    </row>
    <row r="148" spans="1:19" ht="24.75" customHeight="1">
      <c r="A148" s="99"/>
      <c r="B148" s="98"/>
      <c r="C148" s="103"/>
      <c r="D148" s="101"/>
      <c r="E148" s="104"/>
      <c r="F148" s="104"/>
      <c r="G148" s="105"/>
      <c r="H148" s="5" t="s">
        <v>754</v>
      </c>
      <c r="I148" s="13">
        <v>27</v>
      </c>
      <c r="J148" s="7">
        <v>4</v>
      </c>
      <c r="K148" s="16">
        <v>9</v>
      </c>
      <c r="L148" s="95" t="s">
        <v>581</v>
      </c>
      <c r="M148" s="96" t="s">
        <v>556</v>
      </c>
      <c r="N148" s="96" t="s">
        <v>589</v>
      </c>
      <c r="O148" s="96" t="s">
        <v>753</v>
      </c>
      <c r="P148" s="6"/>
      <c r="Q148" s="216">
        <f>Q149</f>
        <v>1154.2</v>
      </c>
      <c r="R148" s="216"/>
      <c r="S148" s="216"/>
    </row>
    <row r="149" spans="1:19" ht="24.75" customHeight="1">
      <c r="A149" s="99"/>
      <c r="B149" s="98"/>
      <c r="C149" s="103"/>
      <c r="D149" s="101"/>
      <c r="E149" s="104"/>
      <c r="F149" s="104"/>
      <c r="G149" s="105"/>
      <c r="H149" s="5" t="s">
        <v>712</v>
      </c>
      <c r="I149" s="13">
        <v>27</v>
      </c>
      <c r="J149" s="7">
        <v>4</v>
      </c>
      <c r="K149" s="16">
        <v>9</v>
      </c>
      <c r="L149" s="95" t="s">
        <v>581</v>
      </c>
      <c r="M149" s="96" t="s">
        <v>556</v>
      </c>
      <c r="N149" s="96" t="s">
        <v>589</v>
      </c>
      <c r="O149" s="96" t="s">
        <v>753</v>
      </c>
      <c r="P149" s="6">
        <v>240</v>
      </c>
      <c r="Q149" s="216">
        <v>1154.2</v>
      </c>
      <c r="R149" s="216"/>
      <c r="S149" s="216"/>
    </row>
    <row r="150" spans="1:19" s="179" customFormat="1" ht="24.75" customHeight="1">
      <c r="A150" s="142"/>
      <c r="B150" s="143"/>
      <c r="C150" s="153"/>
      <c r="D150" s="150"/>
      <c r="E150" s="145"/>
      <c r="F150" s="145"/>
      <c r="G150" s="155">
        <v>850</v>
      </c>
      <c r="H150" s="149" t="s">
        <v>539</v>
      </c>
      <c r="I150" s="152">
        <v>27</v>
      </c>
      <c r="J150" s="156">
        <v>4</v>
      </c>
      <c r="K150" s="139">
        <v>12</v>
      </c>
      <c r="L150" s="140"/>
      <c r="M150" s="141"/>
      <c r="N150" s="141"/>
      <c r="O150" s="141"/>
      <c r="P150" s="146"/>
      <c r="Q150" s="217">
        <f>Q151+Q171+Q175+Q187</f>
        <v>6936.8</v>
      </c>
      <c r="R150" s="217">
        <f>R151+R171+R175+R187</f>
        <v>7660</v>
      </c>
      <c r="S150" s="217">
        <f>S151+S171+S175+S187</f>
        <v>7580</v>
      </c>
    </row>
    <row r="151" spans="1:19" ht="40.5" customHeight="1">
      <c r="A151" s="99"/>
      <c r="B151" s="98"/>
      <c r="C151" s="97"/>
      <c r="D151" s="101"/>
      <c r="E151" s="115"/>
      <c r="F151" s="115"/>
      <c r="G151" s="89"/>
      <c r="H151" s="200" t="s">
        <v>21</v>
      </c>
      <c r="I151" s="6">
        <v>27</v>
      </c>
      <c r="J151" s="19">
        <v>4</v>
      </c>
      <c r="K151" s="16">
        <v>12</v>
      </c>
      <c r="L151" s="95" t="s">
        <v>561</v>
      </c>
      <c r="M151" s="96" t="s">
        <v>556</v>
      </c>
      <c r="N151" s="96" t="s">
        <v>576</v>
      </c>
      <c r="O151" s="96" t="s">
        <v>613</v>
      </c>
      <c r="P151" s="6"/>
      <c r="Q151" s="216">
        <f>Q152+Q161+Q166+Q155+Q158</f>
        <v>6489.6</v>
      </c>
      <c r="R151" s="216">
        <f>R152+R161+R166</f>
        <v>7300</v>
      </c>
      <c r="S151" s="216">
        <f>S152+S161+S166</f>
        <v>7250</v>
      </c>
    </row>
    <row r="152" spans="1:19" ht="36" customHeight="1">
      <c r="A152" s="99"/>
      <c r="B152" s="98"/>
      <c r="C152" s="97"/>
      <c r="D152" s="101"/>
      <c r="E152" s="115"/>
      <c r="F152" s="115"/>
      <c r="G152" s="89"/>
      <c r="H152" s="108" t="s">
        <v>341</v>
      </c>
      <c r="I152" s="6">
        <v>27</v>
      </c>
      <c r="J152" s="19">
        <v>4</v>
      </c>
      <c r="K152" s="16">
        <v>12</v>
      </c>
      <c r="L152" s="95" t="s">
        <v>561</v>
      </c>
      <c r="M152" s="96" t="s">
        <v>556</v>
      </c>
      <c r="N152" s="96" t="s">
        <v>557</v>
      </c>
      <c r="O152" s="96" t="s">
        <v>613</v>
      </c>
      <c r="P152" s="6"/>
      <c r="Q152" s="216">
        <f aca="true" t="shared" si="8" ref="Q152:S153">Q153</f>
        <v>65</v>
      </c>
      <c r="R152" s="216">
        <f t="shared" si="8"/>
        <v>200</v>
      </c>
      <c r="S152" s="216">
        <f t="shared" si="8"/>
        <v>150</v>
      </c>
    </row>
    <row r="153" spans="1:19" ht="21.75" customHeight="1">
      <c r="A153" s="99"/>
      <c r="B153" s="98"/>
      <c r="C153" s="97"/>
      <c r="D153" s="101"/>
      <c r="E153" s="115"/>
      <c r="F153" s="115"/>
      <c r="G153" s="89"/>
      <c r="H153" s="108" t="s">
        <v>255</v>
      </c>
      <c r="I153" s="6">
        <v>27</v>
      </c>
      <c r="J153" s="19">
        <v>4</v>
      </c>
      <c r="K153" s="16">
        <v>12</v>
      </c>
      <c r="L153" s="95" t="s">
        <v>561</v>
      </c>
      <c r="M153" s="96" t="s">
        <v>556</v>
      </c>
      <c r="N153" s="96" t="s">
        <v>557</v>
      </c>
      <c r="O153" s="96" t="s">
        <v>256</v>
      </c>
      <c r="P153" s="6"/>
      <c r="Q153" s="216">
        <f t="shared" si="8"/>
        <v>65</v>
      </c>
      <c r="R153" s="216">
        <f t="shared" si="8"/>
        <v>200</v>
      </c>
      <c r="S153" s="216">
        <f t="shared" si="8"/>
        <v>150</v>
      </c>
    </row>
    <row r="154" spans="1:19" ht="24" customHeight="1">
      <c r="A154" s="99"/>
      <c r="B154" s="98"/>
      <c r="C154" s="97"/>
      <c r="D154" s="101"/>
      <c r="E154" s="115"/>
      <c r="F154" s="115"/>
      <c r="G154" s="89"/>
      <c r="H154" s="108" t="s">
        <v>714</v>
      </c>
      <c r="I154" s="6">
        <v>27</v>
      </c>
      <c r="J154" s="19">
        <v>4</v>
      </c>
      <c r="K154" s="16">
        <v>12</v>
      </c>
      <c r="L154" s="95" t="s">
        <v>561</v>
      </c>
      <c r="M154" s="96" t="s">
        <v>556</v>
      </c>
      <c r="N154" s="96" t="s">
        <v>557</v>
      </c>
      <c r="O154" s="96" t="s">
        <v>256</v>
      </c>
      <c r="P154" s="6">
        <v>610</v>
      </c>
      <c r="Q154" s="216">
        <f>50+15</f>
        <v>65</v>
      </c>
      <c r="R154" s="216">
        <v>200</v>
      </c>
      <c r="S154" s="216">
        <v>150</v>
      </c>
    </row>
    <row r="155" spans="1:19" ht="24" customHeight="1">
      <c r="A155" s="99"/>
      <c r="B155" s="98"/>
      <c r="C155" s="97"/>
      <c r="D155" s="101"/>
      <c r="E155" s="115"/>
      <c r="F155" s="115"/>
      <c r="G155" s="89"/>
      <c r="H155" s="108" t="s">
        <v>131</v>
      </c>
      <c r="I155" s="8">
        <v>27</v>
      </c>
      <c r="J155" s="19">
        <v>4</v>
      </c>
      <c r="K155" s="16">
        <v>12</v>
      </c>
      <c r="L155" s="95" t="s">
        <v>561</v>
      </c>
      <c r="M155" s="96" t="s">
        <v>556</v>
      </c>
      <c r="N155" s="96" t="s">
        <v>585</v>
      </c>
      <c r="O155" s="96" t="s">
        <v>613</v>
      </c>
      <c r="P155" s="6"/>
      <c r="Q155" s="216">
        <f>Q156</f>
        <v>20</v>
      </c>
      <c r="R155" s="216"/>
      <c r="S155" s="216"/>
    </row>
    <row r="156" spans="1:19" ht="24" customHeight="1">
      <c r="A156" s="99"/>
      <c r="B156" s="98"/>
      <c r="C156" s="97"/>
      <c r="D156" s="101"/>
      <c r="E156" s="115"/>
      <c r="F156" s="115"/>
      <c r="G156" s="89"/>
      <c r="H156" s="108" t="s">
        <v>255</v>
      </c>
      <c r="I156" s="8">
        <v>27</v>
      </c>
      <c r="J156" s="19">
        <v>4</v>
      </c>
      <c r="K156" s="16">
        <v>12</v>
      </c>
      <c r="L156" s="95" t="s">
        <v>561</v>
      </c>
      <c r="M156" s="96" t="s">
        <v>556</v>
      </c>
      <c r="N156" s="96" t="s">
        <v>585</v>
      </c>
      <c r="O156" s="96" t="s">
        <v>256</v>
      </c>
      <c r="P156" s="6"/>
      <c r="Q156" s="216">
        <f>Q157</f>
        <v>20</v>
      </c>
      <c r="R156" s="216"/>
      <c r="S156" s="216"/>
    </row>
    <row r="157" spans="1:19" ht="24" customHeight="1">
      <c r="A157" s="99"/>
      <c r="B157" s="98"/>
      <c r="C157" s="97"/>
      <c r="D157" s="101"/>
      <c r="E157" s="115"/>
      <c r="F157" s="115"/>
      <c r="G157" s="89"/>
      <c r="H157" s="108" t="s">
        <v>714</v>
      </c>
      <c r="I157" s="8">
        <v>27</v>
      </c>
      <c r="J157" s="19">
        <v>4</v>
      </c>
      <c r="K157" s="16">
        <v>12</v>
      </c>
      <c r="L157" s="95" t="s">
        <v>561</v>
      </c>
      <c r="M157" s="96" t="s">
        <v>556</v>
      </c>
      <c r="N157" s="96" t="s">
        <v>585</v>
      </c>
      <c r="O157" s="96" t="s">
        <v>256</v>
      </c>
      <c r="P157" s="6">
        <v>610</v>
      </c>
      <c r="Q157" s="216">
        <v>20</v>
      </c>
      <c r="R157" s="216"/>
      <c r="S157" s="216"/>
    </row>
    <row r="158" spans="1:19" ht="24" customHeight="1">
      <c r="A158" s="99"/>
      <c r="B158" s="98"/>
      <c r="C158" s="97"/>
      <c r="D158" s="101"/>
      <c r="E158" s="115"/>
      <c r="F158" s="115"/>
      <c r="G158" s="89"/>
      <c r="H158" s="108" t="s">
        <v>181</v>
      </c>
      <c r="I158" s="8">
        <v>27</v>
      </c>
      <c r="J158" s="19">
        <v>4</v>
      </c>
      <c r="K158" s="16">
        <v>12</v>
      </c>
      <c r="L158" s="95" t="s">
        <v>561</v>
      </c>
      <c r="M158" s="96" t="s">
        <v>556</v>
      </c>
      <c r="N158" s="96" t="s">
        <v>586</v>
      </c>
      <c r="O158" s="96" t="s">
        <v>613</v>
      </c>
      <c r="P158" s="6"/>
      <c r="Q158" s="216">
        <f>Q159</f>
        <v>210</v>
      </c>
      <c r="R158" s="216"/>
      <c r="S158" s="216"/>
    </row>
    <row r="159" spans="1:19" ht="24" customHeight="1">
      <c r="A159" s="99"/>
      <c r="B159" s="98"/>
      <c r="C159" s="97"/>
      <c r="D159" s="101"/>
      <c r="E159" s="115"/>
      <c r="F159" s="115"/>
      <c r="G159" s="89"/>
      <c r="H159" s="108" t="s">
        <v>184</v>
      </c>
      <c r="I159" s="8">
        <v>27</v>
      </c>
      <c r="J159" s="19">
        <v>4</v>
      </c>
      <c r="K159" s="16">
        <v>12</v>
      </c>
      <c r="L159" s="95" t="s">
        <v>561</v>
      </c>
      <c r="M159" s="96" t="s">
        <v>556</v>
      </c>
      <c r="N159" s="96" t="s">
        <v>586</v>
      </c>
      <c r="O159" s="96" t="s">
        <v>183</v>
      </c>
      <c r="P159" s="6"/>
      <c r="Q159" s="216">
        <f>Q160</f>
        <v>210</v>
      </c>
      <c r="R159" s="216"/>
      <c r="S159" s="216"/>
    </row>
    <row r="160" spans="1:19" ht="24" customHeight="1">
      <c r="A160" s="99"/>
      <c r="B160" s="98"/>
      <c r="C160" s="97"/>
      <c r="D160" s="101"/>
      <c r="E160" s="115"/>
      <c r="F160" s="115"/>
      <c r="G160" s="89"/>
      <c r="H160" s="5" t="s">
        <v>712</v>
      </c>
      <c r="I160" s="8">
        <v>27</v>
      </c>
      <c r="J160" s="19">
        <v>4</v>
      </c>
      <c r="K160" s="16">
        <v>12</v>
      </c>
      <c r="L160" s="95" t="s">
        <v>561</v>
      </c>
      <c r="M160" s="96" t="s">
        <v>556</v>
      </c>
      <c r="N160" s="96" t="s">
        <v>586</v>
      </c>
      <c r="O160" s="96" t="s">
        <v>183</v>
      </c>
      <c r="P160" s="6">
        <v>240</v>
      </c>
      <c r="Q160" s="216">
        <v>210</v>
      </c>
      <c r="R160" s="216"/>
      <c r="S160" s="216"/>
    </row>
    <row r="161" spans="1:19" ht="27.75" customHeight="1">
      <c r="A161" s="99"/>
      <c r="B161" s="98"/>
      <c r="C161" s="97"/>
      <c r="D161" s="101"/>
      <c r="E161" s="115"/>
      <c r="F161" s="115"/>
      <c r="G161" s="89"/>
      <c r="H161" s="5" t="s">
        <v>652</v>
      </c>
      <c r="I161" s="8">
        <v>27</v>
      </c>
      <c r="J161" s="19">
        <v>4</v>
      </c>
      <c r="K161" s="16">
        <v>12</v>
      </c>
      <c r="L161" s="95" t="s">
        <v>561</v>
      </c>
      <c r="M161" s="96" t="s">
        <v>556</v>
      </c>
      <c r="N161" s="96" t="s">
        <v>559</v>
      </c>
      <c r="O161" s="96" t="s">
        <v>613</v>
      </c>
      <c r="P161" s="6"/>
      <c r="Q161" s="216">
        <f>Q162+Q164</f>
        <v>6029.6</v>
      </c>
      <c r="R161" s="216">
        <f aca="true" t="shared" si="9" ref="Q161:S162">R162</f>
        <v>6750</v>
      </c>
      <c r="S161" s="216">
        <f t="shared" si="9"/>
        <v>6800</v>
      </c>
    </row>
    <row r="162" spans="1:19" ht="27.75" customHeight="1">
      <c r="A162" s="99"/>
      <c r="B162" s="98"/>
      <c r="C162" s="97"/>
      <c r="D162" s="101"/>
      <c r="E162" s="115"/>
      <c r="F162" s="115"/>
      <c r="G162" s="89"/>
      <c r="H162" s="5" t="s">
        <v>255</v>
      </c>
      <c r="I162" s="8">
        <v>27</v>
      </c>
      <c r="J162" s="19">
        <v>4</v>
      </c>
      <c r="K162" s="16">
        <v>12</v>
      </c>
      <c r="L162" s="95" t="s">
        <v>561</v>
      </c>
      <c r="M162" s="96" t="s">
        <v>556</v>
      </c>
      <c r="N162" s="96" t="s">
        <v>559</v>
      </c>
      <c r="O162" s="96" t="s">
        <v>256</v>
      </c>
      <c r="P162" s="6"/>
      <c r="Q162" s="216">
        <f t="shared" si="9"/>
        <v>5388</v>
      </c>
      <c r="R162" s="216">
        <f t="shared" si="9"/>
        <v>6750</v>
      </c>
      <c r="S162" s="216">
        <f t="shared" si="9"/>
        <v>6800</v>
      </c>
    </row>
    <row r="163" spans="1:19" ht="27.75" customHeight="1">
      <c r="A163" s="99"/>
      <c r="B163" s="98"/>
      <c r="C163" s="97"/>
      <c r="D163" s="101"/>
      <c r="E163" s="115"/>
      <c r="F163" s="115"/>
      <c r="G163" s="89"/>
      <c r="H163" s="5" t="s">
        <v>714</v>
      </c>
      <c r="I163" s="8">
        <v>27</v>
      </c>
      <c r="J163" s="19">
        <v>4</v>
      </c>
      <c r="K163" s="16">
        <v>12</v>
      </c>
      <c r="L163" s="95" t="s">
        <v>561</v>
      </c>
      <c r="M163" s="96" t="s">
        <v>556</v>
      </c>
      <c r="N163" s="96" t="s">
        <v>559</v>
      </c>
      <c r="O163" s="96" t="s">
        <v>256</v>
      </c>
      <c r="P163" s="6">
        <v>610</v>
      </c>
      <c r="Q163" s="216">
        <f>5436.5-48.5</f>
        <v>5388</v>
      </c>
      <c r="R163" s="216">
        <v>6750</v>
      </c>
      <c r="S163" s="216">
        <v>6800</v>
      </c>
    </row>
    <row r="164" spans="1:19" ht="36.75" customHeight="1">
      <c r="A164" s="99"/>
      <c r="B164" s="98"/>
      <c r="C164" s="97"/>
      <c r="D164" s="101"/>
      <c r="E164" s="115"/>
      <c r="F164" s="115"/>
      <c r="G164" s="89"/>
      <c r="H164" s="5" t="s">
        <v>61</v>
      </c>
      <c r="I164" s="8">
        <v>27</v>
      </c>
      <c r="J164" s="19">
        <v>4</v>
      </c>
      <c r="K164" s="16">
        <v>12</v>
      </c>
      <c r="L164" s="95" t="s">
        <v>561</v>
      </c>
      <c r="M164" s="96" t="s">
        <v>556</v>
      </c>
      <c r="N164" s="96" t="s">
        <v>559</v>
      </c>
      <c r="O164" s="96" t="s">
        <v>60</v>
      </c>
      <c r="P164" s="6"/>
      <c r="Q164" s="216">
        <f>Q165</f>
        <v>641.6</v>
      </c>
      <c r="R164" s="216"/>
      <c r="S164" s="216"/>
    </row>
    <row r="165" spans="1:19" ht="27.75" customHeight="1">
      <c r="A165" s="99"/>
      <c r="B165" s="98"/>
      <c r="C165" s="97"/>
      <c r="D165" s="101"/>
      <c r="E165" s="115"/>
      <c r="F165" s="115"/>
      <c r="G165" s="89"/>
      <c r="H165" s="5" t="s">
        <v>714</v>
      </c>
      <c r="I165" s="8">
        <v>27</v>
      </c>
      <c r="J165" s="19">
        <v>4</v>
      </c>
      <c r="K165" s="16">
        <v>12</v>
      </c>
      <c r="L165" s="95" t="s">
        <v>561</v>
      </c>
      <c r="M165" s="96" t="s">
        <v>556</v>
      </c>
      <c r="N165" s="96" t="s">
        <v>559</v>
      </c>
      <c r="O165" s="96" t="s">
        <v>60</v>
      </c>
      <c r="P165" s="6">
        <v>610</v>
      </c>
      <c r="Q165" s="216">
        <v>641.6</v>
      </c>
      <c r="R165" s="216"/>
      <c r="S165" s="216"/>
    </row>
    <row r="166" spans="1:19" ht="39" customHeight="1">
      <c r="A166" s="99"/>
      <c r="B166" s="98"/>
      <c r="C166" s="97"/>
      <c r="D166" s="101"/>
      <c r="E166" s="115"/>
      <c r="F166" s="115"/>
      <c r="G166" s="89"/>
      <c r="H166" s="5" t="s">
        <v>279</v>
      </c>
      <c r="I166" s="8">
        <v>27</v>
      </c>
      <c r="J166" s="19">
        <v>4</v>
      </c>
      <c r="K166" s="16">
        <v>12</v>
      </c>
      <c r="L166" s="95" t="s">
        <v>561</v>
      </c>
      <c r="M166" s="96" t="s">
        <v>556</v>
      </c>
      <c r="N166" s="96" t="s">
        <v>561</v>
      </c>
      <c r="O166" s="96" t="s">
        <v>613</v>
      </c>
      <c r="P166" s="6"/>
      <c r="Q166" s="216">
        <f>Q167+Q169</f>
        <v>165</v>
      </c>
      <c r="R166" s="216">
        <f aca="true" t="shared" si="10" ref="Q166:S167">R167</f>
        <v>350</v>
      </c>
      <c r="S166" s="216">
        <f t="shared" si="10"/>
        <v>300</v>
      </c>
    </row>
    <row r="167" spans="1:19" ht="29.25" customHeight="1">
      <c r="A167" s="99"/>
      <c r="B167" s="98"/>
      <c r="C167" s="97"/>
      <c r="D167" s="101"/>
      <c r="E167" s="115"/>
      <c r="F167" s="115"/>
      <c r="G167" s="89"/>
      <c r="H167" s="5" t="s">
        <v>255</v>
      </c>
      <c r="I167" s="8">
        <v>27</v>
      </c>
      <c r="J167" s="19">
        <v>4</v>
      </c>
      <c r="K167" s="16">
        <v>12</v>
      </c>
      <c r="L167" s="95" t="s">
        <v>561</v>
      </c>
      <c r="M167" s="96" t="s">
        <v>556</v>
      </c>
      <c r="N167" s="96" t="s">
        <v>561</v>
      </c>
      <c r="O167" s="96" t="s">
        <v>256</v>
      </c>
      <c r="P167" s="6"/>
      <c r="Q167" s="216">
        <f t="shared" si="10"/>
        <v>15</v>
      </c>
      <c r="R167" s="216">
        <f t="shared" si="10"/>
        <v>350</v>
      </c>
      <c r="S167" s="216">
        <f t="shared" si="10"/>
        <v>300</v>
      </c>
    </row>
    <row r="168" spans="1:19" ht="20.25" customHeight="1">
      <c r="A168" s="99"/>
      <c r="B168" s="98"/>
      <c r="C168" s="97"/>
      <c r="D168" s="101"/>
      <c r="E168" s="115"/>
      <c r="F168" s="115"/>
      <c r="G168" s="89"/>
      <c r="H168" s="5" t="s">
        <v>714</v>
      </c>
      <c r="I168" s="8">
        <v>27</v>
      </c>
      <c r="J168" s="19">
        <v>4</v>
      </c>
      <c r="K168" s="16">
        <v>12</v>
      </c>
      <c r="L168" s="95" t="s">
        <v>561</v>
      </c>
      <c r="M168" s="96" t="s">
        <v>556</v>
      </c>
      <c r="N168" s="96" t="s">
        <v>561</v>
      </c>
      <c r="O168" s="96" t="s">
        <v>256</v>
      </c>
      <c r="P168" s="6">
        <v>610</v>
      </c>
      <c r="Q168" s="216">
        <f>50-35</f>
        <v>15</v>
      </c>
      <c r="R168" s="216">
        <v>350</v>
      </c>
      <c r="S168" s="216">
        <v>300</v>
      </c>
    </row>
    <row r="169" spans="1:19" ht="31.5" customHeight="1">
      <c r="A169" s="99"/>
      <c r="B169" s="98"/>
      <c r="C169" s="97"/>
      <c r="D169" s="101"/>
      <c r="E169" s="115"/>
      <c r="F169" s="115"/>
      <c r="G169" s="89"/>
      <c r="H169" s="5" t="s">
        <v>835</v>
      </c>
      <c r="I169" s="6">
        <v>27</v>
      </c>
      <c r="J169" s="19">
        <v>4</v>
      </c>
      <c r="K169" s="16">
        <v>12</v>
      </c>
      <c r="L169" s="95" t="s">
        <v>561</v>
      </c>
      <c r="M169" s="96" t="s">
        <v>556</v>
      </c>
      <c r="N169" s="96" t="s">
        <v>561</v>
      </c>
      <c r="O169" s="96" t="s">
        <v>834</v>
      </c>
      <c r="P169" s="6"/>
      <c r="Q169" s="216">
        <f>Q170</f>
        <v>150</v>
      </c>
      <c r="R169" s="216"/>
      <c r="S169" s="216"/>
    </row>
    <row r="170" spans="1:19" ht="20.25" customHeight="1">
      <c r="A170" s="99"/>
      <c r="B170" s="98"/>
      <c r="C170" s="97"/>
      <c r="D170" s="101"/>
      <c r="E170" s="115"/>
      <c r="F170" s="115"/>
      <c r="G170" s="89"/>
      <c r="H170" s="5" t="s">
        <v>714</v>
      </c>
      <c r="I170" s="6">
        <v>27</v>
      </c>
      <c r="J170" s="19">
        <v>4</v>
      </c>
      <c r="K170" s="16">
        <v>12</v>
      </c>
      <c r="L170" s="95" t="s">
        <v>561</v>
      </c>
      <c r="M170" s="96" t="s">
        <v>556</v>
      </c>
      <c r="N170" s="96" t="s">
        <v>561</v>
      </c>
      <c r="O170" s="96" t="s">
        <v>834</v>
      </c>
      <c r="P170" s="6">
        <v>610</v>
      </c>
      <c r="Q170" s="216">
        <v>150</v>
      </c>
      <c r="R170" s="216"/>
      <c r="S170" s="216"/>
    </row>
    <row r="171" spans="1:19" ht="39" customHeight="1" hidden="1">
      <c r="A171" s="99"/>
      <c r="B171" s="98"/>
      <c r="C171" s="97"/>
      <c r="D171" s="101"/>
      <c r="E171" s="115"/>
      <c r="F171" s="115"/>
      <c r="G171" s="89"/>
      <c r="H171" s="340" t="s">
        <v>282</v>
      </c>
      <c r="I171" s="358">
        <v>27</v>
      </c>
      <c r="J171" s="342">
        <v>4</v>
      </c>
      <c r="K171" s="343">
        <v>12</v>
      </c>
      <c r="L171" s="344" t="s">
        <v>551</v>
      </c>
      <c r="M171" s="345" t="s">
        <v>556</v>
      </c>
      <c r="N171" s="345" t="s">
        <v>576</v>
      </c>
      <c r="O171" s="345" t="s">
        <v>613</v>
      </c>
      <c r="P171" s="341"/>
      <c r="Q171" s="346">
        <f aca="true" t="shared" si="11" ref="Q171:S173">Q172</f>
        <v>0</v>
      </c>
      <c r="R171" s="216">
        <f t="shared" si="11"/>
        <v>30</v>
      </c>
      <c r="S171" s="216">
        <f t="shared" si="11"/>
        <v>0</v>
      </c>
    </row>
    <row r="172" spans="1:19" ht="41.25" customHeight="1" hidden="1">
      <c r="A172" s="99"/>
      <c r="B172" s="98"/>
      <c r="C172" s="97"/>
      <c r="D172" s="101"/>
      <c r="E172" s="115"/>
      <c r="F172" s="115"/>
      <c r="G172" s="89"/>
      <c r="H172" s="347" t="s">
        <v>283</v>
      </c>
      <c r="I172" s="341">
        <v>27</v>
      </c>
      <c r="J172" s="342">
        <v>4</v>
      </c>
      <c r="K172" s="343">
        <v>12</v>
      </c>
      <c r="L172" s="344" t="s">
        <v>551</v>
      </c>
      <c r="M172" s="345" t="s">
        <v>556</v>
      </c>
      <c r="N172" s="345" t="s">
        <v>557</v>
      </c>
      <c r="O172" s="345" t="s">
        <v>613</v>
      </c>
      <c r="P172" s="341"/>
      <c r="Q172" s="346">
        <f t="shared" si="11"/>
        <v>0</v>
      </c>
      <c r="R172" s="216">
        <f t="shared" si="11"/>
        <v>30</v>
      </c>
      <c r="S172" s="216">
        <f t="shared" si="11"/>
        <v>0</v>
      </c>
    </row>
    <row r="173" spans="1:19" ht="30.75" customHeight="1" hidden="1">
      <c r="A173" s="99"/>
      <c r="B173" s="98"/>
      <c r="C173" s="97"/>
      <c r="D173" s="101"/>
      <c r="E173" s="115"/>
      <c r="F173" s="115"/>
      <c r="G173" s="89"/>
      <c r="H173" s="347" t="s">
        <v>285</v>
      </c>
      <c r="I173" s="341">
        <v>27</v>
      </c>
      <c r="J173" s="342">
        <v>4</v>
      </c>
      <c r="K173" s="343">
        <v>12</v>
      </c>
      <c r="L173" s="344" t="s">
        <v>551</v>
      </c>
      <c r="M173" s="345" t="s">
        <v>556</v>
      </c>
      <c r="N173" s="345" t="s">
        <v>557</v>
      </c>
      <c r="O173" s="345" t="s">
        <v>284</v>
      </c>
      <c r="P173" s="341"/>
      <c r="Q173" s="346">
        <f t="shared" si="11"/>
        <v>0</v>
      </c>
      <c r="R173" s="216">
        <f t="shared" si="11"/>
        <v>30</v>
      </c>
      <c r="S173" s="216">
        <f t="shared" si="11"/>
        <v>0</v>
      </c>
    </row>
    <row r="174" spans="1:19" ht="29.25" customHeight="1" hidden="1">
      <c r="A174" s="99"/>
      <c r="B174" s="98"/>
      <c r="C174" s="97"/>
      <c r="D174" s="101"/>
      <c r="E174" s="115"/>
      <c r="F174" s="115"/>
      <c r="G174" s="89"/>
      <c r="H174" s="347" t="s">
        <v>712</v>
      </c>
      <c r="I174" s="341">
        <v>27</v>
      </c>
      <c r="J174" s="342">
        <v>4</v>
      </c>
      <c r="K174" s="343">
        <v>12</v>
      </c>
      <c r="L174" s="344" t="s">
        <v>551</v>
      </c>
      <c r="M174" s="345" t="s">
        <v>556</v>
      </c>
      <c r="N174" s="345" t="s">
        <v>557</v>
      </c>
      <c r="O174" s="345" t="s">
        <v>284</v>
      </c>
      <c r="P174" s="341">
        <v>240</v>
      </c>
      <c r="Q174" s="346">
        <f>30-30</f>
        <v>0</v>
      </c>
      <c r="R174" s="216">
        <v>30</v>
      </c>
      <c r="S174" s="216">
        <v>0</v>
      </c>
    </row>
    <row r="175" spans="1:19" ht="34.5" customHeight="1">
      <c r="A175" s="99"/>
      <c r="B175" s="98"/>
      <c r="C175" s="103"/>
      <c r="D175" s="101"/>
      <c r="E175" s="372">
        <v>4210200</v>
      </c>
      <c r="F175" s="372"/>
      <c r="G175" s="89">
        <v>521</v>
      </c>
      <c r="H175" s="5" t="s">
        <v>32</v>
      </c>
      <c r="I175" s="8">
        <v>27</v>
      </c>
      <c r="J175" s="7">
        <v>4</v>
      </c>
      <c r="K175" s="16">
        <v>12</v>
      </c>
      <c r="L175" s="95" t="s">
        <v>45</v>
      </c>
      <c r="M175" s="96" t="s">
        <v>556</v>
      </c>
      <c r="N175" s="96" t="s">
        <v>576</v>
      </c>
      <c r="O175" s="96" t="s">
        <v>613</v>
      </c>
      <c r="P175" s="10"/>
      <c r="Q175" s="214">
        <f>Q176+Q184</f>
        <v>434.2</v>
      </c>
      <c r="R175" s="214"/>
      <c r="S175" s="214"/>
    </row>
    <row r="176" spans="1:19" ht="34.5" customHeight="1">
      <c r="A176" s="99"/>
      <c r="B176" s="98"/>
      <c r="C176" s="103"/>
      <c r="D176" s="109"/>
      <c r="E176" s="104"/>
      <c r="F176" s="104"/>
      <c r="G176" s="105">
        <v>521</v>
      </c>
      <c r="H176" s="18" t="s">
        <v>30</v>
      </c>
      <c r="I176" s="8">
        <v>27</v>
      </c>
      <c r="J176" s="7">
        <v>4</v>
      </c>
      <c r="K176" s="16">
        <v>12</v>
      </c>
      <c r="L176" s="95" t="s">
        <v>45</v>
      </c>
      <c r="M176" s="96" t="s">
        <v>556</v>
      </c>
      <c r="N176" s="96" t="s">
        <v>557</v>
      </c>
      <c r="O176" s="96" t="s">
        <v>613</v>
      </c>
      <c r="P176" s="6"/>
      <c r="Q176" s="216">
        <f>Q177+Q180+Q182</f>
        <v>398.2</v>
      </c>
      <c r="R176" s="216"/>
      <c r="S176" s="216"/>
    </row>
    <row r="177" spans="1:19" ht="23.25" customHeight="1">
      <c r="A177" s="99"/>
      <c r="B177" s="98"/>
      <c r="C177" s="97"/>
      <c r="D177" s="109"/>
      <c r="E177" s="104"/>
      <c r="F177" s="104"/>
      <c r="G177" s="89"/>
      <c r="H177" s="18" t="s">
        <v>252</v>
      </c>
      <c r="I177" s="8">
        <v>27</v>
      </c>
      <c r="J177" s="21">
        <v>4</v>
      </c>
      <c r="K177" s="16">
        <v>12</v>
      </c>
      <c r="L177" s="95" t="s">
        <v>45</v>
      </c>
      <c r="M177" s="96" t="s">
        <v>556</v>
      </c>
      <c r="N177" s="96" t="s">
        <v>557</v>
      </c>
      <c r="O177" s="96" t="s">
        <v>251</v>
      </c>
      <c r="P177" s="6"/>
      <c r="Q177" s="216">
        <f>SUM(Q178:Q179)</f>
        <v>68.2</v>
      </c>
      <c r="R177" s="216"/>
      <c r="S177" s="216"/>
    </row>
    <row r="178" spans="1:19" ht="30" customHeight="1" hidden="1">
      <c r="A178" s="99"/>
      <c r="B178" s="98"/>
      <c r="C178" s="97"/>
      <c r="D178" s="109"/>
      <c r="E178" s="104"/>
      <c r="F178" s="104"/>
      <c r="G178" s="89"/>
      <c r="H178" s="18" t="s">
        <v>712</v>
      </c>
      <c r="I178" s="8">
        <v>27</v>
      </c>
      <c r="J178" s="21">
        <v>4</v>
      </c>
      <c r="K178" s="16">
        <v>12</v>
      </c>
      <c r="L178" s="95" t="s">
        <v>45</v>
      </c>
      <c r="M178" s="96" t="s">
        <v>556</v>
      </c>
      <c r="N178" s="96" t="s">
        <v>557</v>
      </c>
      <c r="O178" s="96" t="s">
        <v>251</v>
      </c>
      <c r="P178" s="6">
        <v>240</v>
      </c>
      <c r="Q178" s="216">
        <f>10-10</f>
        <v>0</v>
      </c>
      <c r="R178" s="216"/>
      <c r="S178" s="216"/>
    </row>
    <row r="179" spans="1:19" ht="38.25" customHeight="1">
      <c r="A179" s="99"/>
      <c r="B179" s="98"/>
      <c r="C179" s="97"/>
      <c r="D179" s="101"/>
      <c r="E179" s="115"/>
      <c r="F179" s="115"/>
      <c r="G179" s="89"/>
      <c r="H179" s="5" t="s">
        <v>9</v>
      </c>
      <c r="I179" s="8">
        <v>27</v>
      </c>
      <c r="J179" s="19">
        <v>4</v>
      </c>
      <c r="K179" s="16">
        <v>12</v>
      </c>
      <c r="L179" s="95" t="s">
        <v>45</v>
      </c>
      <c r="M179" s="96" t="s">
        <v>556</v>
      </c>
      <c r="N179" s="96" t="s">
        <v>557</v>
      </c>
      <c r="O179" s="96" t="s">
        <v>251</v>
      </c>
      <c r="P179" s="6">
        <v>810</v>
      </c>
      <c r="Q179" s="216">
        <f>70-1.8</f>
        <v>68.2</v>
      </c>
      <c r="R179" s="216"/>
      <c r="S179" s="216"/>
    </row>
    <row r="180" spans="1:19" ht="32.25" customHeight="1" hidden="1">
      <c r="A180" s="99"/>
      <c r="B180" s="98"/>
      <c r="C180" s="97"/>
      <c r="D180" s="101"/>
      <c r="E180" s="115"/>
      <c r="F180" s="115"/>
      <c r="G180" s="89"/>
      <c r="H180" s="5" t="s">
        <v>800</v>
      </c>
      <c r="I180" s="8">
        <v>27</v>
      </c>
      <c r="J180" s="19">
        <v>4</v>
      </c>
      <c r="K180" s="16">
        <v>12</v>
      </c>
      <c r="L180" s="95" t="s">
        <v>45</v>
      </c>
      <c r="M180" s="96" t="s">
        <v>556</v>
      </c>
      <c r="N180" s="96" t="s">
        <v>557</v>
      </c>
      <c r="O180" s="96" t="s">
        <v>799</v>
      </c>
      <c r="P180" s="6"/>
      <c r="Q180" s="216">
        <f>Q181</f>
        <v>0</v>
      </c>
      <c r="R180" s="216"/>
      <c r="S180" s="216"/>
    </row>
    <row r="181" spans="1:19" ht="32.25" customHeight="1" hidden="1">
      <c r="A181" s="99"/>
      <c r="B181" s="98"/>
      <c r="C181" s="97"/>
      <c r="D181" s="101"/>
      <c r="E181" s="115"/>
      <c r="F181" s="115"/>
      <c r="G181" s="89"/>
      <c r="H181" s="5" t="s">
        <v>9</v>
      </c>
      <c r="I181" s="8">
        <v>27</v>
      </c>
      <c r="J181" s="19">
        <v>4</v>
      </c>
      <c r="K181" s="16">
        <v>12</v>
      </c>
      <c r="L181" s="95" t="s">
        <v>45</v>
      </c>
      <c r="M181" s="96" t="s">
        <v>556</v>
      </c>
      <c r="N181" s="96" t="s">
        <v>557</v>
      </c>
      <c r="O181" s="96" t="s">
        <v>799</v>
      </c>
      <c r="P181" s="6">
        <v>810</v>
      </c>
      <c r="Q181" s="216">
        <f>784.9-784.9</f>
        <v>0</v>
      </c>
      <c r="R181" s="216"/>
      <c r="S181" s="216"/>
    </row>
    <row r="182" spans="1:19" ht="32.25" customHeight="1">
      <c r="A182" s="99"/>
      <c r="B182" s="98"/>
      <c r="C182" s="97"/>
      <c r="D182" s="101"/>
      <c r="E182" s="115"/>
      <c r="F182" s="115"/>
      <c r="G182" s="89"/>
      <c r="H182" s="5" t="s">
        <v>8</v>
      </c>
      <c r="I182" s="8">
        <v>27</v>
      </c>
      <c r="J182" s="19">
        <v>4</v>
      </c>
      <c r="K182" s="16">
        <v>12</v>
      </c>
      <c r="L182" s="95" t="s">
        <v>45</v>
      </c>
      <c r="M182" s="96" t="s">
        <v>556</v>
      </c>
      <c r="N182" s="96" t="s">
        <v>557</v>
      </c>
      <c r="O182" s="96" t="s">
        <v>7</v>
      </c>
      <c r="P182" s="6"/>
      <c r="Q182" s="216">
        <f>Q183</f>
        <v>330</v>
      </c>
      <c r="R182" s="216"/>
      <c r="S182" s="216"/>
    </row>
    <row r="183" spans="1:19" ht="32.25" customHeight="1">
      <c r="A183" s="99"/>
      <c r="B183" s="98"/>
      <c r="C183" s="97"/>
      <c r="D183" s="101"/>
      <c r="E183" s="115"/>
      <c r="F183" s="115"/>
      <c r="G183" s="89"/>
      <c r="H183" s="5" t="s">
        <v>9</v>
      </c>
      <c r="I183" s="8">
        <v>27</v>
      </c>
      <c r="J183" s="19">
        <v>4</v>
      </c>
      <c r="K183" s="16">
        <v>12</v>
      </c>
      <c r="L183" s="95" t="s">
        <v>45</v>
      </c>
      <c r="M183" s="96" t="s">
        <v>556</v>
      </c>
      <c r="N183" s="96" t="s">
        <v>557</v>
      </c>
      <c r="O183" s="96" t="s">
        <v>7</v>
      </c>
      <c r="P183" s="6">
        <v>810</v>
      </c>
      <c r="Q183" s="216">
        <f>330.1+53.5-53.5+53.5-50-3.6</f>
        <v>330</v>
      </c>
      <c r="R183" s="216"/>
      <c r="S183" s="216"/>
    </row>
    <row r="184" spans="1:19" ht="24.75" customHeight="1">
      <c r="A184" s="99"/>
      <c r="B184" s="98"/>
      <c r="C184" s="97"/>
      <c r="D184" s="101"/>
      <c r="E184" s="115"/>
      <c r="F184" s="115"/>
      <c r="G184" s="89"/>
      <c r="H184" s="5" t="s">
        <v>31</v>
      </c>
      <c r="I184" s="8">
        <v>27</v>
      </c>
      <c r="J184" s="19">
        <v>4</v>
      </c>
      <c r="K184" s="16">
        <v>12</v>
      </c>
      <c r="L184" s="95" t="s">
        <v>45</v>
      </c>
      <c r="M184" s="96" t="s">
        <v>556</v>
      </c>
      <c r="N184" s="96" t="s">
        <v>585</v>
      </c>
      <c r="O184" s="96" t="s">
        <v>613</v>
      </c>
      <c r="P184" s="6"/>
      <c r="Q184" s="216">
        <f>Q185</f>
        <v>36</v>
      </c>
      <c r="R184" s="216"/>
      <c r="S184" s="216"/>
    </row>
    <row r="185" spans="1:19" ht="30" customHeight="1">
      <c r="A185" s="99"/>
      <c r="B185" s="98"/>
      <c r="C185" s="97"/>
      <c r="D185" s="101"/>
      <c r="E185" s="115"/>
      <c r="F185" s="115"/>
      <c r="G185" s="89"/>
      <c r="H185" s="5" t="s">
        <v>254</v>
      </c>
      <c r="I185" s="8">
        <v>27</v>
      </c>
      <c r="J185" s="19">
        <v>4</v>
      </c>
      <c r="K185" s="16">
        <v>12</v>
      </c>
      <c r="L185" s="95" t="s">
        <v>45</v>
      </c>
      <c r="M185" s="96" t="s">
        <v>556</v>
      </c>
      <c r="N185" s="96" t="s">
        <v>585</v>
      </c>
      <c r="O185" s="96" t="s">
        <v>253</v>
      </c>
      <c r="P185" s="6"/>
      <c r="Q185" s="216">
        <f>Q186</f>
        <v>36</v>
      </c>
      <c r="R185" s="216"/>
      <c r="S185" s="216"/>
    </row>
    <row r="186" spans="1:19" ht="33" customHeight="1">
      <c r="A186" s="99"/>
      <c r="B186" s="98"/>
      <c r="C186" s="97"/>
      <c r="D186" s="101"/>
      <c r="E186" s="115"/>
      <c r="F186" s="115"/>
      <c r="G186" s="89"/>
      <c r="H186" s="5" t="s">
        <v>712</v>
      </c>
      <c r="I186" s="8">
        <v>27</v>
      </c>
      <c r="J186" s="19">
        <v>4</v>
      </c>
      <c r="K186" s="16">
        <v>12</v>
      </c>
      <c r="L186" s="95" t="s">
        <v>45</v>
      </c>
      <c r="M186" s="96" t="s">
        <v>556</v>
      </c>
      <c r="N186" s="96" t="s">
        <v>585</v>
      </c>
      <c r="O186" s="96" t="s">
        <v>253</v>
      </c>
      <c r="P186" s="6">
        <v>240</v>
      </c>
      <c r="Q186" s="216">
        <f>80-30-14</f>
        <v>36</v>
      </c>
      <c r="R186" s="216"/>
      <c r="S186" s="216"/>
    </row>
    <row r="187" spans="1:19" ht="38.25" customHeight="1">
      <c r="A187" s="99"/>
      <c r="B187" s="98"/>
      <c r="C187" s="97"/>
      <c r="D187" s="101"/>
      <c r="E187" s="115"/>
      <c r="F187" s="115"/>
      <c r="G187" s="89"/>
      <c r="H187" s="11" t="s">
        <v>841</v>
      </c>
      <c r="I187" s="6">
        <v>27</v>
      </c>
      <c r="J187" s="19">
        <v>4</v>
      </c>
      <c r="K187" s="16">
        <v>12</v>
      </c>
      <c r="L187" s="95" t="s">
        <v>681</v>
      </c>
      <c r="M187" s="96" t="s">
        <v>556</v>
      </c>
      <c r="N187" s="96" t="s">
        <v>576</v>
      </c>
      <c r="O187" s="96" t="s">
        <v>613</v>
      </c>
      <c r="P187" s="6"/>
      <c r="Q187" s="216">
        <f>Q188</f>
        <v>13</v>
      </c>
      <c r="R187" s="216">
        <f>R188</f>
        <v>330</v>
      </c>
      <c r="S187" s="216">
        <f>S188</f>
        <v>330</v>
      </c>
    </row>
    <row r="188" spans="1:19" ht="31.5" customHeight="1">
      <c r="A188" s="99"/>
      <c r="B188" s="98"/>
      <c r="C188" s="97"/>
      <c r="D188" s="101"/>
      <c r="E188" s="115"/>
      <c r="F188" s="115"/>
      <c r="G188" s="89"/>
      <c r="H188" s="5" t="s">
        <v>842</v>
      </c>
      <c r="I188" s="8">
        <v>27</v>
      </c>
      <c r="J188" s="19">
        <v>4</v>
      </c>
      <c r="K188" s="16">
        <v>12</v>
      </c>
      <c r="L188" s="95" t="s">
        <v>681</v>
      </c>
      <c r="M188" s="96" t="s">
        <v>556</v>
      </c>
      <c r="N188" s="96" t="s">
        <v>559</v>
      </c>
      <c r="O188" s="96" t="s">
        <v>613</v>
      </c>
      <c r="P188" s="6"/>
      <c r="Q188" s="216">
        <f>Q189</f>
        <v>13</v>
      </c>
      <c r="R188" s="216">
        <f>R190</f>
        <v>330</v>
      </c>
      <c r="S188" s="216">
        <f>S190</f>
        <v>330</v>
      </c>
    </row>
    <row r="189" spans="1:19" ht="20.25" customHeight="1">
      <c r="A189" s="99"/>
      <c r="B189" s="98"/>
      <c r="C189" s="97"/>
      <c r="D189" s="101"/>
      <c r="E189" s="115"/>
      <c r="F189" s="115"/>
      <c r="G189" s="89"/>
      <c r="H189" s="5" t="s">
        <v>255</v>
      </c>
      <c r="I189" s="8">
        <v>27</v>
      </c>
      <c r="J189" s="19">
        <v>4</v>
      </c>
      <c r="K189" s="16">
        <v>12</v>
      </c>
      <c r="L189" s="95" t="s">
        <v>681</v>
      </c>
      <c r="M189" s="96" t="s">
        <v>556</v>
      </c>
      <c r="N189" s="96" t="s">
        <v>559</v>
      </c>
      <c r="O189" s="96" t="s">
        <v>256</v>
      </c>
      <c r="P189" s="6"/>
      <c r="Q189" s="216">
        <f>Q190</f>
        <v>13</v>
      </c>
      <c r="R189" s="216"/>
      <c r="S189" s="216"/>
    </row>
    <row r="190" spans="1:19" ht="23.25" customHeight="1">
      <c r="A190" s="99"/>
      <c r="B190" s="98"/>
      <c r="C190" s="97"/>
      <c r="D190" s="101"/>
      <c r="E190" s="115"/>
      <c r="F190" s="115"/>
      <c r="G190" s="89"/>
      <c r="H190" s="5" t="s">
        <v>843</v>
      </c>
      <c r="I190" s="8">
        <v>27</v>
      </c>
      <c r="J190" s="19">
        <v>4</v>
      </c>
      <c r="K190" s="16">
        <v>12</v>
      </c>
      <c r="L190" s="95" t="s">
        <v>681</v>
      </c>
      <c r="M190" s="96" t="s">
        <v>556</v>
      </c>
      <c r="N190" s="96" t="s">
        <v>559</v>
      </c>
      <c r="O190" s="96" t="s">
        <v>256</v>
      </c>
      <c r="P190" s="6">
        <v>610</v>
      </c>
      <c r="Q190" s="216">
        <v>13</v>
      </c>
      <c r="R190" s="216">
        <v>330</v>
      </c>
      <c r="S190" s="216">
        <v>330</v>
      </c>
    </row>
    <row r="191" spans="1:19" s="179" customFormat="1" ht="26.25" customHeight="1">
      <c r="A191" s="142"/>
      <c r="B191" s="143"/>
      <c r="C191" s="142"/>
      <c r="D191" s="150"/>
      <c r="E191" s="151"/>
      <c r="F191" s="151"/>
      <c r="G191" s="136"/>
      <c r="H191" s="312" t="s">
        <v>610</v>
      </c>
      <c r="I191" s="152">
        <v>27</v>
      </c>
      <c r="J191" s="147">
        <v>5</v>
      </c>
      <c r="K191" s="139"/>
      <c r="L191" s="140"/>
      <c r="M191" s="141"/>
      <c r="N191" s="141"/>
      <c r="O191" s="141"/>
      <c r="P191" s="146"/>
      <c r="Q191" s="217">
        <f>Q192+Q202+Q213+Q221</f>
        <v>63177</v>
      </c>
      <c r="R191" s="217">
        <f>R192+R202+R213+R221</f>
        <v>4437.200000000001</v>
      </c>
      <c r="S191" s="217">
        <f>S192+S202+S213+S221</f>
        <v>3727</v>
      </c>
    </row>
    <row r="192" spans="1:19" s="179" customFormat="1" ht="29.25" customHeight="1">
      <c r="A192" s="142"/>
      <c r="B192" s="143"/>
      <c r="C192" s="142"/>
      <c r="D192" s="150"/>
      <c r="E192" s="151"/>
      <c r="F192" s="151"/>
      <c r="G192" s="136"/>
      <c r="H192" s="312" t="s">
        <v>611</v>
      </c>
      <c r="I192" s="152">
        <v>27</v>
      </c>
      <c r="J192" s="147">
        <v>5</v>
      </c>
      <c r="K192" s="139">
        <v>1</v>
      </c>
      <c r="L192" s="140"/>
      <c r="M192" s="141"/>
      <c r="N192" s="141"/>
      <c r="O192" s="141"/>
      <c r="P192" s="146"/>
      <c r="Q192" s="217">
        <f aca="true" t="shared" si="12" ref="Q192:S193">Q193</f>
        <v>41872.2</v>
      </c>
      <c r="R192" s="217">
        <f t="shared" si="12"/>
        <v>3941.9</v>
      </c>
      <c r="S192" s="217">
        <f t="shared" si="12"/>
        <v>3299.5</v>
      </c>
    </row>
    <row r="193" spans="1:19" ht="39.75" customHeight="1">
      <c r="A193" s="97"/>
      <c r="B193" s="98"/>
      <c r="C193" s="97"/>
      <c r="D193" s="101"/>
      <c r="E193" s="115"/>
      <c r="F193" s="115"/>
      <c r="G193" s="89"/>
      <c r="H193" s="18" t="s">
        <v>808</v>
      </c>
      <c r="I193" s="8">
        <v>27</v>
      </c>
      <c r="J193" s="19">
        <v>5</v>
      </c>
      <c r="K193" s="16">
        <v>1</v>
      </c>
      <c r="L193" s="95" t="s">
        <v>275</v>
      </c>
      <c r="M193" s="96" t="s">
        <v>556</v>
      </c>
      <c r="N193" s="96" t="s">
        <v>576</v>
      </c>
      <c r="O193" s="96" t="s">
        <v>613</v>
      </c>
      <c r="P193" s="6"/>
      <c r="Q193" s="216">
        <f t="shared" si="12"/>
        <v>41872.2</v>
      </c>
      <c r="R193" s="216">
        <f t="shared" si="12"/>
        <v>3941.9</v>
      </c>
      <c r="S193" s="216">
        <f t="shared" si="12"/>
        <v>3299.5</v>
      </c>
    </row>
    <row r="194" spans="1:19" ht="42" customHeight="1">
      <c r="A194" s="97"/>
      <c r="B194" s="98"/>
      <c r="C194" s="97"/>
      <c r="D194" s="101"/>
      <c r="E194" s="115"/>
      <c r="F194" s="115"/>
      <c r="G194" s="89"/>
      <c r="H194" s="18" t="s">
        <v>117</v>
      </c>
      <c r="I194" s="8">
        <v>27</v>
      </c>
      <c r="J194" s="19">
        <v>5</v>
      </c>
      <c r="K194" s="16">
        <v>1</v>
      </c>
      <c r="L194" s="95" t="s">
        <v>275</v>
      </c>
      <c r="M194" s="96" t="s">
        <v>556</v>
      </c>
      <c r="N194" s="96" t="s">
        <v>809</v>
      </c>
      <c r="O194" s="96" t="s">
        <v>613</v>
      </c>
      <c r="P194" s="6"/>
      <c r="Q194" s="216">
        <f>Q195+Q197+Q199</f>
        <v>41872.2</v>
      </c>
      <c r="R194" s="216">
        <f>R195+R197+R199</f>
        <v>3941.9</v>
      </c>
      <c r="S194" s="216">
        <f>S195+S197+S199</f>
        <v>3299.5</v>
      </c>
    </row>
    <row r="195" spans="1:19" ht="38.25" customHeight="1">
      <c r="A195" s="99"/>
      <c r="B195" s="98"/>
      <c r="C195" s="97"/>
      <c r="D195" s="101"/>
      <c r="E195" s="115"/>
      <c r="F195" s="115"/>
      <c r="G195" s="89"/>
      <c r="H195" s="18" t="s">
        <v>802</v>
      </c>
      <c r="I195" s="8">
        <v>27</v>
      </c>
      <c r="J195" s="19">
        <v>5</v>
      </c>
      <c r="K195" s="16">
        <v>1</v>
      </c>
      <c r="L195" s="95" t="s">
        <v>275</v>
      </c>
      <c r="M195" s="96" t="s">
        <v>556</v>
      </c>
      <c r="N195" s="96" t="s">
        <v>809</v>
      </c>
      <c r="O195" s="96" t="s">
        <v>812</v>
      </c>
      <c r="P195" s="6"/>
      <c r="Q195" s="216">
        <f>Q196</f>
        <v>40173.299999999996</v>
      </c>
      <c r="R195" s="216"/>
      <c r="S195" s="216"/>
    </row>
    <row r="196" spans="1:19" ht="23.25" customHeight="1">
      <c r="A196" s="99"/>
      <c r="B196" s="98"/>
      <c r="C196" s="97"/>
      <c r="D196" s="101"/>
      <c r="E196" s="115"/>
      <c r="F196" s="115"/>
      <c r="G196" s="89"/>
      <c r="H196" s="18" t="s">
        <v>518</v>
      </c>
      <c r="I196" s="8">
        <v>27</v>
      </c>
      <c r="J196" s="19">
        <v>5</v>
      </c>
      <c r="K196" s="16">
        <v>1</v>
      </c>
      <c r="L196" s="95" t="s">
        <v>275</v>
      </c>
      <c r="M196" s="96" t="s">
        <v>556</v>
      </c>
      <c r="N196" s="96" t="s">
        <v>809</v>
      </c>
      <c r="O196" s="96" t="s">
        <v>812</v>
      </c>
      <c r="P196" s="6">
        <v>410</v>
      </c>
      <c r="Q196" s="214">
        <f>3410.2+37436.1-673</f>
        <v>40173.299999999996</v>
      </c>
      <c r="R196" s="216"/>
      <c r="S196" s="216"/>
    </row>
    <row r="197" spans="1:19" ht="39.75" customHeight="1">
      <c r="A197" s="99"/>
      <c r="B197" s="98"/>
      <c r="C197" s="97"/>
      <c r="D197" s="101"/>
      <c r="E197" s="115"/>
      <c r="F197" s="115"/>
      <c r="G197" s="89"/>
      <c r="H197" s="18" t="s">
        <v>803</v>
      </c>
      <c r="I197" s="8">
        <v>27</v>
      </c>
      <c r="J197" s="19">
        <v>5</v>
      </c>
      <c r="K197" s="16">
        <v>1</v>
      </c>
      <c r="L197" s="95" t="s">
        <v>275</v>
      </c>
      <c r="M197" s="96" t="s">
        <v>556</v>
      </c>
      <c r="N197" s="96" t="s">
        <v>809</v>
      </c>
      <c r="O197" s="96" t="s">
        <v>813</v>
      </c>
      <c r="P197" s="6"/>
      <c r="Q197" s="216">
        <f>Q198</f>
        <v>1673.9</v>
      </c>
      <c r="R197" s="216">
        <f>R198</f>
        <v>2941.9</v>
      </c>
      <c r="S197" s="216">
        <f>S198</f>
        <v>2299.5</v>
      </c>
    </row>
    <row r="198" spans="1:19" ht="24" customHeight="1">
      <c r="A198" s="99"/>
      <c r="B198" s="98"/>
      <c r="C198" s="97"/>
      <c r="D198" s="101"/>
      <c r="E198" s="115"/>
      <c r="F198" s="115"/>
      <c r="G198" s="89"/>
      <c r="H198" s="18" t="s">
        <v>518</v>
      </c>
      <c r="I198" s="8">
        <v>27</v>
      </c>
      <c r="J198" s="19">
        <v>5</v>
      </c>
      <c r="K198" s="16">
        <v>1</v>
      </c>
      <c r="L198" s="95" t="s">
        <v>275</v>
      </c>
      <c r="M198" s="96" t="s">
        <v>556</v>
      </c>
      <c r="N198" s="96" t="s">
        <v>809</v>
      </c>
      <c r="O198" s="96" t="s">
        <v>813</v>
      </c>
      <c r="P198" s="6">
        <v>410</v>
      </c>
      <c r="Q198" s="214">
        <f>3125.5+142.1-1565.6-28.1</f>
        <v>1673.9</v>
      </c>
      <c r="R198" s="216">
        <v>2941.9</v>
      </c>
      <c r="S198" s="216">
        <v>2299.5</v>
      </c>
    </row>
    <row r="199" spans="1:19" ht="42" customHeight="1">
      <c r="A199" s="99"/>
      <c r="B199" s="98"/>
      <c r="C199" s="97"/>
      <c r="D199" s="101"/>
      <c r="E199" s="115"/>
      <c r="F199" s="115"/>
      <c r="G199" s="89"/>
      <c r="H199" s="18" t="s">
        <v>817</v>
      </c>
      <c r="I199" s="8">
        <v>27</v>
      </c>
      <c r="J199" s="19">
        <v>5</v>
      </c>
      <c r="K199" s="16">
        <v>1</v>
      </c>
      <c r="L199" s="95" t="s">
        <v>275</v>
      </c>
      <c r="M199" s="96" t="s">
        <v>556</v>
      </c>
      <c r="N199" s="96" t="s">
        <v>809</v>
      </c>
      <c r="O199" s="96" t="s">
        <v>816</v>
      </c>
      <c r="P199" s="6"/>
      <c r="Q199" s="216">
        <f>Q201+Q200</f>
        <v>25</v>
      </c>
      <c r="R199" s="216">
        <f>R201</f>
        <v>1000</v>
      </c>
      <c r="S199" s="216">
        <f>S201</f>
        <v>1000</v>
      </c>
    </row>
    <row r="200" spans="1:19" ht="30.75" customHeight="1">
      <c r="A200" s="99"/>
      <c r="B200" s="98"/>
      <c r="C200" s="97"/>
      <c r="D200" s="101"/>
      <c r="E200" s="115"/>
      <c r="F200" s="115"/>
      <c r="G200" s="89"/>
      <c r="H200" s="18" t="s">
        <v>712</v>
      </c>
      <c r="I200" s="8">
        <v>27</v>
      </c>
      <c r="J200" s="19">
        <v>5</v>
      </c>
      <c r="K200" s="16">
        <v>1</v>
      </c>
      <c r="L200" s="95" t="s">
        <v>275</v>
      </c>
      <c r="M200" s="96" t="s">
        <v>556</v>
      </c>
      <c r="N200" s="96" t="s">
        <v>809</v>
      </c>
      <c r="O200" s="96" t="s">
        <v>816</v>
      </c>
      <c r="P200" s="6">
        <v>240</v>
      </c>
      <c r="Q200" s="216">
        <v>25</v>
      </c>
      <c r="R200" s="216"/>
      <c r="S200" s="216"/>
    </row>
    <row r="201" spans="1:19" ht="24" customHeight="1">
      <c r="A201" s="99"/>
      <c r="B201" s="98"/>
      <c r="C201" s="97"/>
      <c r="D201" s="101"/>
      <c r="E201" s="115"/>
      <c r="F201" s="115"/>
      <c r="G201" s="89"/>
      <c r="H201" s="18" t="s">
        <v>518</v>
      </c>
      <c r="I201" s="8">
        <v>27</v>
      </c>
      <c r="J201" s="19">
        <v>5</v>
      </c>
      <c r="K201" s="16">
        <v>1</v>
      </c>
      <c r="L201" s="95" t="s">
        <v>275</v>
      </c>
      <c r="M201" s="96" t="s">
        <v>556</v>
      </c>
      <c r="N201" s="96" t="s">
        <v>809</v>
      </c>
      <c r="O201" s="96" t="s">
        <v>816</v>
      </c>
      <c r="P201" s="6">
        <v>410</v>
      </c>
      <c r="Q201" s="216">
        <f>700+1.2-651.2-25-25</f>
        <v>0</v>
      </c>
      <c r="R201" s="216">
        <v>1000</v>
      </c>
      <c r="S201" s="216">
        <v>1000</v>
      </c>
    </row>
    <row r="202" spans="1:19" s="179" customFormat="1" ht="21" customHeight="1">
      <c r="A202" s="142"/>
      <c r="B202" s="143"/>
      <c r="C202" s="142"/>
      <c r="D202" s="150"/>
      <c r="E202" s="151"/>
      <c r="F202" s="151"/>
      <c r="G202" s="136"/>
      <c r="H202" s="312" t="s">
        <v>731</v>
      </c>
      <c r="I202" s="146">
        <v>27</v>
      </c>
      <c r="J202" s="147">
        <v>5</v>
      </c>
      <c r="K202" s="139">
        <v>2</v>
      </c>
      <c r="L202" s="140"/>
      <c r="M202" s="141"/>
      <c r="N202" s="141"/>
      <c r="O202" s="141"/>
      <c r="P202" s="146"/>
      <c r="Q202" s="217">
        <f>Q203+Q210</f>
        <v>11450.5</v>
      </c>
      <c r="R202" s="217"/>
      <c r="S202" s="217"/>
    </row>
    <row r="203" spans="1:19" ht="39.75" customHeight="1">
      <c r="A203" s="99"/>
      <c r="B203" s="98"/>
      <c r="C203" s="97"/>
      <c r="D203" s="101"/>
      <c r="E203" s="115"/>
      <c r="F203" s="115"/>
      <c r="G203" s="89"/>
      <c r="H203" s="18" t="s">
        <v>637</v>
      </c>
      <c r="I203" s="27">
        <v>27</v>
      </c>
      <c r="J203" s="19">
        <v>5</v>
      </c>
      <c r="K203" s="16">
        <v>2</v>
      </c>
      <c r="L203" s="95" t="s">
        <v>577</v>
      </c>
      <c r="M203" s="96" t="s">
        <v>556</v>
      </c>
      <c r="N203" s="96" t="s">
        <v>576</v>
      </c>
      <c r="O203" s="96" t="s">
        <v>613</v>
      </c>
      <c r="P203" s="6"/>
      <c r="Q203" s="216">
        <f>Q204</f>
        <v>11030.5</v>
      </c>
      <c r="R203" s="216"/>
      <c r="S203" s="216"/>
    </row>
    <row r="204" spans="1:19" ht="39.75" customHeight="1">
      <c r="A204" s="99"/>
      <c r="B204" s="98"/>
      <c r="C204" s="97"/>
      <c r="D204" s="101"/>
      <c r="E204" s="115"/>
      <c r="F204" s="115"/>
      <c r="G204" s="89"/>
      <c r="H204" s="18" t="s">
        <v>301</v>
      </c>
      <c r="I204" s="27">
        <v>27</v>
      </c>
      <c r="J204" s="19">
        <v>5</v>
      </c>
      <c r="K204" s="16">
        <v>2</v>
      </c>
      <c r="L204" s="95" t="s">
        <v>577</v>
      </c>
      <c r="M204" s="96" t="s">
        <v>556</v>
      </c>
      <c r="N204" s="96" t="s">
        <v>557</v>
      </c>
      <c r="O204" s="96" t="s">
        <v>613</v>
      </c>
      <c r="P204" s="6"/>
      <c r="Q204" s="216">
        <f>Q205+Q208</f>
        <v>11030.5</v>
      </c>
      <c r="R204" s="216"/>
      <c r="S204" s="216"/>
    </row>
    <row r="205" spans="1:19" ht="27" customHeight="1">
      <c r="A205" s="99"/>
      <c r="B205" s="98"/>
      <c r="C205" s="97"/>
      <c r="D205" s="101"/>
      <c r="E205" s="115"/>
      <c r="F205" s="115"/>
      <c r="G205" s="89"/>
      <c r="H205" s="18" t="s">
        <v>862</v>
      </c>
      <c r="I205" s="27">
        <v>27</v>
      </c>
      <c r="J205" s="19">
        <v>5</v>
      </c>
      <c r="K205" s="16">
        <v>2</v>
      </c>
      <c r="L205" s="95" t="s">
        <v>577</v>
      </c>
      <c r="M205" s="96" t="s">
        <v>556</v>
      </c>
      <c r="N205" s="96" t="s">
        <v>557</v>
      </c>
      <c r="O205" s="96" t="s">
        <v>261</v>
      </c>
      <c r="P205" s="6"/>
      <c r="Q205" s="216">
        <f>Q206+Q207</f>
        <v>3430.5</v>
      </c>
      <c r="R205" s="216"/>
      <c r="S205" s="216"/>
    </row>
    <row r="206" spans="1:19" ht="22.5" customHeight="1">
      <c r="A206" s="99"/>
      <c r="B206" s="98"/>
      <c r="C206" s="97"/>
      <c r="D206" s="101"/>
      <c r="E206" s="115"/>
      <c r="F206" s="115"/>
      <c r="G206" s="89"/>
      <c r="H206" s="18" t="s">
        <v>712</v>
      </c>
      <c r="I206" s="27">
        <v>27</v>
      </c>
      <c r="J206" s="19">
        <v>5</v>
      </c>
      <c r="K206" s="16">
        <v>2</v>
      </c>
      <c r="L206" s="95" t="s">
        <v>577</v>
      </c>
      <c r="M206" s="96" t="s">
        <v>556</v>
      </c>
      <c r="N206" s="96" t="s">
        <v>557</v>
      </c>
      <c r="O206" s="96" t="s">
        <v>261</v>
      </c>
      <c r="P206" s="6">
        <v>240</v>
      </c>
      <c r="Q206" s="216">
        <f>240-175-8</f>
        <v>57</v>
      </c>
      <c r="R206" s="216"/>
      <c r="S206" s="216"/>
    </row>
    <row r="207" spans="1:19" ht="22.5" customHeight="1">
      <c r="A207" s="99"/>
      <c r="B207" s="98"/>
      <c r="C207" s="97"/>
      <c r="D207" s="101"/>
      <c r="E207" s="115"/>
      <c r="F207" s="115"/>
      <c r="G207" s="89"/>
      <c r="H207" s="116" t="s">
        <v>640</v>
      </c>
      <c r="I207" s="27">
        <v>27</v>
      </c>
      <c r="J207" s="19">
        <v>5</v>
      </c>
      <c r="K207" s="16">
        <v>2</v>
      </c>
      <c r="L207" s="95" t="s">
        <v>577</v>
      </c>
      <c r="M207" s="96" t="s">
        <v>556</v>
      </c>
      <c r="N207" s="96" t="s">
        <v>557</v>
      </c>
      <c r="O207" s="96" t="s">
        <v>261</v>
      </c>
      <c r="P207" s="6">
        <v>540</v>
      </c>
      <c r="Q207" s="216">
        <f>2605+175+8+585.5</f>
        <v>3373.5</v>
      </c>
      <c r="R207" s="216"/>
      <c r="S207" s="216"/>
    </row>
    <row r="208" spans="1:19" ht="22.5" customHeight="1">
      <c r="A208" s="99"/>
      <c r="B208" s="98"/>
      <c r="C208" s="97"/>
      <c r="D208" s="101"/>
      <c r="E208" s="115"/>
      <c r="F208" s="115"/>
      <c r="G208" s="89"/>
      <c r="H208" s="116" t="s">
        <v>857</v>
      </c>
      <c r="I208" s="27">
        <v>27</v>
      </c>
      <c r="J208" s="19">
        <v>5</v>
      </c>
      <c r="K208" s="16">
        <v>2</v>
      </c>
      <c r="L208" s="95" t="s">
        <v>577</v>
      </c>
      <c r="M208" s="96" t="s">
        <v>556</v>
      </c>
      <c r="N208" s="96" t="s">
        <v>557</v>
      </c>
      <c r="O208" s="96" t="s">
        <v>856</v>
      </c>
      <c r="P208" s="6"/>
      <c r="Q208" s="216">
        <f>Q209</f>
        <v>7600</v>
      </c>
      <c r="R208" s="216"/>
      <c r="S208" s="216"/>
    </row>
    <row r="209" spans="1:19" ht="22.5" customHeight="1">
      <c r="A209" s="99"/>
      <c r="B209" s="98"/>
      <c r="C209" s="97"/>
      <c r="D209" s="101"/>
      <c r="E209" s="115"/>
      <c r="F209" s="115"/>
      <c r="G209" s="89"/>
      <c r="H209" s="116" t="s">
        <v>712</v>
      </c>
      <c r="I209" s="27">
        <v>27</v>
      </c>
      <c r="J209" s="19">
        <v>5</v>
      </c>
      <c r="K209" s="16">
        <v>2</v>
      </c>
      <c r="L209" s="95" t="s">
        <v>577</v>
      </c>
      <c r="M209" s="96" t="s">
        <v>556</v>
      </c>
      <c r="N209" s="96" t="s">
        <v>557</v>
      </c>
      <c r="O209" s="96" t="s">
        <v>856</v>
      </c>
      <c r="P209" s="6">
        <v>240</v>
      </c>
      <c r="Q209" s="216">
        <f>235.1+7600-235.1</f>
        <v>7600</v>
      </c>
      <c r="R209" s="216"/>
      <c r="S209" s="216"/>
    </row>
    <row r="210" spans="1:19" ht="22.5" customHeight="1">
      <c r="A210" s="99"/>
      <c r="B210" s="98"/>
      <c r="C210" s="97"/>
      <c r="D210" s="101"/>
      <c r="E210" s="115"/>
      <c r="F210" s="115"/>
      <c r="G210" s="89"/>
      <c r="H210" s="11" t="s">
        <v>292</v>
      </c>
      <c r="I210" s="6">
        <v>27</v>
      </c>
      <c r="J210" s="19">
        <v>5</v>
      </c>
      <c r="K210" s="16">
        <v>2</v>
      </c>
      <c r="L210" s="95" t="s">
        <v>573</v>
      </c>
      <c r="M210" s="96" t="s">
        <v>556</v>
      </c>
      <c r="N210" s="96" t="s">
        <v>576</v>
      </c>
      <c r="O210" s="96" t="s">
        <v>613</v>
      </c>
      <c r="P210" s="6"/>
      <c r="Q210" s="216">
        <f>Q211</f>
        <v>420</v>
      </c>
      <c r="R210" s="216"/>
      <c r="S210" s="216"/>
    </row>
    <row r="211" spans="1:19" ht="21" customHeight="1">
      <c r="A211" s="99"/>
      <c r="B211" s="98"/>
      <c r="C211" s="97"/>
      <c r="D211" s="101"/>
      <c r="E211" s="115"/>
      <c r="F211" s="115"/>
      <c r="G211" s="89"/>
      <c r="H211" s="18" t="s">
        <v>740</v>
      </c>
      <c r="I211" s="27">
        <v>27</v>
      </c>
      <c r="J211" s="19">
        <v>5</v>
      </c>
      <c r="K211" s="16">
        <v>2</v>
      </c>
      <c r="L211" s="95" t="s">
        <v>573</v>
      </c>
      <c r="M211" s="96" t="s">
        <v>556</v>
      </c>
      <c r="N211" s="96" t="s">
        <v>576</v>
      </c>
      <c r="O211" s="96" t="s">
        <v>739</v>
      </c>
      <c r="P211" s="6"/>
      <c r="Q211" s="216">
        <f>Q212</f>
        <v>420</v>
      </c>
      <c r="R211" s="216"/>
      <c r="S211" s="216"/>
    </row>
    <row r="212" spans="1:19" ht="21" customHeight="1">
      <c r="A212" s="99"/>
      <c r="B212" s="98"/>
      <c r="C212" s="97"/>
      <c r="D212" s="101"/>
      <c r="E212" s="115"/>
      <c r="F212" s="115"/>
      <c r="G212" s="89"/>
      <c r="H212" s="116" t="s">
        <v>640</v>
      </c>
      <c r="I212" s="27">
        <v>27</v>
      </c>
      <c r="J212" s="19">
        <v>5</v>
      </c>
      <c r="K212" s="16">
        <v>2</v>
      </c>
      <c r="L212" s="95" t="s">
        <v>573</v>
      </c>
      <c r="M212" s="96" t="s">
        <v>556</v>
      </c>
      <c r="N212" s="96" t="s">
        <v>576</v>
      </c>
      <c r="O212" s="96" t="s">
        <v>739</v>
      </c>
      <c r="P212" s="6">
        <v>540</v>
      </c>
      <c r="Q212" s="216">
        <f>126+294</f>
        <v>420</v>
      </c>
      <c r="R212" s="216"/>
      <c r="S212" s="216"/>
    </row>
    <row r="213" spans="1:19" s="179" customFormat="1" ht="26.25" customHeight="1">
      <c r="A213" s="142"/>
      <c r="B213" s="143"/>
      <c r="C213" s="142"/>
      <c r="D213" s="150"/>
      <c r="E213" s="151"/>
      <c r="F213" s="151"/>
      <c r="G213" s="136"/>
      <c r="H213" s="236" t="s">
        <v>274</v>
      </c>
      <c r="I213" s="248">
        <v>27</v>
      </c>
      <c r="J213" s="147">
        <v>5</v>
      </c>
      <c r="K213" s="139">
        <v>3</v>
      </c>
      <c r="L213" s="140"/>
      <c r="M213" s="141"/>
      <c r="N213" s="141"/>
      <c r="O213" s="141"/>
      <c r="P213" s="146"/>
      <c r="Q213" s="217">
        <f>Q214</f>
        <v>5282.8</v>
      </c>
      <c r="R213" s="217">
        <f aca="true" t="shared" si="13" ref="R213:S216">R214</f>
        <v>95.3</v>
      </c>
      <c r="S213" s="217">
        <f t="shared" si="13"/>
        <v>27.5</v>
      </c>
    </row>
    <row r="214" spans="1:19" ht="34.5" customHeight="1">
      <c r="A214" s="97"/>
      <c r="B214" s="98"/>
      <c r="C214" s="97"/>
      <c r="D214" s="101"/>
      <c r="E214" s="115"/>
      <c r="F214" s="115"/>
      <c r="G214" s="89"/>
      <c r="H214" s="18" t="s">
        <v>792</v>
      </c>
      <c r="I214" s="6">
        <v>27</v>
      </c>
      <c r="J214" s="19">
        <v>5</v>
      </c>
      <c r="K214" s="16">
        <v>3</v>
      </c>
      <c r="L214" s="95" t="s">
        <v>790</v>
      </c>
      <c r="M214" s="96" t="s">
        <v>556</v>
      </c>
      <c r="N214" s="96" t="s">
        <v>576</v>
      </c>
      <c r="O214" s="96" t="s">
        <v>613</v>
      </c>
      <c r="P214" s="6"/>
      <c r="Q214" s="216">
        <f>Q215+Q218</f>
        <v>5282.8</v>
      </c>
      <c r="R214" s="216">
        <f t="shared" si="13"/>
        <v>95.3</v>
      </c>
      <c r="S214" s="216">
        <f t="shared" si="13"/>
        <v>27.5</v>
      </c>
    </row>
    <row r="215" spans="1:19" ht="31.5" customHeight="1">
      <c r="A215" s="97"/>
      <c r="B215" s="98"/>
      <c r="C215" s="97"/>
      <c r="D215" s="101"/>
      <c r="E215" s="115"/>
      <c r="F215" s="115"/>
      <c r="G215" s="89"/>
      <c r="H215" s="128" t="s">
        <v>120</v>
      </c>
      <c r="I215" s="6">
        <v>27</v>
      </c>
      <c r="J215" s="19">
        <v>5</v>
      </c>
      <c r="K215" s="16">
        <v>3</v>
      </c>
      <c r="L215" s="95" t="s">
        <v>790</v>
      </c>
      <c r="M215" s="96" t="s">
        <v>556</v>
      </c>
      <c r="N215" s="96" t="s">
        <v>810</v>
      </c>
      <c r="O215" s="96" t="s">
        <v>613</v>
      </c>
      <c r="P215" s="6"/>
      <c r="Q215" s="216">
        <f>Q216</f>
        <v>282.99999999999994</v>
      </c>
      <c r="R215" s="216">
        <f t="shared" si="13"/>
        <v>95.3</v>
      </c>
      <c r="S215" s="216">
        <f t="shared" si="13"/>
        <v>27.5</v>
      </c>
    </row>
    <row r="216" spans="1:19" ht="33" customHeight="1">
      <c r="A216" s="97"/>
      <c r="B216" s="98"/>
      <c r="C216" s="97"/>
      <c r="D216" s="101"/>
      <c r="E216" s="115"/>
      <c r="F216" s="115"/>
      <c r="G216" s="89"/>
      <c r="H216" s="18" t="s">
        <v>791</v>
      </c>
      <c r="I216" s="6">
        <v>27</v>
      </c>
      <c r="J216" s="19">
        <v>5</v>
      </c>
      <c r="K216" s="16">
        <v>3</v>
      </c>
      <c r="L216" s="95" t="s">
        <v>790</v>
      </c>
      <c r="M216" s="96" t="s">
        <v>556</v>
      </c>
      <c r="N216" s="96" t="s">
        <v>810</v>
      </c>
      <c r="O216" s="96" t="s">
        <v>811</v>
      </c>
      <c r="P216" s="6"/>
      <c r="Q216" s="216">
        <f>Q217</f>
        <v>282.99999999999994</v>
      </c>
      <c r="R216" s="216">
        <f t="shared" si="13"/>
        <v>95.3</v>
      </c>
      <c r="S216" s="216">
        <f t="shared" si="13"/>
        <v>27.5</v>
      </c>
    </row>
    <row r="217" spans="1:19" ht="27" customHeight="1">
      <c r="A217" s="97"/>
      <c r="B217" s="98"/>
      <c r="C217" s="97"/>
      <c r="D217" s="101"/>
      <c r="E217" s="115"/>
      <c r="F217" s="115"/>
      <c r="G217" s="89"/>
      <c r="H217" s="18" t="s">
        <v>712</v>
      </c>
      <c r="I217" s="6">
        <v>27</v>
      </c>
      <c r="J217" s="19">
        <v>5</v>
      </c>
      <c r="K217" s="16">
        <v>3</v>
      </c>
      <c r="L217" s="95" t="s">
        <v>790</v>
      </c>
      <c r="M217" s="96" t="s">
        <v>556</v>
      </c>
      <c r="N217" s="96" t="s">
        <v>810</v>
      </c>
      <c r="O217" s="96" t="s">
        <v>811</v>
      </c>
      <c r="P217" s="6">
        <v>240</v>
      </c>
      <c r="Q217" s="216">
        <f>313.2-10.1-20.1</f>
        <v>282.99999999999994</v>
      </c>
      <c r="R217" s="216">
        <v>95.3</v>
      </c>
      <c r="S217" s="216">
        <v>27.5</v>
      </c>
    </row>
    <row r="218" spans="1:19" ht="30.75" customHeight="1">
      <c r="A218" s="97"/>
      <c r="B218" s="98"/>
      <c r="C218" s="97"/>
      <c r="D218" s="101"/>
      <c r="E218" s="115"/>
      <c r="F218" s="115"/>
      <c r="G218" s="89"/>
      <c r="H218" s="18" t="s">
        <v>793</v>
      </c>
      <c r="I218" s="6">
        <v>27</v>
      </c>
      <c r="J218" s="19">
        <v>5</v>
      </c>
      <c r="K218" s="16">
        <v>3</v>
      </c>
      <c r="L218" s="95" t="s">
        <v>790</v>
      </c>
      <c r="M218" s="96" t="s">
        <v>556</v>
      </c>
      <c r="N218" s="96" t="s">
        <v>557</v>
      </c>
      <c r="O218" s="96" t="s">
        <v>613</v>
      </c>
      <c r="P218" s="6"/>
      <c r="Q218" s="216">
        <f>Q219</f>
        <v>4999.8</v>
      </c>
      <c r="R218" s="216"/>
      <c r="S218" s="216"/>
    </row>
    <row r="219" spans="1:19" ht="27" customHeight="1">
      <c r="A219" s="97"/>
      <c r="B219" s="98"/>
      <c r="C219" s="97"/>
      <c r="D219" s="101"/>
      <c r="E219" s="115"/>
      <c r="F219" s="115"/>
      <c r="G219" s="89"/>
      <c r="H219" s="18" t="s">
        <v>828</v>
      </c>
      <c r="I219" s="6">
        <v>27</v>
      </c>
      <c r="J219" s="19">
        <v>5</v>
      </c>
      <c r="K219" s="16">
        <v>3</v>
      </c>
      <c r="L219" s="95" t="s">
        <v>790</v>
      </c>
      <c r="M219" s="96" t="s">
        <v>556</v>
      </c>
      <c r="N219" s="96" t="s">
        <v>557</v>
      </c>
      <c r="O219" s="96" t="s">
        <v>829</v>
      </c>
      <c r="P219" s="6"/>
      <c r="Q219" s="216">
        <f>Q220</f>
        <v>4999.8</v>
      </c>
      <c r="R219" s="216"/>
      <c r="S219" s="216"/>
    </row>
    <row r="220" spans="1:19" ht="27" customHeight="1">
      <c r="A220" s="97"/>
      <c r="B220" s="98"/>
      <c r="C220" s="97"/>
      <c r="D220" s="101"/>
      <c r="E220" s="115"/>
      <c r="F220" s="115"/>
      <c r="G220" s="89"/>
      <c r="H220" s="116" t="s">
        <v>640</v>
      </c>
      <c r="I220" s="6">
        <v>27</v>
      </c>
      <c r="J220" s="19">
        <v>5</v>
      </c>
      <c r="K220" s="16">
        <v>3</v>
      </c>
      <c r="L220" s="95" t="s">
        <v>790</v>
      </c>
      <c r="M220" s="96" t="s">
        <v>556</v>
      </c>
      <c r="N220" s="96" t="s">
        <v>557</v>
      </c>
      <c r="O220" s="96" t="s">
        <v>829</v>
      </c>
      <c r="P220" s="6">
        <v>540</v>
      </c>
      <c r="Q220" s="216">
        <f>5000-0.2</f>
        <v>4999.8</v>
      </c>
      <c r="R220" s="216"/>
      <c r="S220" s="216"/>
    </row>
    <row r="221" spans="1:19" s="179" customFormat="1" ht="24.75" customHeight="1">
      <c r="A221" s="142"/>
      <c r="B221" s="143"/>
      <c r="C221" s="142"/>
      <c r="D221" s="150"/>
      <c r="E221" s="151"/>
      <c r="F221" s="151"/>
      <c r="G221" s="136"/>
      <c r="H221" s="249" t="s">
        <v>639</v>
      </c>
      <c r="I221" s="250">
        <v>27</v>
      </c>
      <c r="J221" s="147">
        <v>5</v>
      </c>
      <c r="K221" s="139">
        <v>5</v>
      </c>
      <c r="L221" s="140"/>
      <c r="M221" s="141"/>
      <c r="N221" s="141"/>
      <c r="O221" s="141"/>
      <c r="P221" s="146"/>
      <c r="Q221" s="217">
        <f>Q222+Q227</f>
        <v>4571.499999999999</v>
      </c>
      <c r="R221" s="217">
        <f>R222+R227</f>
        <v>400</v>
      </c>
      <c r="S221" s="217">
        <f>S222+S227</f>
        <v>400</v>
      </c>
    </row>
    <row r="222" spans="1:19" s="179" customFormat="1" ht="24.75" customHeight="1">
      <c r="A222" s="142"/>
      <c r="B222" s="143"/>
      <c r="C222" s="142"/>
      <c r="D222" s="150"/>
      <c r="E222" s="151"/>
      <c r="F222" s="151"/>
      <c r="G222" s="136"/>
      <c r="H222" s="11" t="s">
        <v>292</v>
      </c>
      <c r="I222" s="6">
        <v>27</v>
      </c>
      <c r="J222" s="19">
        <v>5</v>
      </c>
      <c r="K222" s="16">
        <v>5</v>
      </c>
      <c r="L222" s="95" t="s">
        <v>573</v>
      </c>
      <c r="M222" s="96" t="s">
        <v>556</v>
      </c>
      <c r="N222" s="96" t="s">
        <v>576</v>
      </c>
      <c r="O222" s="96" t="s">
        <v>613</v>
      </c>
      <c r="P222" s="146"/>
      <c r="Q222" s="217">
        <f>Q223+Q225</f>
        <v>4150.799999999999</v>
      </c>
      <c r="R222" s="217">
        <f>R223+R225</f>
        <v>0</v>
      </c>
      <c r="S222" s="217">
        <f>S223+S225</f>
        <v>0</v>
      </c>
    </row>
    <row r="223" spans="1:19" ht="48" customHeight="1">
      <c r="A223" s="99"/>
      <c r="B223" s="98"/>
      <c r="C223" s="97"/>
      <c r="D223" s="101"/>
      <c r="E223" s="115"/>
      <c r="F223" s="115"/>
      <c r="G223" s="89"/>
      <c r="H223" s="116" t="s">
        <v>257</v>
      </c>
      <c r="I223" s="8">
        <v>27</v>
      </c>
      <c r="J223" s="19">
        <v>5</v>
      </c>
      <c r="K223" s="16">
        <v>5</v>
      </c>
      <c r="L223" s="95" t="s">
        <v>573</v>
      </c>
      <c r="M223" s="96" t="s">
        <v>556</v>
      </c>
      <c r="N223" s="96" t="s">
        <v>576</v>
      </c>
      <c r="O223" s="96" t="s">
        <v>645</v>
      </c>
      <c r="P223" s="6"/>
      <c r="Q223" s="216">
        <f>Q224</f>
        <v>1874.1999999999998</v>
      </c>
      <c r="R223" s="216">
        <f>R224</f>
        <v>0</v>
      </c>
      <c r="S223" s="216">
        <f>S224</f>
        <v>0</v>
      </c>
    </row>
    <row r="224" spans="1:19" ht="26.25" customHeight="1">
      <c r="A224" s="99"/>
      <c r="B224" s="98"/>
      <c r="C224" s="97"/>
      <c r="D224" s="101"/>
      <c r="E224" s="115"/>
      <c r="F224" s="115"/>
      <c r="G224" s="89"/>
      <c r="H224" s="116" t="s">
        <v>640</v>
      </c>
      <c r="I224" s="8">
        <v>27</v>
      </c>
      <c r="J224" s="19">
        <v>5</v>
      </c>
      <c r="K224" s="16">
        <v>5</v>
      </c>
      <c r="L224" s="95" t="s">
        <v>573</v>
      </c>
      <c r="M224" s="96" t="s">
        <v>556</v>
      </c>
      <c r="N224" s="96" t="s">
        <v>576</v>
      </c>
      <c r="O224" s="96" t="s">
        <v>645</v>
      </c>
      <c r="P224" s="6">
        <v>540</v>
      </c>
      <c r="Q224" s="214">
        <f>1359.1+15.1+500</f>
        <v>1874.1999999999998</v>
      </c>
      <c r="R224" s="216"/>
      <c r="S224" s="216"/>
    </row>
    <row r="225" spans="1:19" ht="39" customHeight="1">
      <c r="A225" s="99"/>
      <c r="B225" s="98"/>
      <c r="C225" s="97"/>
      <c r="D225" s="101"/>
      <c r="E225" s="115"/>
      <c r="F225" s="115"/>
      <c r="G225" s="89"/>
      <c r="H225" s="116" t="s">
        <v>259</v>
      </c>
      <c r="I225" s="8">
        <v>27</v>
      </c>
      <c r="J225" s="19">
        <v>5</v>
      </c>
      <c r="K225" s="16">
        <v>5</v>
      </c>
      <c r="L225" s="95" t="s">
        <v>573</v>
      </c>
      <c r="M225" s="96" t="s">
        <v>556</v>
      </c>
      <c r="N225" s="96" t="s">
        <v>576</v>
      </c>
      <c r="O225" s="96" t="s">
        <v>258</v>
      </c>
      <c r="P225" s="6"/>
      <c r="Q225" s="216">
        <f>Q226</f>
        <v>2276.6</v>
      </c>
      <c r="R225" s="216"/>
      <c r="S225" s="216"/>
    </row>
    <row r="226" spans="1:19" ht="26.25" customHeight="1">
      <c r="A226" s="99"/>
      <c r="B226" s="98"/>
      <c r="C226" s="97"/>
      <c r="D226" s="101"/>
      <c r="E226" s="115"/>
      <c r="F226" s="115"/>
      <c r="G226" s="89"/>
      <c r="H226" s="116" t="s">
        <v>640</v>
      </c>
      <c r="I226" s="8">
        <v>27</v>
      </c>
      <c r="J226" s="19">
        <v>5</v>
      </c>
      <c r="K226" s="16">
        <v>5</v>
      </c>
      <c r="L226" s="95" t="s">
        <v>573</v>
      </c>
      <c r="M226" s="96" t="s">
        <v>556</v>
      </c>
      <c r="N226" s="96" t="s">
        <v>576</v>
      </c>
      <c r="O226" s="96" t="s">
        <v>258</v>
      </c>
      <c r="P226" s="6">
        <v>540</v>
      </c>
      <c r="Q226" s="214">
        <f>1140.9+250+607+134.2+10+134.5</f>
        <v>2276.6</v>
      </c>
      <c r="R226" s="216"/>
      <c r="S226" s="216"/>
    </row>
    <row r="227" spans="1:19" ht="28.5" customHeight="1">
      <c r="A227" s="99"/>
      <c r="B227" s="98"/>
      <c r="C227" s="97"/>
      <c r="D227" s="101"/>
      <c r="E227" s="115"/>
      <c r="F227" s="115"/>
      <c r="G227" s="89"/>
      <c r="H227" s="5" t="s">
        <v>260</v>
      </c>
      <c r="I227" s="8">
        <v>27</v>
      </c>
      <c r="J227" s="19">
        <v>5</v>
      </c>
      <c r="K227" s="16">
        <v>5</v>
      </c>
      <c r="L227" s="95" t="s">
        <v>578</v>
      </c>
      <c r="M227" s="96" t="s">
        <v>558</v>
      </c>
      <c r="N227" s="96" t="s">
        <v>576</v>
      </c>
      <c r="O227" s="96" t="s">
        <v>347</v>
      </c>
      <c r="P227" s="6"/>
      <c r="Q227" s="216">
        <f>Q228</f>
        <v>420.7</v>
      </c>
      <c r="R227" s="216">
        <f>R228</f>
        <v>400</v>
      </c>
      <c r="S227" s="216">
        <f>S228</f>
        <v>400</v>
      </c>
    </row>
    <row r="228" spans="1:19" ht="28.5" customHeight="1">
      <c r="A228" s="99"/>
      <c r="B228" s="98"/>
      <c r="C228" s="97"/>
      <c r="D228" s="101"/>
      <c r="E228" s="115"/>
      <c r="F228" s="115"/>
      <c r="G228" s="89"/>
      <c r="H228" s="117" t="s">
        <v>712</v>
      </c>
      <c r="I228" s="6">
        <v>27</v>
      </c>
      <c r="J228" s="19">
        <v>5</v>
      </c>
      <c r="K228" s="16">
        <v>5</v>
      </c>
      <c r="L228" s="95" t="s">
        <v>578</v>
      </c>
      <c r="M228" s="96" t="s">
        <v>558</v>
      </c>
      <c r="N228" s="96" t="s">
        <v>576</v>
      </c>
      <c r="O228" s="96" t="s">
        <v>347</v>
      </c>
      <c r="P228" s="6">
        <v>240</v>
      </c>
      <c r="Q228" s="216">
        <f>366+54.7</f>
        <v>420.7</v>
      </c>
      <c r="R228" s="216">
        <v>400</v>
      </c>
      <c r="S228" s="216">
        <v>400</v>
      </c>
    </row>
    <row r="229" spans="1:19" s="179" customFormat="1" ht="24" customHeight="1">
      <c r="A229" s="142"/>
      <c r="B229" s="143"/>
      <c r="C229" s="153"/>
      <c r="D229" s="150"/>
      <c r="E229" s="154"/>
      <c r="F229" s="154"/>
      <c r="G229" s="155">
        <v>611</v>
      </c>
      <c r="H229" s="149" t="s">
        <v>543</v>
      </c>
      <c r="I229" s="152">
        <v>27</v>
      </c>
      <c r="J229" s="156">
        <v>6</v>
      </c>
      <c r="K229" s="139"/>
      <c r="L229" s="140"/>
      <c r="M229" s="141"/>
      <c r="N229" s="141"/>
      <c r="O229" s="141"/>
      <c r="P229" s="146"/>
      <c r="Q229" s="217">
        <f>Q230+Q233</f>
        <v>1628.5</v>
      </c>
      <c r="R229" s="217">
        <f>R230+R233</f>
        <v>136.9</v>
      </c>
      <c r="S229" s="217">
        <f>S230+S233</f>
        <v>136.8</v>
      </c>
    </row>
    <row r="230" spans="1:19" s="179" customFormat="1" ht="24" customHeight="1">
      <c r="A230" s="142"/>
      <c r="B230" s="143"/>
      <c r="C230" s="153"/>
      <c r="D230" s="150"/>
      <c r="E230" s="154"/>
      <c r="F230" s="154"/>
      <c r="G230" s="155"/>
      <c r="H230" s="149" t="s">
        <v>542</v>
      </c>
      <c r="I230" s="152">
        <v>27</v>
      </c>
      <c r="J230" s="156">
        <v>6</v>
      </c>
      <c r="K230" s="139">
        <v>3</v>
      </c>
      <c r="L230" s="140"/>
      <c r="M230" s="141"/>
      <c r="N230" s="141"/>
      <c r="O230" s="141"/>
      <c r="P230" s="146"/>
      <c r="Q230" s="217">
        <f aca="true" t="shared" si="14" ref="Q230:S231">Q231</f>
        <v>1.5</v>
      </c>
      <c r="R230" s="217">
        <f t="shared" si="14"/>
        <v>27.4</v>
      </c>
      <c r="S230" s="217">
        <f t="shared" si="14"/>
        <v>27.4</v>
      </c>
    </row>
    <row r="231" spans="1:19" ht="48" customHeight="1">
      <c r="A231" s="97"/>
      <c r="B231" s="98"/>
      <c r="C231" s="103"/>
      <c r="D231" s="101"/>
      <c r="E231" s="113"/>
      <c r="F231" s="113"/>
      <c r="G231" s="105"/>
      <c r="H231" s="5" t="s">
        <v>760</v>
      </c>
      <c r="I231" s="8">
        <v>27</v>
      </c>
      <c r="J231" s="21">
        <v>6</v>
      </c>
      <c r="K231" s="16">
        <v>3</v>
      </c>
      <c r="L231" s="95" t="s">
        <v>573</v>
      </c>
      <c r="M231" s="96" t="s">
        <v>556</v>
      </c>
      <c r="N231" s="96" t="s">
        <v>576</v>
      </c>
      <c r="O231" s="96" t="s">
        <v>759</v>
      </c>
      <c r="P231" s="6"/>
      <c r="Q231" s="216">
        <f t="shared" si="14"/>
        <v>1.5</v>
      </c>
      <c r="R231" s="216">
        <f t="shared" si="14"/>
        <v>27.4</v>
      </c>
      <c r="S231" s="216">
        <f t="shared" si="14"/>
        <v>27.4</v>
      </c>
    </row>
    <row r="232" spans="1:19" ht="24" customHeight="1">
      <c r="A232" s="97"/>
      <c r="B232" s="98"/>
      <c r="C232" s="103"/>
      <c r="D232" s="101"/>
      <c r="E232" s="113"/>
      <c r="F232" s="113"/>
      <c r="G232" s="105"/>
      <c r="H232" s="5" t="s">
        <v>712</v>
      </c>
      <c r="I232" s="8">
        <v>27</v>
      </c>
      <c r="J232" s="21">
        <v>6</v>
      </c>
      <c r="K232" s="16">
        <v>3</v>
      </c>
      <c r="L232" s="95" t="s">
        <v>573</v>
      </c>
      <c r="M232" s="96" t="s">
        <v>556</v>
      </c>
      <c r="N232" s="96" t="s">
        <v>576</v>
      </c>
      <c r="O232" s="96" t="s">
        <v>759</v>
      </c>
      <c r="P232" s="6">
        <v>240</v>
      </c>
      <c r="Q232" s="216">
        <f>27.4-25.9</f>
        <v>1.5</v>
      </c>
      <c r="R232" s="216">
        <v>27.4</v>
      </c>
      <c r="S232" s="216">
        <v>27.4</v>
      </c>
    </row>
    <row r="233" spans="1:19" s="179" customFormat="1" ht="24.75" customHeight="1">
      <c r="A233" s="142"/>
      <c r="B233" s="143"/>
      <c r="C233" s="153"/>
      <c r="D233" s="150"/>
      <c r="E233" s="154"/>
      <c r="F233" s="154"/>
      <c r="G233" s="155">
        <v>621</v>
      </c>
      <c r="H233" s="149" t="s">
        <v>541</v>
      </c>
      <c r="I233" s="152">
        <v>27</v>
      </c>
      <c r="J233" s="156">
        <v>6</v>
      </c>
      <c r="K233" s="139">
        <v>5</v>
      </c>
      <c r="L233" s="140"/>
      <c r="M233" s="141"/>
      <c r="N233" s="141"/>
      <c r="O233" s="141"/>
      <c r="P233" s="146"/>
      <c r="Q233" s="217">
        <f>Q234+Q237</f>
        <v>1627</v>
      </c>
      <c r="R233" s="217">
        <f>R234+R237</f>
        <v>109.5</v>
      </c>
      <c r="S233" s="217">
        <f>S234+S237</f>
        <v>109.4</v>
      </c>
    </row>
    <row r="234" spans="1:19" ht="18.75" customHeight="1">
      <c r="A234" s="99"/>
      <c r="B234" s="98"/>
      <c r="C234" s="103"/>
      <c r="D234" s="107"/>
      <c r="E234" s="104"/>
      <c r="F234" s="104"/>
      <c r="G234" s="105"/>
      <c r="H234" s="172" t="s">
        <v>807</v>
      </c>
      <c r="I234" s="8">
        <v>27</v>
      </c>
      <c r="J234" s="19">
        <v>6</v>
      </c>
      <c r="K234" s="16">
        <v>5</v>
      </c>
      <c r="L234" s="95" t="s">
        <v>573</v>
      </c>
      <c r="M234" s="96" t="s">
        <v>556</v>
      </c>
      <c r="N234" s="96" t="s">
        <v>576</v>
      </c>
      <c r="O234" s="96" t="s">
        <v>806</v>
      </c>
      <c r="P234" s="6"/>
      <c r="Q234" s="216">
        <f>SUM(Q235:Q236)</f>
        <v>132</v>
      </c>
      <c r="R234" s="216">
        <f>SUM(R235:R235)</f>
        <v>109.5</v>
      </c>
      <c r="S234" s="216">
        <f>SUM(S235:S235)</f>
        <v>109.4</v>
      </c>
    </row>
    <row r="235" spans="1:19" ht="23.25" customHeight="1">
      <c r="A235" s="99"/>
      <c r="B235" s="98"/>
      <c r="C235" s="103"/>
      <c r="D235" s="107"/>
      <c r="E235" s="104"/>
      <c r="F235" s="104"/>
      <c r="G235" s="105"/>
      <c r="H235" s="3" t="s">
        <v>526</v>
      </c>
      <c r="I235" s="8">
        <v>27</v>
      </c>
      <c r="J235" s="19">
        <v>6</v>
      </c>
      <c r="K235" s="16">
        <v>5</v>
      </c>
      <c r="L235" s="95" t="s">
        <v>573</v>
      </c>
      <c r="M235" s="96" t="s">
        <v>556</v>
      </c>
      <c r="N235" s="96" t="s">
        <v>576</v>
      </c>
      <c r="O235" s="96" t="s">
        <v>806</v>
      </c>
      <c r="P235" s="6">
        <v>120</v>
      </c>
      <c r="Q235" s="216">
        <f>110-7</f>
        <v>103</v>
      </c>
      <c r="R235" s="239">
        <v>109.5</v>
      </c>
      <c r="S235" s="239">
        <v>109.4</v>
      </c>
    </row>
    <row r="236" spans="1:19" ht="23.25" customHeight="1">
      <c r="A236" s="99"/>
      <c r="B236" s="98"/>
      <c r="C236" s="103"/>
      <c r="D236" s="107"/>
      <c r="E236" s="104"/>
      <c r="F236" s="104"/>
      <c r="G236" s="105"/>
      <c r="H236" s="5" t="s">
        <v>712</v>
      </c>
      <c r="I236" s="8">
        <v>27</v>
      </c>
      <c r="J236" s="19">
        <v>6</v>
      </c>
      <c r="K236" s="16">
        <v>5</v>
      </c>
      <c r="L236" s="95" t="s">
        <v>573</v>
      </c>
      <c r="M236" s="96" t="s">
        <v>556</v>
      </c>
      <c r="N236" s="96" t="s">
        <v>576</v>
      </c>
      <c r="O236" s="96" t="s">
        <v>806</v>
      </c>
      <c r="P236" s="6">
        <v>240</v>
      </c>
      <c r="Q236" s="216">
        <v>29</v>
      </c>
      <c r="R236" s="239"/>
      <c r="S236" s="239"/>
    </row>
    <row r="237" spans="1:19" ht="35.25" customHeight="1">
      <c r="A237" s="99"/>
      <c r="B237" s="98"/>
      <c r="C237" s="103"/>
      <c r="D237" s="109"/>
      <c r="E237" s="104"/>
      <c r="F237" s="104"/>
      <c r="G237" s="105">
        <v>622</v>
      </c>
      <c r="H237" s="3" t="s">
        <v>637</v>
      </c>
      <c r="I237" s="8">
        <v>27</v>
      </c>
      <c r="J237" s="21">
        <v>6</v>
      </c>
      <c r="K237" s="16">
        <v>5</v>
      </c>
      <c r="L237" s="95" t="s">
        <v>577</v>
      </c>
      <c r="M237" s="96" t="s">
        <v>556</v>
      </c>
      <c r="N237" s="96" t="s">
        <v>576</v>
      </c>
      <c r="O237" s="96" t="s">
        <v>613</v>
      </c>
      <c r="P237" s="6"/>
      <c r="Q237" s="216">
        <f>Q238</f>
        <v>1495</v>
      </c>
      <c r="R237" s="216"/>
      <c r="S237" s="216"/>
    </row>
    <row r="238" spans="1:19" ht="33.75" customHeight="1">
      <c r="A238" s="99"/>
      <c r="B238" s="98"/>
      <c r="C238" s="106"/>
      <c r="D238" s="107"/>
      <c r="E238" s="104"/>
      <c r="F238" s="104"/>
      <c r="G238" s="105"/>
      <c r="H238" s="116" t="s">
        <v>303</v>
      </c>
      <c r="I238" s="8">
        <v>27</v>
      </c>
      <c r="J238" s="21">
        <v>6</v>
      </c>
      <c r="K238" s="16">
        <v>5</v>
      </c>
      <c r="L238" s="95" t="s">
        <v>577</v>
      </c>
      <c r="M238" s="96" t="s">
        <v>556</v>
      </c>
      <c r="N238" s="96" t="s">
        <v>585</v>
      </c>
      <c r="O238" s="96" t="s">
        <v>613</v>
      </c>
      <c r="P238" s="6"/>
      <c r="Q238" s="216">
        <f>Q239</f>
        <v>1495</v>
      </c>
      <c r="R238" s="216"/>
      <c r="S238" s="216"/>
    </row>
    <row r="239" spans="1:19" ht="24.75" customHeight="1">
      <c r="A239" s="99"/>
      <c r="B239" s="98"/>
      <c r="C239" s="106"/>
      <c r="D239" s="107"/>
      <c r="E239" s="104"/>
      <c r="F239" s="104"/>
      <c r="G239" s="105"/>
      <c r="H239" s="116" t="s">
        <v>262</v>
      </c>
      <c r="I239" s="8">
        <v>27</v>
      </c>
      <c r="J239" s="21">
        <v>6</v>
      </c>
      <c r="K239" s="16">
        <v>5</v>
      </c>
      <c r="L239" s="95" t="s">
        <v>577</v>
      </c>
      <c r="M239" s="96" t="s">
        <v>556</v>
      </c>
      <c r="N239" s="96" t="s">
        <v>585</v>
      </c>
      <c r="O239" s="96" t="s">
        <v>261</v>
      </c>
      <c r="P239" s="6"/>
      <c r="Q239" s="216">
        <f>Q240</f>
        <v>1495</v>
      </c>
      <c r="R239" s="216"/>
      <c r="S239" s="216"/>
    </row>
    <row r="240" spans="1:19" ht="33.75" customHeight="1">
      <c r="A240" s="99"/>
      <c r="B240" s="98"/>
      <c r="C240" s="106"/>
      <c r="D240" s="107"/>
      <c r="E240" s="104"/>
      <c r="F240" s="104"/>
      <c r="G240" s="105"/>
      <c r="H240" s="116" t="s">
        <v>712</v>
      </c>
      <c r="I240" s="8">
        <v>27</v>
      </c>
      <c r="J240" s="21">
        <v>6</v>
      </c>
      <c r="K240" s="16">
        <v>5</v>
      </c>
      <c r="L240" s="95" t="s">
        <v>577</v>
      </c>
      <c r="M240" s="96" t="s">
        <v>556</v>
      </c>
      <c r="N240" s="96" t="s">
        <v>585</v>
      </c>
      <c r="O240" s="96" t="s">
        <v>261</v>
      </c>
      <c r="P240" s="6">
        <v>240</v>
      </c>
      <c r="Q240" s="216">
        <f>9675-2987-5180-13</f>
        <v>1495</v>
      </c>
      <c r="R240" s="216"/>
      <c r="S240" s="216"/>
    </row>
    <row r="241" spans="1:19" s="179" customFormat="1" ht="26.25" customHeight="1">
      <c r="A241" s="142"/>
      <c r="B241" s="143"/>
      <c r="C241" s="157"/>
      <c r="D241" s="144"/>
      <c r="E241" s="145"/>
      <c r="F241" s="145"/>
      <c r="G241" s="155">
        <v>612</v>
      </c>
      <c r="H241" s="149" t="s">
        <v>538</v>
      </c>
      <c r="I241" s="152">
        <v>27</v>
      </c>
      <c r="J241" s="156">
        <v>7</v>
      </c>
      <c r="K241" s="139"/>
      <c r="L241" s="140"/>
      <c r="M241" s="141"/>
      <c r="N241" s="141"/>
      <c r="O241" s="141"/>
      <c r="P241" s="146"/>
      <c r="Q241" s="217">
        <f>Q242+Q249</f>
        <v>7653.7</v>
      </c>
      <c r="R241" s="217">
        <f>R242+R249</f>
        <v>8550</v>
      </c>
      <c r="S241" s="217">
        <f>S242+S249</f>
        <v>8550</v>
      </c>
    </row>
    <row r="242" spans="1:19" s="179" customFormat="1" ht="20.25" customHeight="1">
      <c r="A242" s="142"/>
      <c r="B242" s="143"/>
      <c r="C242" s="375">
        <v>703</v>
      </c>
      <c r="D242" s="376"/>
      <c r="E242" s="376"/>
      <c r="F242" s="376"/>
      <c r="G242" s="136">
        <v>612</v>
      </c>
      <c r="H242" s="137" t="s">
        <v>340</v>
      </c>
      <c r="I242" s="146">
        <v>27</v>
      </c>
      <c r="J242" s="139">
        <v>7</v>
      </c>
      <c r="K242" s="139">
        <v>3</v>
      </c>
      <c r="L242" s="140"/>
      <c r="M242" s="141"/>
      <c r="N242" s="141"/>
      <c r="O242" s="141"/>
      <c r="P242" s="146"/>
      <c r="Q242" s="217">
        <f>Q243</f>
        <v>7529</v>
      </c>
      <c r="R242" s="217">
        <f aca="true" t="shared" si="15" ref="R242:S244">R243</f>
        <v>8000</v>
      </c>
      <c r="S242" s="217">
        <f t="shared" si="15"/>
        <v>8000</v>
      </c>
    </row>
    <row r="243" spans="1:19" s="179" customFormat="1" ht="29.25" customHeight="1">
      <c r="A243" s="142"/>
      <c r="B243" s="143"/>
      <c r="C243" s="153"/>
      <c r="D243" s="235"/>
      <c r="E243" s="166"/>
      <c r="F243" s="166"/>
      <c r="G243" s="136"/>
      <c r="H243" s="257" t="s">
        <v>658</v>
      </c>
      <c r="I243" s="10">
        <v>27</v>
      </c>
      <c r="J243" s="16">
        <v>7</v>
      </c>
      <c r="K243" s="16">
        <v>3</v>
      </c>
      <c r="L243" s="95" t="s">
        <v>659</v>
      </c>
      <c r="M243" s="96" t="s">
        <v>556</v>
      </c>
      <c r="N243" s="96" t="s">
        <v>576</v>
      </c>
      <c r="O243" s="96" t="s">
        <v>613</v>
      </c>
      <c r="P243" s="6"/>
      <c r="Q243" s="216">
        <f>Q244</f>
        <v>7529</v>
      </c>
      <c r="R243" s="216">
        <f t="shared" si="15"/>
        <v>8000</v>
      </c>
      <c r="S243" s="216">
        <f t="shared" si="15"/>
        <v>8000</v>
      </c>
    </row>
    <row r="244" spans="1:19" s="179" customFormat="1" ht="35.25" customHeight="1">
      <c r="A244" s="142"/>
      <c r="B244" s="143"/>
      <c r="C244" s="153"/>
      <c r="D244" s="235"/>
      <c r="E244" s="166"/>
      <c r="F244" s="166"/>
      <c r="G244" s="136"/>
      <c r="H244" s="257" t="s">
        <v>660</v>
      </c>
      <c r="I244" s="10">
        <v>27</v>
      </c>
      <c r="J244" s="16">
        <v>7</v>
      </c>
      <c r="K244" s="16">
        <v>3</v>
      </c>
      <c r="L244" s="95" t="s">
        <v>659</v>
      </c>
      <c r="M244" s="96" t="s">
        <v>556</v>
      </c>
      <c r="N244" s="96" t="s">
        <v>581</v>
      </c>
      <c r="O244" s="96" t="s">
        <v>613</v>
      </c>
      <c r="P244" s="6"/>
      <c r="Q244" s="216">
        <f>Q245+Q247</f>
        <v>7529</v>
      </c>
      <c r="R244" s="216">
        <f t="shared" si="15"/>
        <v>8000</v>
      </c>
      <c r="S244" s="216">
        <f t="shared" si="15"/>
        <v>8000</v>
      </c>
    </row>
    <row r="245" spans="1:19" s="179" customFormat="1" ht="20.25" customHeight="1">
      <c r="A245" s="142"/>
      <c r="B245" s="143"/>
      <c r="C245" s="153"/>
      <c r="D245" s="235"/>
      <c r="E245" s="166"/>
      <c r="F245" s="166"/>
      <c r="G245" s="136"/>
      <c r="H245" s="257" t="s">
        <v>328</v>
      </c>
      <c r="I245" s="10">
        <v>27</v>
      </c>
      <c r="J245" s="16">
        <v>7</v>
      </c>
      <c r="K245" s="16">
        <v>3</v>
      </c>
      <c r="L245" s="95" t="s">
        <v>659</v>
      </c>
      <c r="M245" s="96" t="s">
        <v>556</v>
      </c>
      <c r="N245" s="96" t="s">
        <v>581</v>
      </c>
      <c r="O245" s="96" t="s">
        <v>263</v>
      </c>
      <c r="P245" s="6"/>
      <c r="Q245" s="216">
        <f>Q246</f>
        <v>5758.1</v>
      </c>
      <c r="R245" s="216">
        <f>R246</f>
        <v>8000</v>
      </c>
      <c r="S245" s="216">
        <f>S246</f>
        <v>8000</v>
      </c>
    </row>
    <row r="246" spans="1:19" s="179" customFormat="1" ht="20.25" customHeight="1">
      <c r="A246" s="142"/>
      <c r="B246" s="143"/>
      <c r="C246" s="153"/>
      <c r="D246" s="235"/>
      <c r="E246" s="166"/>
      <c r="F246" s="166"/>
      <c r="G246" s="136"/>
      <c r="H246" s="257" t="s">
        <v>714</v>
      </c>
      <c r="I246" s="10">
        <v>27</v>
      </c>
      <c r="J246" s="16">
        <v>7</v>
      </c>
      <c r="K246" s="16">
        <v>3</v>
      </c>
      <c r="L246" s="95" t="s">
        <v>659</v>
      </c>
      <c r="M246" s="96" t="s">
        <v>556</v>
      </c>
      <c r="N246" s="96" t="s">
        <v>581</v>
      </c>
      <c r="O246" s="96" t="s">
        <v>263</v>
      </c>
      <c r="P246" s="6">
        <v>610</v>
      </c>
      <c r="Q246" s="216">
        <v>5758.1</v>
      </c>
      <c r="R246" s="216">
        <v>8000</v>
      </c>
      <c r="S246" s="216">
        <v>8000</v>
      </c>
    </row>
    <row r="247" spans="1:19" ht="31.5" customHeight="1">
      <c r="A247" s="97"/>
      <c r="B247" s="98"/>
      <c r="C247" s="103"/>
      <c r="D247" s="111"/>
      <c r="E247" s="114"/>
      <c r="F247" s="114"/>
      <c r="G247" s="89"/>
      <c r="H247" s="257" t="s">
        <v>61</v>
      </c>
      <c r="I247" s="10">
        <v>27</v>
      </c>
      <c r="J247" s="16">
        <v>7</v>
      </c>
      <c r="K247" s="16">
        <v>3</v>
      </c>
      <c r="L247" s="95" t="s">
        <v>659</v>
      </c>
      <c r="M247" s="96" t="s">
        <v>556</v>
      </c>
      <c r="N247" s="96" t="s">
        <v>581</v>
      </c>
      <c r="O247" s="96" t="s">
        <v>60</v>
      </c>
      <c r="P247" s="10"/>
      <c r="Q247" s="214">
        <f>Q248</f>
        <v>1770.9</v>
      </c>
      <c r="R247" s="216"/>
      <c r="S247" s="216"/>
    </row>
    <row r="248" spans="1:19" ht="20.25" customHeight="1">
      <c r="A248" s="97"/>
      <c r="B248" s="98"/>
      <c r="C248" s="103"/>
      <c r="D248" s="111"/>
      <c r="E248" s="114"/>
      <c r="F248" s="114"/>
      <c r="G248" s="89"/>
      <c r="H248" s="257" t="s">
        <v>714</v>
      </c>
      <c r="I248" s="10">
        <v>27</v>
      </c>
      <c r="J248" s="16">
        <v>7</v>
      </c>
      <c r="K248" s="16">
        <v>3</v>
      </c>
      <c r="L248" s="95" t="s">
        <v>659</v>
      </c>
      <c r="M248" s="96" t="s">
        <v>556</v>
      </c>
      <c r="N248" s="96" t="s">
        <v>581</v>
      </c>
      <c r="O248" s="96" t="s">
        <v>60</v>
      </c>
      <c r="P248" s="10">
        <v>610</v>
      </c>
      <c r="Q248" s="214">
        <f>1186.9+251.1+332.9</f>
        <v>1770.9</v>
      </c>
      <c r="R248" s="216"/>
      <c r="S248" s="216"/>
    </row>
    <row r="249" spans="1:19" s="179" customFormat="1" ht="18.75" customHeight="1">
      <c r="A249" s="142"/>
      <c r="B249" s="143"/>
      <c r="C249" s="375">
        <v>704</v>
      </c>
      <c r="D249" s="376"/>
      <c r="E249" s="376"/>
      <c r="F249" s="376"/>
      <c r="G249" s="136">
        <v>622</v>
      </c>
      <c r="H249" s="137" t="s">
        <v>331</v>
      </c>
      <c r="I249" s="146">
        <v>27</v>
      </c>
      <c r="J249" s="139">
        <v>7</v>
      </c>
      <c r="K249" s="139">
        <v>7</v>
      </c>
      <c r="L249" s="140"/>
      <c r="M249" s="141"/>
      <c r="N249" s="141"/>
      <c r="O249" s="141"/>
      <c r="P249" s="138"/>
      <c r="Q249" s="213">
        <f>Q250</f>
        <v>124.7</v>
      </c>
      <c r="R249" s="213">
        <f>R250</f>
        <v>550</v>
      </c>
      <c r="S249" s="213">
        <f>S250</f>
        <v>550</v>
      </c>
    </row>
    <row r="250" spans="1:19" ht="18.75" customHeight="1">
      <c r="A250" s="99"/>
      <c r="B250" s="98"/>
      <c r="C250" s="97"/>
      <c r="D250" s="94"/>
      <c r="E250" s="94"/>
      <c r="F250" s="94"/>
      <c r="G250" s="89"/>
      <c r="H250" s="5" t="s">
        <v>662</v>
      </c>
      <c r="I250" s="6">
        <v>27</v>
      </c>
      <c r="J250" s="16">
        <v>7</v>
      </c>
      <c r="K250" s="16">
        <v>7</v>
      </c>
      <c r="L250" s="95" t="s">
        <v>661</v>
      </c>
      <c r="M250" s="96" t="s">
        <v>556</v>
      </c>
      <c r="N250" s="96" t="s">
        <v>576</v>
      </c>
      <c r="O250" s="96" t="s">
        <v>613</v>
      </c>
      <c r="P250" s="10"/>
      <c r="Q250" s="214">
        <f>Q251+Q258+Q261</f>
        <v>124.7</v>
      </c>
      <c r="R250" s="214">
        <f>R251+R258+R261</f>
        <v>550</v>
      </c>
      <c r="S250" s="214">
        <f>S251+S258+S261</f>
        <v>550</v>
      </c>
    </row>
    <row r="251" spans="1:19" ht="38.25" customHeight="1">
      <c r="A251" s="99"/>
      <c r="B251" s="98"/>
      <c r="C251" s="97"/>
      <c r="D251" s="368">
        <v>4270000</v>
      </c>
      <c r="E251" s="368"/>
      <c r="F251" s="368"/>
      <c r="G251" s="89">
        <v>622</v>
      </c>
      <c r="H251" s="18" t="s">
        <v>664</v>
      </c>
      <c r="I251" s="6">
        <v>27</v>
      </c>
      <c r="J251" s="16">
        <v>7</v>
      </c>
      <c r="K251" s="16">
        <v>7</v>
      </c>
      <c r="L251" s="95" t="s">
        <v>661</v>
      </c>
      <c r="M251" s="96" t="s">
        <v>556</v>
      </c>
      <c r="N251" s="96" t="s">
        <v>557</v>
      </c>
      <c r="O251" s="96" t="s">
        <v>613</v>
      </c>
      <c r="P251" s="10"/>
      <c r="Q251" s="214">
        <f>Q252+Q256+Q254</f>
        <v>102.7</v>
      </c>
      <c r="R251" s="214">
        <f>R252+R256</f>
        <v>200</v>
      </c>
      <c r="S251" s="214">
        <f>S252+S256</f>
        <v>200</v>
      </c>
    </row>
    <row r="252" spans="1:19" ht="28.5" customHeight="1">
      <c r="A252" s="99"/>
      <c r="B252" s="98"/>
      <c r="C252" s="97"/>
      <c r="D252" s="101"/>
      <c r="E252" s="115"/>
      <c r="F252" s="115"/>
      <c r="G252" s="89"/>
      <c r="H252" s="18" t="s">
        <v>255</v>
      </c>
      <c r="I252" s="6">
        <v>27</v>
      </c>
      <c r="J252" s="16">
        <v>7</v>
      </c>
      <c r="K252" s="16">
        <v>7</v>
      </c>
      <c r="L252" s="95" t="s">
        <v>661</v>
      </c>
      <c r="M252" s="96" t="s">
        <v>556</v>
      </c>
      <c r="N252" s="96" t="s">
        <v>557</v>
      </c>
      <c r="O252" s="96" t="s">
        <v>256</v>
      </c>
      <c r="P252" s="6"/>
      <c r="Q252" s="216">
        <f>Q253</f>
        <v>22.700000000000003</v>
      </c>
      <c r="R252" s="216">
        <f>R253</f>
        <v>200</v>
      </c>
      <c r="S252" s="216">
        <f>S253</f>
        <v>200</v>
      </c>
    </row>
    <row r="253" spans="1:19" ht="21.75" customHeight="1">
      <c r="A253" s="99"/>
      <c r="B253" s="98"/>
      <c r="C253" s="97"/>
      <c r="D253" s="101"/>
      <c r="E253" s="115"/>
      <c r="F253" s="115"/>
      <c r="G253" s="89"/>
      <c r="H253" s="257" t="s">
        <v>714</v>
      </c>
      <c r="I253" s="6">
        <v>27</v>
      </c>
      <c r="J253" s="16">
        <v>7</v>
      </c>
      <c r="K253" s="16">
        <v>7</v>
      </c>
      <c r="L253" s="95" t="s">
        <v>661</v>
      </c>
      <c r="M253" s="96" t="s">
        <v>556</v>
      </c>
      <c r="N253" s="96" t="s">
        <v>557</v>
      </c>
      <c r="O253" s="96" t="s">
        <v>256</v>
      </c>
      <c r="P253" s="6">
        <v>610</v>
      </c>
      <c r="Q253" s="216">
        <f>200-40-50-87.3</f>
        <v>22.700000000000003</v>
      </c>
      <c r="R253" s="216">
        <v>200</v>
      </c>
      <c r="S253" s="216">
        <v>200</v>
      </c>
    </row>
    <row r="254" spans="1:19" ht="21.75" customHeight="1">
      <c r="A254" s="99"/>
      <c r="B254" s="98"/>
      <c r="C254" s="97"/>
      <c r="D254" s="101"/>
      <c r="E254" s="115"/>
      <c r="F254" s="115"/>
      <c r="G254" s="89"/>
      <c r="H254" s="257" t="s">
        <v>187</v>
      </c>
      <c r="I254" s="6">
        <v>27</v>
      </c>
      <c r="J254" s="16">
        <v>7</v>
      </c>
      <c r="K254" s="16">
        <v>7</v>
      </c>
      <c r="L254" s="95" t="s">
        <v>661</v>
      </c>
      <c r="M254" s="96" t="s">
        <v>556</v>
      </c>
      <c r="N254" s="96" t="s">
        <v>557</v>
      </c>
      <c r="O254" s="96" t="s">
        <v>186</v>
      </c>
      <c r="P254" s="6"/>
      <c r="Q254" s="216">
        <f>Q255</f>
        <v>40</v>
      </c>
      <c r="R254" s="216"/>
      <c r="S254" s="216"/>
    </row>
    <row r="255" spans="1:19" ht="21.75" customHeight="1">
      <c r="A255" s="99"/>
      <c r="B255" s="98"/>
      <c r="C255" s="97"/>
      <c r="D255" s="101"/>
      <c r="E255" s="115"/>
      <c r="F255" s="115"/>
      <c r="G255" s="89"/>
      <c r="H255" s="116" t="s">
        <v>712</v>
      </c>
      <c r="I255" s="6">
        <v>27</v>
      </c>
      <c r="J255" s="16">
        <v>7</v>
      </c>
      <c r="K255" s="16">
        <v>7</v>
      </c>
      <c r="L255" s="95" t="s">
        <v>661</v>
      </c>
      <c r="M255" s="96" t="s">
        <v>556</v>
      </c>
      <c r="N255" s="96" t="s">
        <v>557</v>
      </c>
      <c r="O255" s="96" t="s">
        <v>186</v>
      </c>
      <c r="P255" s="6">
        <v>240</v>
      </c>
      <c r="Q255" s="216">
        <v>40</v>
      </c>
      <c r="R255" s="216"/>
      <c r="S255" s="216"/>
    </row>
    <row r="256" spans="1:19" ht="36.75" customHeight="1">
      <c r="A256" s="99"/>
      <c r="B256" s="98"/>
      <c r="C256" s="97"/>
      <c r="D256" s="101"/>
      <c r="E256" s="115"/>
      <c r="F256" s="115"/>
      <c r="G256" s="89"/>
      <c r="H256" s="5" t="s">
        <v>663</v>
      </c>
      <c r="I256" s="6">
        <v>27</v>
      </c>
      <c r="J256" s="16">
        <v>7</v>
      </c>
      <c r="K256" s="16">
        <v>7</v>
      </c>
      <c r="L256" s="95" t="s">
        <v>661</v>
      </c>
      <c r="M256" s="96" t="s">
        <v>556</v>
      </c>
      <c r="N256" s="96" t="s">
        <v>557</v>
      </c>
      <c r="O256" s="96" t="s">
        <v>234</v>
      </c>
      <c r="P256" s="6"/>
      <c r="Q256" s="216">
        <f>Q257</f>
        <v>40</v>
      </c>
      <c r="R256" s="216">
        <f>R257</f>
        <v>0</v>
      </c>
      <c r="S256" s="216">
        <f>S257</f>
        <v>0</v>
      </c>
    </row>
    <row r="257" spans="1:19" ht="27" customHeight="1">
      <c r="A257" s="99"/>
      <c r="B257" s="98"/>
      <c r="C257" s="103"/>
      <c r="D257" s="101"/>
      <c r="E257" s="113"/>
      <c r="F257" s="113"/>
      <c r="G257" s="105"/>
      <c r="H257" s="257" t="s">
        <v>714</v>
      </c>
      <c r="I257" s="6">
        <v>27</v>
      </c>
      <c r="J257" s="19">
        <v>7</v>
      </c>
      <c r="K257" s="16">
        <v>7</v>
      </c>
      <c r="L257" s="95" t="s">
        <v>661</v>
      </c>
      <c r="M257" s="96" t="s">
        <v>556</v>
      </c>
      <c r="N257" s="96" t="s">
        <v>557</v>
      </c>
      <c r="O257" s="96" t="s">
        <v>234</v>
      </c>
      <c r="P257" s="6">
        <v>610</v>
      </c>
      <c r="Q257" s="216">
        <v>40</v>
      </c>
      <c r="R257" s="216">
        <v>0</v>
      </c>
      <c r="S257" s="216">
        <v>0</v>
      </c>
    </row>
    <row r="258" spans="1:19" ht="33.75" customHeight="1">
      <c r="A258" s="99"/>
      <c r="B258" s="98"/>
      <c r="C258" s="103"/>
      <c r="D258" s="101"/>
      <c r="E258" s="113"/>
      <c r="F258" s="113"/>
      <c r="G258" s="105"/>
      <c r="H258" s="129" t="s">
        <v>665</v>
      </c>
      <c r="I258" s="6">
        <v>27</v>
      </c>
      <c r="J258" s="19">
        <v>7</v>
      </c>
      <c r="K258" s="16">
        <v>7</v>
      </c>
      <c r="L258" s="95" t="s">
        <v>661</v>
      </c>
      <c r="M258" s="96" t="s">
        <v>556</v>
      </c>
      <c r="N258" s="96" t="s">
        <v>585</v>
      </c>
      <c r="O258" s="96" t="s">
        <v>613</v>
      </c>
      <c r="P258" s="6"/>
      <c r="Q258" s="216">
        <f aca="true" t="shared" si="16" ref="Q258:S259">Q259</f>
        <v>12.5</v>
      </c>
      <c r="R258" s="216">
        <f t="shared" si="16"/>
        <v>200</v>
      </c>
      <c r="S258" s="216">
        <f t="shared" si="16"/>
        <v>200</v>
      </c>
    </row>
    <row r="259" spans="1:19" ht="27" customHeight="1">
      <c r="A259" s="99"/>
      <c r="B259" s="98"/>
      <c r="C259" s="103"/>
      <c r="D259" s="101"/>
      <c r="E259" s="113"/>
      <c r="F259" s="113"/>
      <c r="G259" s="105"/>
      <c r="H259" s="129" t="s">
        <v>255</v>
      </c>
      <c r="I259" s="6">
        <v>27</v>
      </c>
      <c r="J259" s="19">
        <v>7</v>
      </c>
      <c r="K259" s="16">
        <v>7</v>
      </c>
      <c r="L259" s="95" t="s">
        <v>661</v>
      </c>
      <c r="M259" s="96" t="s">
        <v>556</v>
      </c>
      <c r="N259" s="96" t="s">
        <v>585</v>
      </c>
      <c r="O259" s="96" t="s">
        <v>256</v>
      </c>
      <c r="P259" s="6"/>
      <c r="Q259" s="216">
        <f t="shared" si="16"/>
        <v>12.5</v>
      </c>
      <c r="R259" s="216">
        <f t="shared" si="16"/>
        <v>200</v>
      </c>
      <c r="S259" s="216">
        <f t="shared" si="16"/>
        <v>200</v>
      </c>
    </row>
    <row r="260" spans="1:19" ht="27" customHeight="1">
      <c r="A260" s="99"/>
      <c r="B260" s="98"/>
      <c r="C260" s="103"/>
      <c r="D260" s="101"/>
      <c r="E260" s="113"/>
      <c r="F260" s="113"/>
      <c r="G260" s="105"/>
      <c r="H260" s="257" t="s">
        <v>714</v>
      </c>
      <c r="I260" s="6">
        <v>27</v>
      </c>
      <c r="J260" s="19">
        <v>7</v>
      </c>
      <c r="K260" s="16">
        <v>7</v>
      </c>
      <c r="L260" s="95" t="s">
        <v>661</v>
      </c>
      <c r="M260" s="96" t="s">
        <v>556</v>
      </c>
      <c r="N260" s="96" t="s">
        <v>585</v>
      </c>
      <c r="O260" s="96" t="s">
        <v>256</v>
      </c>
      <c r="P260" s="6">
        <v>610</v>
      </c>
      <c r="Q260" s="216">
        <f>100-50-37.5</f>
        <v>12.5</v>
      </c>
      <c r="R260" s="216">
        <v>200</v>
      </c>
      <c r="S260" s="216">
        <v>200</v>
      </c>
    </row>
    <row r="261" spans="1:19" ht="33" customHeight="1">
      <c r="A261" s="99"/>
      <c r="B261" s="98"/>
      <c r="C261" s="103"/>
      <c r="D261" s="101"/>
      <c r="E261" s="113"/>
      <c r="F261" s="113"/>
      <c r="G261" s="105"/>
      <c r="H261" s="129" t="s">
        <v>666</v>
      </c>
      <c r="I261" s="6">
        <v>27</v>
      </c>
      <c r="J261" s="19">
        <v>7</v>
      </c>
      <c r="K261" s="16">
        <v>7</v>
      </c>
      <c r="L261" s="95" t="s">
        <v>661</v>
      </c>
      <c r="M261" s="96" t="s">
        <v>556</v>
      </c>
      <c r="N261" s="96" t="s">
        <v>586</v>
      </c>
      <c r="O261" s="96" t="s">
        <v>613</v>
      </c>
      <c r="P261" s="6"/>
      <c r="Q261" s="216">
        <f aca="true" t="shared" si="17" ref="Q261:S262">Q262</f>
        <v>9.5</v>
      </c>
      <c r="R261" s="216">
        <f t="shared" si="17"/>
        <v>150</v>
      </c>
      <c r="S261" s="216">
        <f t="shared" si="17"/>
        <v>150</v>
      </c>
    </row>
    <row r="262" spans="1:19" ht="27" customHeight="1">
      <c r="A262" s="99"/>
      <c r="B262" s="98"/>
      <c r="C262" s="103"/>
      <c r="D262" s="101"/>
      <c r="E262" s="113"/>
      <c r="F262" s="113"/>
      <c r="G262" s="105"/>
      <c r="H262" s="129" t="s">
        <v>255</v>
      </c>
      <c r="I262" s="6">
        <v>27</v>
      </c>
      <c r="J262" s="19">
        <v>7</v>
      </c>
      <c r="K262" s="16">
        <v>7</v>
      </c>
      <c r="L262" s="95" t="s">
        <v>661</v>
      </c>
      <c r="M262" s="96" t="s">
        <v>556</v>
      </c>
      <c r="N262" s="96" t="s">
        <v>586</v>
      </c>
      <c r="O262" s="96" t="s">
        <v>256</v>
      </c>
      <c r="P262" s="6"/>
      <c r="Q262" s="216">
        <f t="shared" si="17"/>
        <v>9.5</v>
      </c>
      <c r="R262" s="216">
        <f t="shared" si="17"/>
        <v>150</v>
      </c>
      <c r="S262" s="216">
        <f t="shared" si="17"/>
        <v>150</v>
      </c>
    </row>
    <row r="263" spans="1:19" ht="27" customHeight="1">
      <c r="A263" s="99"/>
      <c r="B263" s="98"/>
      <c r="C263" s="103"/>
      <c r="D263" s="101"/>
      <c r="E263" s="113"/>
      <c r="F263" s="113"/>
      <c r="G263" s="105"/>
      <c r="H263" s="257" t="s">
        <v>714</v>
      </c>
      <c r="I263" s="6">
        <v>27</v>
      </c>
      <c r="J263" s="19">
        <v>7</v>
      </c>
      <c r="K263" s="16">
        <v>7</v>
      </c>
      <c r="L263" s="95" t="s">
        <v>661</v>
      </c>
      <c r="M263" s="96" t="s">
        <v>556</v>
      </c>
      <c r="N263" s="96" t="s">
        <v>586</v>
      </c>
      <c r="O263" s="96" t="s">
        <v>256</v>
      </c>
      <c r="P263" s="6">
        <v>610</v>
      </c>
      <c r="Q263" s="216">
        <f>100-15.3-75.2</f>
        <v>9.5</v>
      </c>
      <c r="R263" s="216">
        <v>150</v>
      </c>
      <c r="S263" s="216">
        <v>150</v>
      </c>
    </row>
    <row r="264" spans="1:19" s="179" customFormat="1" ht="24.75" customHeight="1">
      <c r="A264" s="142"/>
      <c r="B264" s="143"/>
      <c r="C264" s="142"/>
      <c r="D264" s="385">
        <v>10000</v>
      </c>
      <c r="E264" s="386"/>
      <c r="F264" s="386"/>
      <c r="G264" s="136">
        <v>240</v>
      </c>
      <c r="H264" s="137" t="s">
        <v>535</v>
      </c>
      <c r="I264" s="138">
        <v>27</v>
      </c>
      <c r="J264" s="139">
        <v>8</v>
      </c>
      <c r="K264" s="139"/>
      <c r="L264" s="140"/>
      <c r="M264" s="141"/>
      <c r="N264" s="141"/>
      <c r="O264" s="141"/>
      <c r="P264" s="138"/>
      <c r="Q264" s="213">
        <f aca="true" t="shared" si="18" ref="Q264:S265">Q265</f>
        <v>40005.2</v>
      </c>
      <c r="R264" s="213">
        <f t="shared" si="18"/>
        <v>28683.5</v>
      </c>
      <c r="S264" s="213">
        <f t="shared" si="18"/>
        <v>26972.6</v>
      </c>
    </row>
    <row r="265" spans="1:19" s="179" customFormat="1" ht="25.5" customHeight="1">
      <c r="A265" s="142"/>
      <c r="B265" s="143"/>
      <c r="C265" s="153"/>
      <c r="D265" s="150"/>
      <c r="E265" s="384">
        <v>15200</v>
      </c>
      <c r="F265" s="384"/>
      <c r="G265" s="136">
        <v>240</v>
      </c>
      <c r="H265" s="137" t="s">
        <v>374</v>
      </c>
      <c r="I265" s="138">
        <v>27</v>
      </c>
      <c r="J265" s="139">
        <v>8</v>
      </c>
      <c r="K265" s="139">
        <v>1</v>
      </c>
      <c r="L265" s="140"/>
      <c r="M265" s="141"/>
      <c r="N265" s="141"/>
      <c r="O265" s="141"/>
      <c r="P265" s="138"/>
      <c r="Q265" s="213">
        <f t="shared" si="18"/>
        <v>40005.2</v>
      </c>
      <c r="R265" s="213">
        <f t="shared" si="18"/>
        <v>28683.5</v>
      </c>
      <c r="S265" s="213">
        <f t="shared" si="18"/>
        <v>26972.6</v>
      </c>
    </row>
    <row r="266" spans="1:19" ht="25.5" customHeight="1">
      <c r="A266" s="99"/>
      <c r="B266" s="98"/>
      <c r="C266" s="103"/>
      <c r="D266" s="101"/>
      <c r="E266" s="372">
        <v>20400</v>
      </c>
      <c r="F266" s="372"/>
      <c r="G266" s="89">
        <v>850</v>
      </c>
      <c r="H266" s="5" t="s">
        <v>658</v>
      </c>
      <c r="I266" s="10">
        <v>27</v>
      </c>
      <c r="J266" s="16">
        <v>8</v>
      </c>
      <c r="K266" s="16">
        <v>1</v>
      </c>
      <c r="L266" s="95" t="s">
        <v>659</v>
      </c>
      <c r="M266" s="96" t="s">
        <v>556</v>
      </c>
      <c r="N266" s="96" t="s">
        <v>576</v>
      </c>
      <c r="O266" s="96" t="s">
        <v>613</v>
      </c>
      <c r="P266" s="10"/>
      <c r="Q266" s="214">
        <f>Q267+Q278+Q283</f>
        <v>40005.2</v>
      </c>
      <c r="R266" s="214">
        <f>R267+R278+R283</f>
        <v>28683.5</v>
      </c>
      <c r="S266" s="214">
        <f>S267+S278+S283</f>
        <v>26972.6</v>
      </c>
    </row>
    <row r="267" spans="1:19" ht="39.75" customHeight="1">
      <c r="A267" s="99"/>
      <c r="B267" s="98"/>
      <c r="C267" s="103"/>
      <c r="D267" s="101"/>
      <c r="E267" s="113"/>
      <c r="F267" s="113"/>
      <c r="G267" s="105">
        <v>120</v>
      </c>
      <c r="H267" s="18" t="s">
        <v>294</v>
      </c>
      <c r="I267" s="6">
        <v>27</v>
      </c>
      <c r="J267" s="16">
        <v>8</v>
      </c>
      <c r="K267" s="16">
        <v>1</v>
      </c>
      <c r="L267" s="95" t="s">
        <v>659</v>
      </c>
      <c r="M267" s="96" t="s">
        <v>556</v>
      </c>
      <c r="N267" s="96" t="s">
        <v>557</v>
      </c>
      <c r="O267" s="96" t="s">
        <v>613</v>
      </c>
      <c r="P267" s="6"/>
      <c r="Q267" s="216">
        <f>Q268+Q274+Q276+Q272+Q270</f>
        <v>13174.1</v>
      </c>
      <c r="R267" s="216">
        <f>R268+R274+R276</f>
        <v>14682.6</v>
      </c>
      <c r="S267" s="216">
        <f>S268+S274+S276</f>
        <v>14521.6</v>
      </c>
    </row>
    <row r="268" spans="1:19" ht="25.5" customHeight="1">
      <c r="A268" s="99"/>
      <c r="B268" s="98"/>
      <c r="C268" s="103"/>
      <c r="D268" s="101"/>
      <c r="E268" s="113"/>
      <c r="F268" s="113"/>
      <c r="G268" s="105"/>
      <c r="H268" s="18" t="s">
        <v>296</v>
      </c>
      <c r="I268" s="10">
        <v>27</v>
      </c>
      <c r="J268" s="16">
        <v>8</v>
      </c>
      <c r="K268" s="16">
        <v>1</v>
      </c>
      <c r="L268" s="95" t="s">
        <v>659</v>
      </c>
      <c r="M268" s="96" t="s">
        <v>556</v>
      </c>
      <c r="N268" s="96" t="s">
        <v>557</v>
      </c>
      <c r="O268" s="96" t="s">
        <v>295</v>
      </c>
      <c r="P268" s="6"/>
      <c r="Q268" s="216">
        <f>Q269</f>
        <v>9865.6</v>
      </c>
      <c r="R268" s="216">
        <f>R269</f>
        <v>12161</v>
      </c>
      <c r="S268" s="216">
        <f>S269</f>
        <v>12000</v>
      </c>
    </row>
    <row r="269" spans="1:19" ht="24.75" customHeight="1">
      <c r="A269" s="99"/>
      <c r="B269" s="98"/>
      <c r="C269" s="103"/>
      <c r="D269" s="101"/>
      <c r="E269" s="113"/>
      <c r="F269" s="113"/>
      <c r="G269" s="105"/>
      <c r="H269" s="257" t="s">
        <v>714</v>
      </c>
      <c r="I269" s="10">
        <v>27</v>
      </c>
      <c r="J269" s="16">
        <v>8</v>
      </c>
      <c r="K269" s="16">
        <v>1</v>
      </c>
      <c r="L269" s="95" t="s">
        <v>659</v>
      </c>
      <c r="M269" s="96" t="s">
        <v>556</v>
      </c>
      <c r="N269" s="96" t="s">
        <v>557</v>
      </c>
      <c r="O269" s="96" t="s">
        <v>295</v>
      </c>
      <c r="P269" s="6">
        <v>610</v>
      </c>
      <c r="Q269" s="216">
        <f>9887.2-0.2-21.4</f>
        <v>9865.6</v>
      </c>
      <c r="R269" s="216">
        <v>12161</v>
      </c>
      <c r="S269" s="216">
        <v>12000</v>
      </c>
    </row>
    <row r="270" spans="1:19" ht="46.5" customHeight="1">
      <c r="A270" s="99"/>
      <c r="B270" s="98"/>
      <c r="C270" s="103"/>
      <c r="D270" s="101"/>
      <c r="E270" s="113"/>
      <c r="F270" s="113"/>
      <c r="G270" s="105"/>
      <c r="H270" s="257" t="s">
        <v>838</v>
      </c>
      <c r="I270" s="10">
        <v>27</v>
      </c>
      <c r="J270" s="16">
        <v>8</v>
      </c>
      <c r="K270" s="16">
        <v>1</v>
      </c>
      <c r="L270" s="95" t="s">
        <v>659</v>
      </c>
      <c r="M270" s="96" t="s">
        <v>556</v>
      </c>
      <c r="N270" s="96" t="s">
        <v>557</v>
      </c>
      <c r="O270" s="96" t="s">
        <v>837</v>
      </c>
      <c r="P270" s="6"/>
      <c r="Q270" s="216">
        <f>Q271</f>
        <v>41.900000000000006</v>
      </c>
      <c r="R270" s="216"/>
      <c r="S270" s="216"/>
    </row>
    <row r="271" spans="1:19" ht="24.75" customHeight="1">
      <c r="A271" s="99"/>
      <c r="B271" s="98"/>
      <c r="C271" s="103"/>
      <c r="D271" s="101"/>
      <c r="E271" s="113"/>
      <c r="F271" s="113"/>
      <c r="G271" s="105"/>
      <c r="H271" s="257" t="s">
        <v>714</v>
      </c>
      <c r="I271" s="10">
        <v>27</v>
      </c>
      <c r="J271" s="16">
        <v>8</v>
      </c>
      <c r="K271" s="16">
        <v>1</v>
      </c>
      <c r="L271" s="95" t="s">
        <v>659</v>
      </c>
      <c r="M271" s="96" t="s">
        <v>556</v>
      </c>
      <c r="N271" s="96" t="s">
        <v>557</v>
      </c>
      <c r="O271" s="96" t="s">
        <v>837</v>
      </c>
      <c r="P271" s="6">
        <v>610</v>
      </c>
      <c r="Q271" s="216">
        <f>41.7+0.2</f>
        <v>41.900000000000006</v>
      </c>
      <c r="R271" s="216"/>
      <c r="S271" s="216"/>
    </row>
    <row r="272" spans="1:19" ht="30" customHeight="1">
      <c r="A272" s="99"/>
      <c r="B272" s="98"/>
      <c r="C272" s="103"/>
      <c r="D272" s="101"/>
      <c r="E272" s="113"/>
      <c r="F272" s="113"/>
      <c r="G272" s="105"/>
      <c r="H272" s="257" t="s">
        <v>61</v>
      </c>
      <c r="I272" s="10">
        <v>27</v>
      </c>
      <c r="J272" s="16">
        <v>8</v>
      </c>
      <c r="K272" s="16">
        <v>1</v>
      </c>
      <c r="L272" s="95" t="s">
        <v>659</v>
      </c>
      <c r="M272" s="96" t="s">
        <v>556</v>
      </c>
      <c r="N272" s="96" t="s">
        <v>557</v>
      </c>
      <c r="O272" s="96" t="s">
        <v>60</v>
      </c>
      <c r="P272" s="6"/>
      <c r="Q272" s="216">
        <f>Q273</f>
        <v>1224.1</v>
      </c>
      <c r="R272" s="216"/>
      <c r="S272" s="216"/>
    </row>
    <row r="273" spans="1:19" ht="24.75" customHeight="1">
      <c r="A273" s="99"/>
      <c r="B273" s="98"/>
      <c r="C273" s="103"/>
      <c r="D273" s="101"/>
      <c r="E273" s="113"/>
      <c r="F273" s="113"/>
      <c r="G273" s="105"/>
      <c r="H273" s="257" t="s">
        <v>714</v>
      </c>
      <c r="I273" s="10">
        <v>27</v>
      </c>
      <c r="J273" s="16">
        <v>8</v>
      </c>
      <c r="K273" s="16">
        <v>1</v>
      </c>
      <c r="L273" s="95" t="s">
        <v>659</v>
      </c>
      <c r="M273" s="96" t="s">
        <v>556</v>
      </c>
      <c r="N273" s="96" t="s">
        <v>557</v>
      </c>
      <c r="O273" s="96" t="s">
        <v>60</v>
      </c>
      <c r="P273" s="6">
        <v>610</v>
      </c>
      <c r="Q273" s="216">
        <v>1224.1</v>
      </c>
      <c r="R273" s="216"/>
      <c r="S273" s="216"/>
    </row>
    <row r="274" spans="1:19" ht="24.75" customHeight="1">
      <c r="A274" s="99"/>
      <c r="B274" s="98"/>
      <c r="C274" s="103"/>
      <c r="D274" s="101"/>
      <c r="E274" s="113"/>
      <c r="F274" s="113"/>
      <c r="G274" s="105"/>
      <c r="H274" s="5" t="s">
        <v>805</v>
      </c>
      <c r="I274" s="10">
        <v>27</v>
      </c>
      <c r="J274" s="16">
        <v>8</v>
      </c>
      <c r="K274" s="16">
        <v>1</v>
      </c>
      <c r="L274" s="95" t="s">
        <v>659</v>
      </c>
      <c r="M274" s="96" t="s">
        <v>556</v>
      </c>
      <c r="N274" s="96" t="s">
        <v>557</v>
      </c>
      <c r="O274" s="96" t="s">
        <v>804</v>
      </c>
      <c r="P274" s="6"/>
      <c r="Q274" s="216">
        <f>Q275</f>
        <v>340</v>
      </c>
      <c r="R274" s="216">
        <f>R275</f>
        <v>340</v>
      </c>
      <c r="S274" s="216">
        <f>S275</f>
        <v>340</v>
      </c>
    </row>
    <row r="275" spans="1:19" ht="24" customHeight="1">
      <c r="A275" s="99"/>
      <c r="B275" s="98"/>
      <c r="C275" s="103"/>
      <c r="D275" s="101"/>
      <c r="E275" s="113"/>
      <c r="F275" s="113"/>
      <c r="G275" s="105"/>
      <c r="H275" s="257" t="s">
        <v>714</v>
      </c>
      <c r="I275" s="10">
        <v>27</v>
      </c>
      <c r="J275" s="16">
        <v>8</v>
      </c>
      <c r="K275" s="16">
        <v>1</v>
      </c>
      <c r="L275" s="95" t="s">
        <v>659</v>
      </c>
      <c r="M275" s="96" t="s">
        <v>556</v>
      </c>
      <c r="N275" s="96" t="s">
        <v>557</v>
      </c>
      <c r="O275" s="96" t="s">
        <v>804</v>
      </c>
      <c r="P275" s="6">
        <v>610</v>
      </c>
      <c r="Q275" s="216">
        <v>340</v>
      </c>
      <c r="R275" s="216">
        <v>340</v>
      </c>
      <c r="S275" s="216">
        <v>340</v>
      </c>
    </row>
    <row r="276" spans="1:19" ht="27" customHeight="1">
      <c r="A276" s="99"/>
      <c r="B276" s="98"/>
      <c r="C276" s="103"/>
      <c r="D276" s="101"/>
      <c r="E276" s="113"/>
      <c r="F276" s="113"/>
      <c r="G276" s="105"/>
      <c r="H276" s="5" t="s">
        <v>668</v>
      </c>
      <c r="I276" s="10">
        <v>27</v>
      </c>
      <c r="J276" s="16">
        <v>8</v>
      </c>
      <c r="K276" s="16">
        <v>1</v>
      </c>
      <c r="L276" s="95" t="s">
        <v>659</v>
      </c>
      <c r="M276" s="96" t="s">
        <v>556</v>
      </c>
      <c r="N276" s="96" t="s">
        <v>557</v>
      </c>
      <c r="O276" s="96" t="s">
        <v>6</v>
      </c>
      <c r="P276" s="6"/>
      <c r="Q276" s="216">
        <f>Q277</f>
        <v>1702.5</v>
      </c>
      <c r="R276" s="216">
        <f>R277</f>
        <v>2181.6</v>
      </c>
      <c r="S276" s="216">
        <f>S277</f>
        <v>2181.6</v>
      </c>
    </row>
    <row r="277" spans="1:19" ht="30" customHeight="1">
      <c r="A277" s="99"/>
      <c r="B277" s="98"/>
      <c r="C277" s="103"/>
      <c r="D277" s="101"/>
      <c r="E277" s="113"/>
      <c r="F277" s="113"/>
      <c r="G277" s="105"/>
      <c r="H277" s="257" t="s">
        <v>714</v>
      </c>
      <c r="I277" s="10">
        <v>27</v>
      </c>
      <c r="J277" s="16">
        <v>8</v>
      </c>
      <c r="K277" s="16">
        <v>1</v>
      </c>
      <c r="L277" s="95" t="s">
        <v>659</v>
      </c>
      <c r="M277" s="96" t="s">
        <v>556</v>
      </c>
      <c r="N277" s="96" t="s">
        <v>557</v>
      </c>
      <c r="O277" s="96" t="s">
        <v>6</v>
      </c>
      <c r="P277" s="6">
        <v>610</v>
      </c>
      <c r="Q277" s="216">
        <f>1572+49.1-1.9+61.9+21.4</f>
        <v>1702.5</v>
      </c>
      <c r="R277" s="216">
        <v>2181.6</v>
      </c>
      <c r="S277" s="216">
        <v>2181.6</v>
      </c>
    </row>
    <row r="278" spans="1:19" ht="32.25" customHeight="1">
      <c r="A278" s="99"/>
      <c r="B278" s="98"/>
      <c r="C278" s="103"/>
      <c r="D278" s="101"/>
      <c r="E278" s="113"/>
      <c r="F278" s="113"/>
      <c r="G278" s="105"/>
      <c r="H278" s="5" t="s">
        <v>669</v>
      </c>
      <c r="I278" s="10">
        <v>27</v>
      </c>
      <c r="J278" s="16">
        <v>8</v>
      </c>
      <c r="K278" s="16">
        <v>1</v>
      </c>
      <c r="L278" s="95" t="s">
        <v>659</v>
      </c>
      <c r="M278" s="96" t="s">
        <v>556</v>
      </c>
      <c r="N278" s="96" t="s">
        <v>585</v>
      </c>
      <c r="O278" s="96" t="s">
        <v>613</v>
      </c>
      <c r="P278" s="6"/>
      <c r="Q278" s="216">
        <f>Q279+Q281</f>
        <v>12142.6</v>
      </c>
      <c r="R278" s="216">
        <f aca="true" t="shared" si="19" ref="Q278:S279">R279</f>
        <v>14000.9</v>
      </c>
      <c r="S278" s="216">
        <f t="shared" si="19"/>
        <v>12451</v>
      </c>
    </row>
    <row r="279" spans="1:19" ht="33" customHeight="1">
      <c r="A279" s="99"/>
      <c r="B279" s="98"/>
      <c r="C279" s="103"/>
      <c r="D279" s="101"/>
      <c r="E279" s="113"/>
      <c r="F279" s="113"/>
      <c r="G279" s="105"/>
      <c r="H279" s="5" t="s">
        <v>255</v>
      </c>
      <c r="I279" s="10">
        <v>27</v>
      </c>
      <c r="J279" s="16">
        <v>8</v>
      </c>
      <c r="K279" s="16">
        <v>1</v>
      </c>
      <c r="L279" s="95" t="s">
        <v>659</v>
      </c>
      <c r="M279" s="96" t="s">
        <v>556</v>
      </c>
      <c r="N279" s="96" t="s">
        <v>585</v>
      </c>
      <c r="O279" s="96" t="s">
        <v>256</v>
      </c>
      <c r="P279" s="6"/>
      <c r="Q279" s="216">
        <f t="shared" si="19"/>
        <v>9469.6</v>
      </c>
      <c r="R279" s="216">
        <f t="shared" si="19"/>
        <v>14000.9</v>
      </c>
      <c r="S279" s="216">
        <f t="shared" si="19"/>
        <v>12451</v>
      </c>
    </row>
    <row r="280" spans="1:19" ht="27" customHeight="1">
      <c r="A280" s="99"/>
      <c r="B280" s="98"/>
      <c r="C280" s="103"/>
      <c r="D280" s="101"/>
      <c r="E280" s="113"/>
      <c r="F280" s="113"/>
      <c r="G280" s="105"/>
      <c r="H280" s="5" t="s">
        <v>714</v>
      </c>
      <c r="I280" s="10">
        <v>27</v>
      </c>
      <c r="J280" s="16">
        <v>8</v>
      </c>
      <c r="K280" s="16">
        <v>1</v>
      </c>
      <c r="L280" s="95" t="s">
        <v>659</v>
      </c>
      <c r="M280" s="96" t="s">
        <v>556</v>
      </c>
      <c r="N280" s="96" t="s">
        <v>585</v>
      </c>
      <c r="O280" s="96" t="s">
        <v>256</v>
      </c>
      <c r="P280" s="6">
        <v>610</v>
      </c>
      <c r="Q280" s="216">
        <f>11247.6-2000-2200+2000+60+12+350</f>
        <v>9469.6</v>
      </c>
      <c r="R280" s="216">
        <v>14000.9</v>
      </c>
      <c r="S280" s="216">
        <v>12451</v>
      </c>
    </row>
    <row r="281" spans="1:19" ht="33.75" customHeight="1">
      <c r="A281" s="99"/>
      <c r="B281" s="98"/>
      <c r="C281" s="103"/>
      <c r="D281" s="101"/>
      <c r="E281" s="113"/>
      <c r="F281" s="113"/>
      <c r="G281" s="105"/>
      <c r="H281" s="257" t="s">
        <v>61</v>
      </c>
      <c r="I281" s="10">
        <v>27</v>
      </c>
      <c r="J281" s="16">
        <v>8</v>
      </c>
      <c r="K281" s="16">
        <v>1</v>
      </c>
      <c r="L281" s="95" t="s">
        <v>659</v>
      </c>
      <c r="M281" s="96" t="s">
        <v>556</v>
      </c>
      <c r="N281" s="96" t="s">
        <v>585</v>
      </c>
      <c r="O281" s="96" t="s">
        <v>60</v>
      </c>
      <c r="P281" s="6"/>
      <c r="Q281" s="216">
        <f>Q282</f>
        <v>2673</v>
      </c>
      <c r="R281" s="216"/>
      <c r="S281" s="216"/>
    </row>
    <row r="282" spans="1:19" ht="27" customHeight="1">
      <c r="A282" s="99"/>
      <c r="B282" s="98"/>
      <c r="C282" s="103"/>
      <c r="D282" s="101"/>
      <c r="E282" s="113"/>
      <c r="F282" s="113"/>
      <c r="G282" s="105"/>
      <c r="H282" s="257" t="s">
        <v>714</v>
      </c>
      <c r="I282" s="10">
        <v>27</v>
      </c>
      <c r="J282" s="16">
        <v>8</v>
      </c>
      <c r="K282" s="16">
        <v>1</v>
      </c>
      <c r="L282" s="95" t="s">
        <v>659</v>
      </c>
      <c r="M282" s="96" t="s">
        <v>556</v>
      </c>
      <c r="N282" s="96" t="s">
        <v>585</v>
      </c>
      <c r="O282" s="96" t="s">
        <v>60</v>
      </c>
      <c r="P282" s="6">
        <v>610</v>
      </c>
      <c r="Q282" s="216">
        <v>2673</v>
      </c>
      <c r="R282" s="216"/>
      <c r="S282" s="216"/>
    </row>
    <row r="283" spans="1:19" ht="42" customHeight="1">
      <c r="A283" s="99"/>
      <c r="B283" s="98"/>
      <c r="C283" s="103"/>
      <c r="D283" s="101"/>
      <c r="E283" s="113"/>
      <c r="F283" s="113"/>
      <c r="G283" s="105"/>
      <c r="H283" s="5" t="s">
        <v>361</v>
      </c>
      <c r="I283" s="10">
        <v>27</v>
      </c>
      <c r="J283" s="16">
        <v>8</v>
      </c>
      <c r="K283" s="16">
        <v>1</v>
      </c>
      <c r="L283" s="95" t="s">
        <v>659</v>
      </c>
      <c r="M283" s="96" t="s">
        <v>556</v>
      </c>
      <c r="N283" s="96" t="s">
        <v>586</v>
      </c>
      <c r="O283" s="96" t="s">
        <v>613</v>
      </c>
      <c r="P283" s="6"/>
      <c r="Q283" s="216">
        <f>Q286+Q289+Q291+Q284</f>
        <v>14688.5</v>
      </c>
      <c r="R283" s="216">
        <f>R286+R289+R292</f>
        <v>0</v>
      </c>
      <c r="S283" s="216">
        <f>S286+S289+S292</f>
        <v>0</v>
      </c>
    </row>
    <row r="284" spans="1:19" ht="27" customHeight="1">
      <c r="A284" s="99"/>
      <c r="B284" s="98"/>
      <c r="C284" s="103"/>
      <c r="D284" s="101"/>
      <c r="E284" s="113"/>
      <c r="F284" s="113"/>
      <c r="G284" s="105"/>
      <c r="H284" s="5" t="s">
        <v>255</v>
      </c>
      <c r="I284" s="10">
        <v>27</v>
      </c>
      <c r="J284" s="16">
        <v>8</v>
      </c>
      <c r="K284" s="16">
        <v>1</v>
      </c>
      <c r="L284" s="95" t="s">
        <v>659</v>
      </c>
      <c r="M284" s="96" t="s">
        <v>556</v>
      </c>
      <c r="N284" s="96" t="s">
        <v>586</v>
      </c>
      <c r="O284" s="96" t="s">
        <v>256</v>
      </c>
      <c r="P284" s="6"/>
      <c r="Q284" s="216">
        <f>Q285</f>
        <v>2010</v>
      </c>
      <c r="R284" s="216"/>
      <c r="S284" s="216"/>
    </row>
    <row r="285" spans="1:19" ht="30" customHeight="1">
      <c r="A285" s="99"/>
      <c r="B285" s="98"/>
      <c r="C285" s="103"/>
      <c r="D285" s="101"/>
      <c r="E285" s="113"/>
      <c r="F285" s="113"/>
      <c r="G285" s="105"/>
      <c r="H285" s="5" t="s">
        <v>714</v>
      </c>
      <c r="I285" s="10">
        <v>27</v>
      </c>
      <c r="J285" s="16">
        <v>8</v>
      </c>
      <c r="K285" s="16">
        <v>1</v>
      </c>
      <c r="L285" s="95" t="s">
        <v>659</v>
      </c>
      <c r="M285" s="96" t="s">
        <v>556</v>
      </c>
      <c r="N285" s="96" t="s">
        <v>586</v>
      </c>
      <c r="O285" s="96" t="s">
        <v>256</v>
      </c>
      <c r="P285" s="6">
        <v>610</v>
      </c>
      <c r="Q285" s="216">
        <f>2200+2000-2200+10</f>
        <v>2010</v>
      </c>
      <c r="R285" s="216"/>
      <c r="S285" s="216"/>
    </row>
    <row r="286" spans="1:19" ht="24" customHeight="1">
      <c r="A286" s="99"/>
      <c r="B286" s="98"/>
      <c r="C286" s="103"/>
      <c r="D286" s="101"/>
      <c r="E286" s="113"/>
      <c r="F286" s="113"/>
      <c r="G286" s="105"/>
      <c r="H286" s="5" t="s">
        <v>670</v>
      </c>
      <c r="I286" s="10">
        <v>27</v>
      </c>
      <c r="J286" s="16">
        <v>8</v>
      </c>
      <c r="K286" s="16">
        <v>1</v>
      </c>
      <c r="L286" s="95" t="s">
        <v>659</v>
      </c>
      <c r="M286" s="96" t="s">
        <v>556</v>
      </c>
      <c r="N286" s="96" t="s">
        <v>586</v>
      </c>
      <c r="O286" s="96" t="s">
        <v>667</v>
      </c>
      <c r="P286" s="6"/>
      <c r="Q286" s="216">
        <f>Q288+Q287</f>
        <v>105</v>
      </c>
      <c r="R286" s="216">
        <f>R288</f>
        <v>0</v>
      </c>
      <c r="S286" s="216">
        <f>S288</f>
        <v>0</v>
      </c>
    </row>
    <row r="287" spans="1:19" ht="24" customHeight="1">
      <c r="A287" s="99"/>
      <c r="B287" s="98"/>
      <c r="C287" s="103"/>
      <c r="D287" s="107"/>
      <c r="E287" s="104"/>
      <c r="F287" s="104"/>
      <c r="G287" s="105"/>
      <c r="H287" s="5" t="s">
        <v>849</v>
      </c>
      <c r="I287" s="10">
        <v>27</v>
      </c>
      <c r="J287" s="16">
        <v>8</v>
      </c>
      <c r="K287" s="16">
        <v>1</v>
      </c>
      <c r="L287" s="95" t="s">
        <v>659</v>
      </c>
      <c r="M287" s="96" t="s">
        <v>556</v>
      </c>
      <c r="N287" s="96" t="s">
        <v>586</v>
      </c>
      <c r="O287" s="96" t="s">
        <v>667</v>
      </c>
      <c r="P287" s="6">
        <v>350</v>
      </c>
      <c r="Q287" s="216">
        <v>35</v>
      </c>
      <c r="R287" s="216"/>
      <c r="S287" s="216"/>
    </row>
    <row r="288" spans="1:19" ht="27.75" customHeight="1">
      <c r="A288" s="99"/>
      <c r="B288" s="98"/>
      <c r="C288" s="103"/>
      <c r="D288" s="107"/>
      <c r="E288" s="104"/>
      <c r="F288" s="104"/>
      <c r="G288" s="105"/>
      <c r="H288" s="5" t="s">
        <v>714</v>
      </c>
      <c r="I288" s="13">
        <v>27</v>
      </c>
      <c r="J288" s="16">
        <v>8</v>
      </c>
      <c r="K288" s="16">
        <v>1</v>
      </c>
      <c r="L288" s="95" t="s">
        <v>659</v>
      </c>
      <c r="M288" s="96" t="s">
        <v>556</v>
      </c>
      <c r="N288" s="96" t="s">
        <v>586</v>
      </c>
      <c r="O288" s="96" t="s">
        <v>667</v>
      </c>
      <c r="P288" s="6">
        <v>610</v>
      </c>
      <c r="Q288" s="216">
        <f>200+20-150</f>
        <v>70</v>
      </c>
      <c r="R288" s="216">
        <v>0</v>
      </c>
      <c r="S288" s="216">
        <v>0</v>
      </c>
    </row>
    <row r="289" spans="1:19" ht="26.25" customHeight="1">
      <c r="A289" s="99"/>
      <c r="B289" s="98"/>
      <c r="C289" s="103"/>
      <c r="D289" s="107"/>
      <c r="E289" s="104"/>
      <c r="F289" s="104"/>
      <c r="G289" s="105"/>
      <c r="H289" s="5" t="s">
        <v>287</v>
      </c>
      <c r="I289" s="13">
        <v>27</v>
      </c>
      <c r="J289" s="16">
        <v>8</v>
      </c>
      <c r="K289" s="16">
        <v>1</v>
      </c>
      <c r="L289" s="95" t="s">
        <v>659</v>
      </c>
      <c r="M289" s="96" t="s">
        <v>556</v>
      </c>
      <c r="N289" s="96" t="s">
        <v>586</v>
      </c>
      <c r="O289" s="96" t="s">
        <v>288</v>
      </c>
      <c r="P289" s="6"/>
      <c r="Q289" s="216">
        <f>Q290</f>
        <v>10523</v>
      </c>
      <c r="R289" s="216">
        <f>R290</f>
        <v>0</v>
      </c>
      <c r="S289" s="216">
        <f>S290</f>
        <v>0</v>
      </c>
    </row>
    <row r="290" spans="1:19" ht="27.75" customHeight="1">
      <c r="A290" s="99"/>
      <c r="B290" s="98"/>
      <c r="C290" s="103"/>
      <c r="D290" s="109"/>
      <c r="E290" s="104"/>
      <c r="F290" s="104"/>
      <c r="G290" s="105">
        <v>850</v>
      </c>
      <c r="H290" s="18" t="s">
        <v>714</v>
      </c>
      <c r="I290" s="13">
        <v>27</v>
      </c>
      <c r="J290" s="16">
        <v>8</v>
      </c>
      <c r="K290" s="16">
        <v>1</v>
      </c>
      <c r="L290" s="95" t="s">
        <v>659</v>
      </c>
      <c r="M290" s="96" t="s">
        <v>556</v>
      </c>
      <c r="N290" s="96" t="s">
        <v>586</v>
      </c>
      <c r="O290" s="96" t="s">
        <v>288</v>
      </c>
      <c r="P290" s="6">
        <v>610</v>
      </c>
      <c r="Q290" s="216">
        <f>13000+25+350-30.8+399.1-3124.6-95.7</f>
        <v>10523</v>
      </c>
      <c r="R290" s="216">
        <v>0</v>
      </c>
      <c r="S290" s="216">
        <v>0</v>
      </c>
    </row>
    <row r="291" spans="1:19" ht="27.75" customHeight="1">
      <c r="A291" s="99"/>
      <c r="B291" s="98"/>
      <c r="C291" s="97"/>
      <c r="D291" s="109"/>
      <c r="E291" s="104"/>
      <c r="F291" s="104"/>
      <c r="G291" s="89"/>
      <c r="H291" s="18" t="s">
        <v>122</v>
      </c>
      <c r="I291" s="13">
        <v>27</v>
      </c>
      <c r="J291" s="16">
        <v>8</v>
      </c>
      <c r="K291" s="16">
        <v>1</v>
      </c>
      <c r="L291" s="95" t="s">
        <v>659</v>
      </c>
      <c r="M291" s="96" t="s">
        <v>556</v>
      </c>
      <c r="N291" s="96" t="s">
        <v>93</v>
      </c>
      <c r="O291" s="96" t="s">
        <v>613</v>
      </c>
      <c r="P291" s="10"/>
      <c r="Q291" s="214">
        <f>Q292</f>
        <v>2050.5</v>
      </c>
      <c r="R291" s="216"/>
      <c r="S291" s="216"/>
    </row>
    <row r="292" spans="1:19" ht="33.75" customHeight="1">
      <c r="A292" s="99"/>
      <c r="B292" s="98"/>
      <c r="C292" s="97"/>
      <c r="D292" s="368">
        <v>4360000</v>
      </c>
      <c r="E292" s="369"/>
      <c r="F292" s="369"/>
      <c r="G292" s="89">
        <v>340</v>
      </c>
      <c r="H292" s="313" t="s">
        <v>789</v>
      </c>
      <c r="I292" s="10">
        <v>27</v>
      </c>
      <c r="J292" s="16">
        <v>8</v>
      </c>
      <c r="K292" s="16">
        <v>1</v>
      </c>
      <c r="L292" s="95" t="s">
        <v>659</v>
      </c>
      <c r="M292" s="96" t="s">
        <v>556</v>
      </c>
      <c r="N292" s="96" t="s">
        <v>93</v>
      </c>
      <c r="O292" s="96" t="s">
        <v>788</v>
      </c>
      <c r="P292" s="10"/>
      <c r="Q292" s="214">
        <f>Q293</f>
        <v>2050.5</v>
      </c>
      <c r="R292" s="214">
        <f>R293</f>
        <v>0</v>
      </c>
      <c r="S292" s="214">
        <f>S293</f>
        <v>0</v>
      </c>
    </row>
    <row r="293" spans="1:19" ht="20.25" customHeight="1">
      <c r="A293" s="99"/>
      <c r="B293" s="98"/>
      <c r="C293" s="97"/>
      <c r="D293" s="101"/>
      <c r="E293" s="100"/>
      <c r="F293" s="100"/>
      <c r="G293" s="89"/>
      <c r="H293" s="5" t="s">
        <v>714</v>
      </c>
      <c r="I293" s="13">
        <v>27</v>
      </c>
      <c r="J293" s="16">
        <v>8</v>
      </c>
      <c r="K293" s="16">
        <v>1</v>
      </c>
      <c r="L293" s="95" t="s">
        <v>659</v>
      </c>
      <c r="M293" s="96" t="s">
        <v>556</v>
      </c>
      <c r="N293" s="96" t="s">
        <v>93</v>
      </c>
      <c r="O293" s="96" t="s">
        <v>788</v>
      </c>
      <c r="P293" s="10">
        <v>610</v>
      </c>
      <c r="Q293" s="214">
        <f>2600+60+30.8-10-606.8-23.5</f>
        <v>2050.5</v>
      </c>
      <c r="R293" s="214">
        <v>0</v>
      </c>
      <c r="S293" s="214">
        <v>0</v>
      </c>
    </row>
    <row r="294" spans="1:19" s="179" customFormat="1" ht="21" customHeight="1">
      <c r="A294" s="142"/>
      <c r="B294" s="143"/>
      <c r="C294" s="153"/>
      <c r="D294" s="150"/>
      <c r="E294" s="154"/>
      <c r="F294" s="154"/>
      <c r="G294" s="155"/>
      <c r="H294" s="149" t="s">
        <v>615</v>
      </c>
      <c r="I294" s="138">
        <v>27</v>
      </c>
      <c r="J294" s="139">
        <v>9</v>
      </c>
      <c r="K294" s="139" t="s">
        <v>614</v>
      </c>
      <c r="L294" s="140"/>
      <c r="M294" s="141"/>
      <c r="N294" s="141"/>
      <c r="O294" s="141"/>
      <c r="P294" s="146"/>
      <c r="Q294" s="217">
        <f>Q295</f>
        <v>77.2</v>
      </c>
      <c r="R294" s="217">
        <f aca="true" t="shared" si="20" ref="R294:S296">R295</f>
        <v>74.5</v>
      </c>
      <c r="S294" s="217">
        <f t="shared" si="20"/>
        <v>74.5</v>
      </c>
    </row>
    <row r="295" spans="1:19" s="179" customFormat="1" ht="21" customHeight="1">
      <c r="A295" s="142"/>
      <c r="B295" s="143"/>
      <c r="C295" s="153"/>
      <c r="D295" s="150"/>
      <c r="E295" s="154"/>
      <c r="F295" s="154"/>
      <c r="G295" s="155"/>
      <c r="H295" s="149" t="s">
        <v>560</v>
      </c>
      <c r="I295" s="146">
        <v>27</v>
      </c>
      <c r="J295" s="139">
        <v>9</v>
      </c>
      <c r="K295" s="139">
        <v>7</v>
      </c>
      <c r="L295" s="139" t="s">
        <v>527</v>
      </c>
      <c r="M295" s="141" t="s">
        <v>527</v>
      </c>
      <c r="N295" s="141"/>
      <c r="O295" s="141" t="s">
        <v>527</v>
      </c>
      <c r="P295" s="146"/>
      <c r="Q295" s="213">
        <f>Q296</f>
        <v>77.2</v>
      </c>
      <c r="R295" s="213">
        <f t="shared" si="20"/>
        <v>74.5</v>
      </c>
      <c r="S295" s="213">
        <f t="shared" si="20"/>
        <v>74.5</v>
      </c>
    </row>
    <row r="296" spans="1:19" ht="48" customHeight="1">
      <c r="A296" s="99"/>
      <c r="B296" s="98"/>
      <c r="C296" s="103"/>
      <c r="D296" s="101"/>
      <c r="E296" s="113"/>
      <c r="F296" s="113"/>
      <c r="G296" s="105"/>
      <c r="H296" s="34" t="s">
        <v>711</v>
      </c>
      <c r="I296" s="6">
        <v>27</v>
      </c>
      <c r="J296" s="16">
        <v>9</v>
      </c>
      <c r="K296" s="16">
        <v>7</v>
      </c>
      <c r="L296" s="16">
        <v>91</v>
      </c>
      <c r="M296" s="96" t="s">
        <v>556</v>
      </c>
      <c r="N296" s="96" t="s">
        <v>576</v>
      </c>
      <c r="O296" s="96" t="s">
        <v>643</v>
      </c>
      <c r="P296" s="6"/>
      <c r="Q296" s="214">
        <f>Q297</f>
        <v>77.2</v>
      </c>
      <c r="R296" s="214">
        <f t="shared" si="20"/>
        <v>74.5</v>
      </c>
      <c r="S296" s="214">
        <f t="shared" si="20"/>
        <v>74.5</v>
      </c>
    </row>
    <row r="297" spans="1:19" ht="27" customHeight="1">
      <c r="A297" s="99"/>
      <c r="B297" s="98"/>
      <c r="C297" s="103"/>
      <c r="D297" s="101"/>
      <c r="E297" s="113"/>
      <c r="F297" s="113"/>
      <c r="G297" s="105"/>
      <c r="H297" s="34" t="s">
        <v>712</v>
      </c>
      <c r="I297" s="6">
        <v>27</v>
      </c>
      <c r="J297" s="16">
        <v>9</v>
      </c>
      <c r="K297" s="16">
        <v>7</v>
      </c>
      <c r="L297" s="16">
        <v>91</v>
      </c>
      <c r="M297" s="96" t="s">
        <v>556</v>
      </c>
      <c r="N297" s="96" t="s">
        <v>576</v>
      </c>
      <c r="O297" s="96" t="s">
        <v>643</v>
      </c>
      <c r="P297" s="6">
        <v>240</v>
      </c>
      <c r="Q297" s="214">
        <f>81.3-4.1</f>
        <v>77.2</v>
      </c>
      <c r="R297" s="214">
        <v>74.5</v>
      </c>
      <c r="S297" s="214">
        <v>74.5</v>
      </c>
    </row>
    <row r="298" spans="1:19" s="179" customFormat="1" ht="24" customHeight="1">
      <c r="A298" s="142"/>
      <c r="B298" s="143"/>
      <c r="C298" s="153"/>
      <c r="D298" s="150"/>
      <c r="E298" s="154"/>
      <c r="F298" s="154"/>
      <c r="G298" s="155">
        <v>321</v>
      </c>
      <c r="H298" s="149" t="s">
        <v>534</v>
      </c>
      <c r="I298" s="152">
        <v>27</v>
      </c>
      <c r="J298" s="156">
        <v>10</v>
      </c>
      <c r="K298" s="139"/>
      <c r="L298" s="140"/>
      <c r="M298" s="141"/>
      <c r="N298" s="141"/>
      <c r="O298" s="141"/>
      <c r="P298" s="146"/>
      <c r="Q298" s="217">
        <f>Q299+Q302+Q314</f>
        <v>6530.8</v>
      </c>
      <c r="R298" s="217">
        <f>R299+R302+R314</f>
        <v>5692.9</v>
      </c>
      <c r="S298" s="217">
        <f>S299+S302+S314</f>
        <v>5692.300000000001</v>
      </c>
    </row>
    <row r="299" spans="1:19" s="179" customFormat="1" ht="18.75" customHeight="1">
      <c r="A299" s="142"/>
      <c r="B299" s="143"/>
      <c r="C299" s="153"/>
      <c r="D299" s="150"/>
      <c r="E299" s="154"/>
      <c r="F299" s="154"/>
      <c r="G299" s="155">
        <v>612</v>
      </c>
      <c r="H299" s="149" t="s">
        <v>373</v>
      </c>
      <c r="I299" s="152">
        <v>27</v>
      </c>
      <c r="J299" s="156">
        <v>10</v>
      </c>
      <c r="K299" s="139">
        <v>1</v>
      </c>
      <c r="L299" s="140"/>
      <c r="M299" s="141"/>
      <c r="N299" s="141"/>
      <c r="O299" s="141"/>
      <c r="P299" s="146"/>
      <c r="Q299" s="217">
        <f aca="true" t="shared" si="21" ref="Q299:S300">Q300</f>
        <v>1849.5</v>
      </c>
      <c r="R299" s="217">
        <f t="shared" si="21"/>
        <v>2100</v>
      </c>
      <c r="S299" s="217">
        <f t="shared" si="21"/>
        <v>2100</v>
      </c>
    </row>
    <row r="300" spans="1:19" ht="30.75" customHeight="1">
      <c r="A300" s="99"/>
      <c r="B300" s="98"/>
      <c r="C300" s="103"/>
      <c r="D300" s="101"/>
      <c r="E300" s="372">
        <v>4360400</v>
      </c>
      <c r="F300" s="372"/>
      <c r="G300" s="89">
        <v>340</v>
      </c>
      <c r="H300" s="11" t="s">
        <v>297</v>
      </c>
      <c r="I300" s="6">
        <v>27</v>
      </c>
      <c r="J300" s="21">
        <v>10</v>
      </c>
      <c r="K300" s="16">
        <v>1</v>
      </c>
      <c r="L300" s="95" t="s">
        <v>573</v>
      </c>
      <c r="M300" s="96" t="s">
        <v>556</v>
      </c>
      <c r="N300" s="96" t="s">
        <v>576</v>
      </c>
      <c r="O300" s="96" t="s">
        <v>298</v>
      </c>
      <c r="P300" s="10"/>
      <c r="Q300" s="214">
        <f t="shared" si="21"/>
        <v>1849.5</v>
      </c>
      <c r="R300" s="214">
        <f t="shared" si="21"/>
        <v>2100</v>
      </c>
      <c r="S300" s="214">
        <f t="shared" si="21"/>
        <v>2100</v>
      </c>
    </row>
    <row r="301" spans="1:19" ht="30.75" customHeight="1">
      <c r="A301" s="99"/>
      <c r="B301" s="98"/>
      <c r="C301" s="103"/>
      <c r="D301" s="107"/>
      <c r="E301" s="104"/>
      <c r="F301" s="104"/>
      <c r="G301" s="89"/>
      <c r="H301" s="11" t="s">
        <v>717</v>
      </c>
      <c r="I301" s="6">
        <v>27</v>
      </c>
      <c r="J301" s="21">
        <v>10</v>
      </c>
      <c r="K301" s="16">
        <v>1</v>
      </c>
      <c r="L301" s="119" t="s">
        <v>573</v>
      </c>
      <c r="M301" s="120" t="s">
        <v>556</v>
      </c>
      <c r="N301" s="120" t="s">
        <v>576</v>
      </c>
      <c r="O301" s="120" t="s">
        <v>298</v>
      </c>
      <c r="P301" s="10">
        <v>320</v>
      </c>
      <c r="Q301" s="214">
        <f>2058-208.5</f>
        <v>1849.5</v>
      </c>
      <c r="R301" s="214">
        <v>2100</v>
      </c>
      <c r="S301" s="214">
        <v>2100</v>
      </c>
    </row>
    <row r="302" spans="1:19" s="179" customFormat="1" ht="27" customHeight="1">
      <c r="A302" s="142"/>
      <c r="B302" s="143"/>
      <c r="C302" s="142"/>
      <c r="D302" s="385">
        <v>4520000</v>
      </c>
      <c r="E302" s="385"/>
      <c r="F302" s="385"/>
      <c r="G302" s="136">
        <v>612</v>
      </c>
      <c r="H302" s="314" t="s">
        <v>533</v>
      </c>
      <c r="I302" s="138">
        <v>27</v>
      </c>
      <c r="J302" s="139">
        <v>10</v>
      </c>
      <c r="K302" s="139">
        <v>3</v>
      </c>
      <c r="L302" s="140"/>
      <c r="M302" s="141"/>
      <c r="N302" s="141"/>
      <c r="O302" s="246"/>
      <c r="P302" s="152"/>
      <c r="Q302" s="218">
        <f>Q303+Q307</f>
        <v>3331.8</v>
      </c>
      <c r="R302" s="218">
        <f>R303+R307</f>
        <v>2460.8</v>
      </c>
      <c r="S302" s="218">
        <f>S303+S307</f>
        <v>2460.2000000000003</v>
      </c>
    </row>
    <row r="303" spans="1:19" ht="27" customHeight="1">
      <c r="A303" s="99"/>
      <c r="B303" s="98"/>
      <c r="C303" s="97"/>
      <c r="D303" s="107"/>
      <c r="E303" s="102"/>
      <c r="F303" s="102"/>
      <c r="G303" s="89"/>
      <c r="H303" s="191" t="s">
        <v>662</v>
      </c>
      <c r="I303" s="25">
        <v>27</v>
      </c>
      <c r="J303" s="121">
        <v>10</v>
      </c>
      <c r="K303" s="26">
        <v>3</v>
      </c>
      <c r="L303" s="122" t="s">
        <v>661</v>
      </c>
      <c r="M303" s="123" t="s">
        <v>556</v>
      </c>
      <c r="N303" s="123" t="s">
        <v>576</v>
      </c>
      <c r="O303" s="123" t="s">
        <v>613</v>
      </c>
      <c r="P303" s="6"/>
      <c r="Q303" s="214">
        <f>Q304</f>
        <v>1021.8</v>
      </c>
      <c r="R303" s="214">
        <f aca="true" t="shared" si="22" ref="R303:S305">R304</f>
        <v>170.5</v>
      </c>
      <c r="S303" s="214">
        <f t="shared" si="22"/>
        <v>169.9</v>
      </c>
    </row>
    <row r="304" spans="1:19" ht="29.25" customHeight="1">
      <c r="A304" s="99"/>
      <c r="B304" s="98"/>
      <c r="C304" s="97"/>
      <c r="D304" s="107"/>
      <c r="E304" s="102"/>
      <c r="F304" s="102"/>
      <c r="G304" s="89"/>
      <c r="H304" s="191" t="s">
        <v>671</v>
      </c>
      <c r="I304" s="25">
        <v>27</v>
      </c>
      <c r="J304" s="121">
        <v>10</v>
      </c>
      <c r="K304" s="26">
        <v>3</v>
      </c>
      <c r="L304" s="122" t="s">
        <v>661</v>
      </c>
      <c r="M304" s="123" t="s">
        <v>556</v>
      </c>
      <c r="N304" s="123" t="s">
        <v>581</v>
      </c>
      <c r="O304" s="123" t="s">
        <v>613</v>
      </c>
      <c r="P304" s="6"/>
      <c r="Q304" s="214">
        <f>Q305</f>
        <v>1021.8</v>
      </c>
      <c r="R304" s="214">
        <f t="shared" si="22"/>
        <v>170.5</v>
      </c>
      <c r="S304" s="214">
        <f t="shared" si="22"/>
        <v>169.9</v>
      </c>
    </row>
    <row r="305" spans="1:19" ht="21.75" customHeight="1">
      <c r="A305" s="99"/>
      <c r="B305" s="98"/>
      <c r="C305" s="97"/>
      <c r="D305" s="107"/>
      <c r="E305" s="102"/>
      <c r="F305" s="102"/>
      <c r="G305" s="89"/>
      <c r="H305" s="191" t="s">
        <v>672</v>
      </c>
      <c r="I305" s="25">
        <v>27</v>
      </c>
      <c r="J305" s="121">
        <v>10</v>
      </c>
      <c r="K305" s="26">
        <v>3</v>
      </c>
      <c r="L305" s="122" t="s">
        <v>661</v>
      </c>
      <c r="M305" s="123" t="s">
        <v>556</v>
      </c>
      <c r="N305" s="123" t="s">
        <v>581</v>
      </c>
      <c r="O305" s="123" t="s">
        <v>265</v>
      </c>
      <c r="P305" s="6"/>
      <c r="Q305" s="214">
        <f>Q306</f>
        <v>1021.8</v>
      </c>
      <c r="R305" s="214">
        <f t="shared" si="22"/>
        <v>170.5</v>
      </c>
      <c r="S305" s="214">
        <f t="shared" si="22"/>
        <v>169.9</v>
      </c>
    </row>
    <row r="306" spans="1:19" ht="29.25" customHeight="1">
      <c r="A306" s="99"/>
      <c r="B306" s="98"/>
      <c r="C306" s="97"/>
      <c r="D306" s="107"/>
      <c r="E306" s="102"/>
      <c r="F306" s="102"/>
      <c r="G306" s="89"/>
      <c r="H306" s="34" t="s">
        <v>717</v>
      </c>
      <c r="I306" s="25">
        <v>27</v>
      </c>
      <c r="J306" s="121">
        <v>10</v>
      </c>
      <c r="K306" s="26">
        <v>3</v>
      </c>
      <c r="L306" s="122" t="s">
        <v>661</v>
      </c>
      <c r="M306" s="123" t="s">
        <v>556</v>
      </c>
      <c r="N306" s="123" t="s">
        <v>581</v>
      </c>
      <c r="O306" s="123" t="s">
        <v>265</v>
      </c>
      <c r="P306" s="6">
        <v>320</v>
      </c>
      <c r="Q306" s="214">
        <f>270.8+751</f>
        <v>1021.8</v>
      </c>
      <c r="R306" s="214">
        <v>170.5</v>
      </c>
      <c r="S306" s="214">
        <v>169.9</v>
      </c>
    </row>
    <row r="307" spans="1:19" ht="29.25" customHeight="1">
      <c r="A307" s="99"/>
      <c r="B307" s="98"/>
      <c r="C307" s="97"/>
      <c r="D307" s="107"/>
      <c r="E307" s="102"/>
      <c r="F307" s="102"/>
      <c r="G307" s="89"/>
      <c r="H307" s="34" t="s">
        <v>292</v>
      </c>
      <c r="I307" s="25">
        <v>27</v>
      </c>
      <c r="J307" s="121">
        <v>10</v>
      </c>
      <c r="K307" s="26">
        <v>3</v>
      </c>
      <c r="L307" s="122" t="s">
        <v>573</v>
      </c>
      <c r="M307" s="123" t="s">
        <v>556</v>
      </c>
      <c r="N307" s="123" t="s">
        <v>576</v>
      </c>
      <c r="O307" s="123" t="s">
        <v>613</v>
      </c>
      <c r="P307" s="6"/>
      <c r="Q307" s="216">
        <f>Q308+Q310+Q312</f>
        <v>2310</v>
      </c>
      <c r="R307" s="216">
        <f>R308+R310+R312</f>
        <v>2290.3</v>
      </c>
      <c r="S307" s="216">
        <f>S308+S310+S312</f>
        <v>2290.3</v>
      </c>
    </row>
    <row r="308" spans="1:19" ht="57.75" customHeight="1">
      <c r="A308" s="99"/>
      <c r="B308" s="98"/>
      <c r="C308" s="97"/>
      <c r="D308" s="368">
        <v>5220000</v>
      </c>
      <c r="E308" s="369"/>
      <c r="F308" s="369"/>
      <c r="G308" s="89">
        <v>612</v>
      </c>
      <c r="H308" s="11" t="s">
        <v>532</v>
      </c>
      <c r="I308" s="6">
        <v>27</v>
      </c>
      <c r="J308" s="21">
        <v>10</v>
      </c>
      <c r="K308" s="16">
        <v>3</v>
      </c>
      <c r="L308" s="95" t="s">
        <v>573</v>
      </c>
      <c r="M308" s="96" t="s">
        <v>556</v>
      </c>
      <c r="N308" s="96" t="s">
        <v>576</v>
      </c>
      <c r="O308" s="124" t="s">
        <v>644</v>
      </c>
      <c r="P308" s="8"/>
      <c r="Q308" s="216">
        <f>Q309</f>
        <v>1294</v>
      </c>
      <c r="R308" s="216">
        <f>R309</f>
        <v>1273.5</v>
      </c>
      <c r="S308" s="216">
        <f>S309</f>
        <v>1273.5</v>
      </c>
    </row>
    <row r="309" spans="1:19" ht="28.5" customHeight="1">
      <c r="A309" s="99"/>
      <c r="B309" s="98"/>
      <c r="C309" s="97"/>
      <c r="D309" s="101"/>
      <c r="E309" s="100"/>
      <c r="F309" s="100"/>
      <c r="G309" s="89"/>
      <c r="H309" s="11" t="s">
        <v>717</v>
      </c>
      <c r="I309" s="6">
        <v>27</v>
      </c>
      <c r="J309" s="21">
        <v>10</v>
      </c>
      <c r="K309" s="16">
        <v>3</v>
      </c>
      <c r="L309" s="95" t="s">
        <v>573</v>
      </c>
      <c r="M309" s="96" t="s">
        <v>556</v>
      </c>
      <c r="N309" s="96" t="s">
        <v>576</v>
      </c>
      <c r="O309" s="124" t="s">
        <v>644</v>
      </c>
      <c r="P309" s="13">
        <v>320</v>
      </c>
      <c r="Q309" s="214">
        <f>1273.5+10.5+10</f>
        <v>1294</v>
      </c>
      <c r="R309" s="214">
        <v>1273.5</v>
      </c>
      <c r="S309" s="214">
        <v>1273.5</v>
      </c>
    </row>
    <row r="310" spans="1:19" ht="42" customHeight="1">
      <c r="A310" s="99"/>
      <c r="B310" s="98"/>
      <c r="C310" s="103"/>
      <c r="D310" s="101"/>
      <c r="E310" s="113"/>
      <c r="F310" s="113"/>
      <c r="G310" s="89"/>
      <c r="H310" s="11" t="s">
        <v>290</v>
      </c>
      <c r="I310" s="10">
        <v>27</v>
      </c>
      <c r="J310" s="7">
        <v>10</v>
      </c>
      <c r="K310" s="16">
        <v>3</v>
      </c>
      <c r="L310" s="95" t="s">
        <v>573</v>
      </c>
      <c r="M310" s="96" t="s">
        <v>556</v>
      </c>
      <c r="N310" s="96" t="s">
        <v>576</v>
      </c>
      <c r="O310" s="96" t="s">
        <v>289</v>
      </c>
      <c r="P310" s="10"/>
      <c r="Q310" s="214">
        <f>Q311</f>
        <v>642</v>
      </c>
      <c r="R310" s="214">
        <f>R311</f>
        <v>636.8</v>
      </c>
      <c r="S310" s="214">
        <f>S311</f>
        <v>636.8</v>
      </c>
    </row>
    <row r="311" spans="1:19" ht="32.25" customHeight="1">
      <c r="A311" s="99"/>
      <c r="B311" s="98"/>
      <c r="C311" s="103"/>
      <c r="D311" s="101"/>
      <c r="E311" s="113"/>
      <c r="F311" s="113"/>
      <c r="G311" s="89"/>
      <c r="H311" s="11" t="s">
        <v>717</v>
      </c>
      <c r="I311" s="10">
        <v>27</v>
      </c>
      <c r="J311" s="7">
        <v>10</v>
      </c>
      <c r="K311" s="16">
        <v>3</v>
      </c>
      <c r="L311" s="95" t="s">
        <v>573</v>
      </c>
      <c r="M311" s="96" t="s">
        <v>556</v>
      </c>
      <c r="N311" s="96" t="s">
        <v>576</v>
      </c>
      <c r="O311" s="96" t="s">
        <v>289</v>
      </c>
      <c r="P311" s="10">
        <v>320</v>
      </c>
      <c r="Q311" s="214">
        <f>636.8+5.2</f>
        <v>642</v>
      </c>
      <c r="R311" s="239">
        <v>636.8</v>
      </c>
      <c r="S311" s="239">
        <v>636.8</v>
      </c>
    </row>
    <row r="312" spans="1:19" ht="27" customHeight="1">
      <c r="A312" s="99"/>
      <c r="B312" s="98"/>
      <c r="C312" s="103"/>
      <c r="D312" s="101"/>
      <c r="E312" s="113"/>
      <c r="F312" s="113"/>
      <c r="G312" s="89"/>
      <c r="H312" s="5" t="s">
        <v>300</v>
      </c>
      <c r="I312" s="6">
        <v>27</v>
      </c>
      <c r="J312" s="19">
        <v>10</v>
      </c>
      <c r="K312" s="16">
        <v>3</v>
      </c>
      <c r="L312" s="95" t="s">
        <v>573</v>
      </c>
      <c r="M312" s="96" t="s">
        <v>556</v>
      </c>
      <c r="N312" s="96" t="s">
        <v>576</v>
      </c>
      <c r="O312" s="96" t="s">
        <v>299</v>
      </c>
      <c r="P312" s="6"/>
      <c r="Q312" s="214">
        <f>Q313</f>
        <v>374</v>
      </c>
      <c r="R312" s="214">
        <f>R313</f>
        <v>380</v>
      </c>
      <c r="S312" s="214">
        <f>S313</f>
        <v>380</v>
      </c>
    </row>
    <row r="313" spans="1:19" ht="27" customHeight="1">
      <c r="A313" s="99"/>
      <c r="B313" s="98"/>
      <c r="C313" s="103"/>
      <c r="D313" s="101"/>
      <c r="E313" s="113"/>
      <c r="F313" s="113"/>
      <c r="G313" s="89"/>
      <c r="H313" s="5" t="s">
        <v>716</v>
      </c>
      <c r="I313" s="8">
        <v>27</v>
      </c>
      <c r="J313" s="19">
        <v>10</v>
      </c>
      <c r="K313" s="16">
        <v>3</v>
      </c>
      <c r="L313" s="95" t="s">
        <v>573</v>
      </c>
      <c r="M313" s="96" t="s">
        <v>556</v>
      </c>
      <c r="N313" s="96" t="s">
        <v>576</v>
      </c>
      <c r="O313" s="96" t="s">
        <v>299</v>
      </c>
      <c r="P313" s="6">
        <v>310</v>
      </c>
      <c r="Q313" s="214">
        <v>374</v>
      </c>
      <c r="R313" s="214">
        <v>380</v>
      </c>
      <c r="S313" s="214">
        <v>380</v>
      </c>
    </row>
    <row r="314" spans="1:19" s="179" customFormat="1" ht="25.5" customHeight="1">
      <c r="A314" s="142"/>
      <c r="B314" s="143"/>
      <c r="C314" s="153"/>
      <c r="D314" s="150"/>
      <c r="E314" s="145"/>
      <c r="F314" s="145"/>
      <c r="G314" s="155">
        <v>622</v>
      </c>
      <c r="H314" s="149" t="s">
        <v>531</v>
      </c>
      <c r="I314" s="152">
        <v>27</v>
      </c>
      <c r="J314" s="156">
        <v>10</v>
      </c>
      <c r="K314" s="139">
        <v>6</v>
      </c>
      <c r="L314" s="185"/>
      <c r="M314" s="186"/>
      <c r="N314" s="186"/>
      <c r="O314" s="186"/>
      <c r="P314" s="146"/>
      <c r="Q314" s="217">
        <f>Q315</f>
        <v>1349.5</v>
      </c>
      <c r="R314" s="217">
        <f>R315</f>
        <v>1132.1</v>
      </c>
      <c r="S314" s="217">
        <f>S315</f>
        <v>1132.1</v>
      </c>
    </row>
    <row r="315" spans="1:19" s="179" customFormat="1" ht="25.5" customHeight="1">
      <c r="A315" s="142"/>
      <c r="B315" s="143"/>
      <c r="C315" s="153"/>
      <c r="D315" s="150"/>
      <c r="E315" s="145"/>
      <c r="F315" s="145"/>
      <c r="G315" s="136"/>
      <c r="H315" s="11" t="s">
        <v>292</v>
      </c>
      <c r="I315" s="6">
        <v>27</v>
      </c>
      <c r="J315" s="19">
        <v>10</v>
      </c>
      <c r="K315" s="16">
        <v>6</v>
      </c>
      <c r="L315" s="122" t="s">
        <v>573</v>
      </c>
      <c r="M315" s="123" t="s">
        <v>556</v>
      </c>
      <c r="N315" s="123" t="s">
        <v>576</v>
      </c>
      <c r="O315" s="123" t="s">
        <v>613</v>
      </c>
      <c r="P315" s="6"/>
      <c r="Q315" s="216">
        <f>Q316+Q318+Q321</f>
        <v>1349.5</v>
      </c>
      <c r="R315" s="216">
        <f>R316+R318+R321</f>
        <v>1132.1</v>
      </c>
      <c r="S315" s="216">
        <f>S316+S318+S321</f>
        <v>1132.1</v>
      </c>
    </row>
    <row r="316" spans="1:19" ht="30.75" customHeight="1">
      <c r="A316" s="99"/>
      <c r="B316" s="98"/>
      <c r="C316" s="103"/>
      <c r="D316" s="101"/>
      <c r="E316" s="372">
        <v>5225700</v>
      </c>
      <c r="F316" s="372"/>
      <c r="G316" s="89">
        <v>612</v>
      </c>
      <c r="H316" s="11" t="s">
        <v>52</v>
      </c>
      <c r="I316" s="10">
        <v>27</v>
      </c>
      <c r="J316" s="16">
        <v>10</v>
      </c>
      <c r="K316" s="16">
        <v>6</v>
      </c>
      <c r="L316" s="95" t="s">
        <v>573</v>
      </c>
      <c r="M316" s="96" t="s">
        <v>556</v>
      </c>
      <c r="N316" s="96" t="s">
        <v>576</v>
      </c>
      <c r="O316" s="96" t="s">
        <v>51</v>
      </c>
      <c r="P316" s="6"/>
      <c r="Q316" s="216">
        <f>Q317</f>
        <v>45</v>
      </c>
      <c r="R316" s="216">
        <f>R317</f>
        <v>45</v>
      </c>
      <c r="S316" s="216">
        <f>S317</f>
        <v>45</v>
      </c>
    </row>
    <row r="317" spans="1:19" ht="21.75" customHeight="1">
      <c r="A317" s="99"/>
      <c r="B317" s="98"/>
      <c r="C317" s="103"/>
      <c r="D317" s="101"/>
      <c r="E317" s="104"/>
      <c r="F317" s="104"/>
      <c r="G317" s="89"/>
      <c r="H317" s="5" t="s">
        <v>517</v>
      </c>
      <c r="I317" s="10">
        <v>27</v>
      </c>
      <c r="J317" s="16">
        <v>10</v>
      </c>
      <c r="K317" s="16">
        <v>6</v>
      </c>
      <c r="L317" s="95" t="s">
        <v>573</v>
      </c>
      <c r="M317" s="96" t="s">
        <v>556</v>
      </c>
      <c r="N317" s="96" t="s">
        <v>576</v>
      </c>
      <c r="O317" s="96" t="s">
        <v>51</v>
      </c>
      <c r="P317" s="10">
        <v>630</v>
      </c>
      <c r="Q317" s="214">
        <v>45</v>
      </c>
      <c r="R317" s="214">
        <v>45</v>
      </c>
      <c r="S317" s="214">
        <v>45</v>
      </c>
    </row>
    <row r="318" spans="1:19" ht="30.75" customHeight="1">
      <c r="A318" s="99"/>
      <c r="B318" s="98"/>
      <c r="C318" s="103"/>
      <c r="D318" s="101"/>
      <c r="E318" s="104"/>
      <c r="F318" s="104"/>
      <c r="G318" s="89"/>
      <c r="H318" s="11" t="s">
        <v>807</v>
      </c>
      <c r="I318" s="10">
        <v>27</v>
      </c>
      <c r="J318" s="16">
        <v>10</v>
      </c>
      <c r="K318" s="16">
        <v>6</v>
      </c>
      <c r="L318" s="95" t="s">
        <v>573</v>
      </c>
      <c r="M318" s="96" t="s">
        <v>556</v>
      </c>
      <c r="N318" s="96" t="s">
        <v>576</v>
      </c>
      <c r="O318" s="96" t="s">
        <v>806</v>
      </c>
      <c r="P318" s="6"/>
      <c r="Q318" s="216">
        <f>Q319+Q320</f>
        <v>1304.5</v>
      </c>
      <c r="R318" s="216">
        <f>R319</f>
        <v>1087.1</v>
      </c>
      <c r="S318" s="216">
        <f>S319</f>
        <v>1087.1</v>
      </c>
    </row>
    <row r="319" spans="1:19" ht="26.25" customHeight="1">
      <c r="A319" s="99"/>
      <c r="B319" s="98"/>
      <c r="C319" s="103"/>
      <c r="D319" s="101"/>
      <c r="E319" s="104"/>
      <c r="F319" s="104"/>
      <c r="G319" s="89"/>
      <c r="H319" s="11" t="s">
        <v>526</v>
      </c>
      <c r="I319" s="10">
        <v>27</v>
      </c>
      <c r="J319" s="16">
        <v>10</v>
      </c>
      <c r="K319" s="16">
        <v>6</v>
      </c>
      <c r="L319" s="95" t="s">
        <v>573</v>
      </c>
      <c r="M319" s="96" t="s">
        <v>556</v>
      </c>
      <c r="N319" s="96" t="s">
        <v>576</v>
      </c>
      <c r="O319" s="96" t="s">
        <v>806</v>
      </c>
      <c r="P319" s="6">
        <v>120</v>
      </c>
      <c r="Q319" s="216">
        <f>1087.1-0.1+189.7</f>
        <v>1276.7</v>
      </c>
      <c r="R319" s="239">
        <v>1087.1</v>
      </c>
      <c r="S319" s="239">
        <v>1087.1</v>
      </c>
    </row>
    <row r="320" spans="1:19" ht="26.25" customHeight="1">
      <c r="A320" s="99"/>
      <c r="B320" s="98"/>
      <c r="C320" s="103"/>
      <c r="D320" s="107"/>
      <c r="E320" s="104"/>
      <c r="F320" s="104"/>
      <c r="G320" s="89"/>
      <c r="H320" s="200" t="s">
        <v>712</v>
      </c>
      <c r="I320" s="10">
        <v>27</v>
      </c>
      <c r="J320" s="7">
        <v>10</v>
      </c>
      <c r="K320" s="16">
        <v>6</v>
      </c>
      <c r="L320" s="95" t="s">
        <v>573</v>
      </c>
      <c r="M320" s="96" t="s">
        <v>556</v>
      </c>
      <c r="N320" s="96" t="s">
        <v>576</v>
      </c>
      <c r="O320" s="96" t="s">
        <v>806</v>
      </c>
      <c r="P320" s="6">
        <v>240</v>
      </c>
      <c r="Q320" s="216">
        <f>0.1+27.7</f>
        <v>27.8</v>
      </c>
      <c r="R320" s="239"/>
      <c r="S320" s="239"/>
    </row>
    <row r="321" spans="1:19" ht="34.5" customHeight="1" hidden="1">
      <c r="A321" s="99"/>
      <c r="B321" s="98"/>
      <c r="C321" s="103"/>
      <c r="D321" s="107"/>
      <c r="E321" s="104"/>
      <c r="F321" s="104"/>
      <c r="G321" s="89"/>
      <c r="H321" s="11" t="s">
        <v>674</v>
      </c>
      <c r="I321" s="6">
        <v>27</v>
      </c>
      <c r="J321" s="19">
        <v>10</v>
      </c>
      <c r="K321" s="16">
        <v>6</v>
      </c>
      <c r="L321" s="95" t="s">
        <v>573</v>
      </c>
      <c r="M321" s="96" t="s">
        <v>556</v>
      </c>
      <c r="N321" s="96" t="s">
        <v>576</v>
      </c>
      <c r="O321" s="96" t="s">
        <v>673</v>
      </c>
      <c r="P321" s="6"/>
      <c r="Q321" s="216">
        <f>Q322</f>
        <v>0</v>
      </c>
      <c r="R321" s="216">
        <f>R322</f>
        <v>0</v>
      </c>
      <c r="S321" s="216">
        <f>S322</f>
        <v>0</v>
      </c>
    </row>
    <row r="322" spans="1:19" ht="26.25" customHeight="1" hidden="1">
      <c r="A322" s="99"/>
      <c r="B322" s="98"/>
      <c r="C322" s="103"/>
      <c r="D322" s="107"/>
      <c r="E322" s="104"/>
      <c r="F322" s="104"/>
      <c r="G322" s="89"/>
      <c r="H322" s="200" t="s">
        <v>712</v>
      </c>
      <c r="I322" s="6">
        <v>27</v>
      </c>
      <c r="J322" s="19">
        <v>10</v>
      </c>
      <c r="K322" s="16">
        <v>6</v>
      </c>
      <c r="L322" s="95" t="s">
        <v>573</v>
      </c>
      <c r="M322" s="96" t="s">
        <v>556</v>
      </c>
      <c r="N322" s="96" t="s">
        <v>576</v>
      </c>
      <c r="O322" s="96" t="s">
        <v>673</v>
      </c>
      <c r="P322" s="6">
        <v>240</v>
      </c>
      <c r="Q322" s="216">
        <f>515-515</f>
        <v>0</v>
      </c>
      <c r="R322" s="239">
        <v>0</v>
      </c>
      <c r="S322" s="239">
        <v>0</v>
      </c>
    </row>
    <row r="323" spans="1:19" s="179" customFormat="1" ht="18.75" customHeight="1">
      <c r="A323" s="142"/>
      <c r="B323" s="143"/>
      <c r="C323" s="153"/>
      <c r="D323" s="144"/>
      <c r="E323" s="145"/>
      <c r="F323" s="145"/>
      <c r="G323" s="155">
        <v>612</v>
      </c>
      <c r="H323" s="149" t="s">
        <v>530</v>
      </c>
      <c r="I323" s="152">
        <v>27</v>
      </c>
      <c r="J323" s="156">
        <v>11</v>
      </c>
      <c r="K323" s="139"/>
      <c r="L323" s="140"/>
      <c r="M323" s="141"/>
      <c r="N323" s="141"/>
      <c r="O323" s="141"/>
      <c r="P323" s="146"/>
      <c r="Q323" s="217">
        <f aca="true" t="shared" si="23" ref="Q323:S324">Q324</f>
        <v>36946.3</v>
      </c>
      <c r="R323" s="217">
        <f t="shared" si="23"/>
        <v>10084.8</v>
      </c>
      <c r="S323" s="217">
        <f t="shared" si="23"/>
        <v>7300</v>
      </c>
    </row>
    <row r="324" spans="1:19" s="179" customFormat="1" ht="19.5" customHeight="1">
      <c r="A324" s="142"/>
      <c r="B324" s="143"/>
      <c r="C324" s="142"/>
      <c r="D324" s="385">
        <v>5250000</v>
      </c>
      <c r="E324" s="386"/>
      <c r="F324" s="386"/>
      <c r="G324" s="136">
        <v>530</v>
      </c>
      <c r="H324" s="137" t="s">
        <v>371</v>
      </c>
      <c r="I324" s="138">
        <v>27</v>
      </c>
      <c r="J324" s="139">
        <v>11</v>
      </c>
      <c r="K324" s="139">
        <v>1</v>
      </c>
      <c r="L324" s="140"/>
      <c r="M324" s="141"/>
      <c r="N324" s="141"/>
      <c r="O324" s="141"/>
      <c r="P324" s="138"/>
      <c r="Q324" s="213">
        <f t="shared" si="23"/>
        <v>36946.3</v>
      </c>
      <c r="R324" s="213">
        <f t="shared" si="23"/>
        <v>10084.8</v>
      </c>
      <c r="S324" s="213">
        <f t="shared" si="23"/>
        <v>7300</v>
      </c>
    </row>
    <row r="325" spans="1:19" ht="34.5" customHeight="1">
      <c r="A325" s="99"/>
      <c r="B325" s="98"/>
      <c r="C325" s="103"/>
      <c r="D325" s="101"/>
      <c r="E325" s="113"/>
      <c r="F325" s="113"/>
      <c r="G325" s="105"/>
      <c r="H325" s="5" t="s">
        <v>675</v>
      </c>
      <c r="I325" s="6">
        <v>27</v>
      </c>
      <c r="J325" s="7">
        <v>11</v>
      </c>
      <c r="K325" s="16">
        <v>1</v>
      </c>
      <c r="L325" s="95" t="s">
        <v>676</v>
      </c>
      <c r="M325" s="96" t="s">
        <v>556</v>
      </c>
      <c r="N325" s="96" t="s">
        <v>576</v>
      </c>
      <c r="O325" s="96" t="s">
        <v>613</v>
      </c>
      <c r="P325" s="6"/>
      <c r="Q325" s="214">
        <f>Q329+Q326+Q334</f>
        <v>36946.3</v>
      </c>
      <c r="R325" s="214">
        <f>R329+R332</f>
        <v>10084.8</v>
      </c>
      <c r="S325" s="214">
        <f>S329+S332</f>
        <v>7300</v>
      </c>
    </row>
    <row r="326" spans="1:19" ht="34.5" customHeight="1">
      <c r="A326" s="99"/>
      <c r="B326" s="98"/>
      <c r="C326" s="103"/>
      <c r="D326" s="101"/>
      <c r="E326" s="113"/>
      <c r="F326" s="113"/>
      <c r="G326" s="89"/>
      <c r="H326" s="11" t="s">
        <v>95</v>
      </c>
      <c r="I326" s="10">
        <v>27</v>
      </c>
      <c r="J326" s="16">
        <v>11</v>
      </c>
      <c r="K326" s="16">
        <v>1</v>
      </c>
      <c r="L326" s="122" t="s">
        <v>676</v>
      </c>
      <c r="M326" s="123" t="s">
        <v>556</v>
      </c>
      <c r="N326" s="123" t="s">
        <v>557</v>
      </c>
      <c r="O326" s="123" t="s">
        <v>613</v>
      </c>
      <c r="P326" s="10"/>
      <c r="Q326" s="214">
        <f>Q327</f>
        <v>142.1</v>
      </c>
      <c r="R326" s="214"/>
      <c r="S326" s="214"/>
    </row>
    <row r="327" spans="1:19" ht="26.25" customHeight="1">
      <c r="A327" s="99"/>
      <c r="B327" s="98"/>
      <c r="C327" s="103"/>
      <c r="D327" s="101"/>
      <c r="E327" s="113"/>
      <c r="F327" s="113"/>
      <c r="G327" s="89"/>
      <c r="H327" s="11" t="s">
        <v>307</v>
      </c>
      <c r="I327" s="10">
        <v>27</v>
      </c>
      <c r="J327" s="16">
        <v>11</v>
      </c>
      <c r="K327" s="16">
        <v>1</v>
      </c>
      <c r="L327" s="122" t="s">
        <v>676</v>
      </c>
      <c r="M327" s="123" t="s">
        <v>556</v>
      </c>
      <c r="N327" s="123" t="s">
        <v>557</v>
      </c>
      <c r="O327" s="123" t="s">
        <v>306</v>
      </c>
      <c r="P327" s="10"/>
      <c r="Q327" s="214">
        <f>Q328</f>
        <v>142.1</v>
      </c>
      <c r="R327" s="214"/>
      <c r="S327" s="214"/>
    </row>
    <row r="328" spans="1:19" ht="27.75" customHeight="1">
      <c r="A328" s="99"/>
      <c r="B328" s="98"/>
      <c r="C328" s="103"/>
      <c r="D328" s="101"/>
      <c r="E328" s="113"/>
      <c r="F328" s="113"/>
      <c r="G328" s="89"/>
      <c r="H328" s="11" t="s">
        <v>714</v>
      </c>
      <c r="I328" s="10">
        <v>27</v>
      </c>
      <c r="J328" s="16">
        <v>11</v>
      </c>
      <c r="K328" s="16">
        <v>1</v>
      </c>
      <c r="L328" s="122" t="s">
        <v>676</v>
      </c>
      <c r="M328" s="123" t="s">
        <v>556</v>
      </c>
      <c r="N328" s="123" t="s">
        <v>557</v>
      </c>
      <c r="O328" s="123" t="s">
        <v>306</v>
      </c>
      <c r="P328" s="10">
        <v>610</v>
      </c>
      <c r="Q328" s="214">
        <f>150-13.1+5.2</f>
        <v>142.1</v>
      </c>
      <c r="R328" s="214"/>
      <c r="S328" s="214"/>
    </row>
    <row r="329" spans="1:19" ht="24.75" customHeight="1">
      <c r="A329" s="99"/>
      <c r="B329" s="98"/>
      <c r="C329" s="103"/>
      <c r="D329" s="101"/>
      <c r="E329" s="113"/>
      <c r="F329" s="113"/>
      <c r="G329" s="89"/>
      <c r="H329" s="11" t="s">
        <v>308</v>
      </c>
      <c r="I329" s="10">
        <v>27</v>
      </c>
      <c r="J329" s="16">
        <v>11</v>
      </c>
      <c r="K329" s="16">
        <v>1</v>
      </c>
      <c r="L329" s="122" t="s">
        <v>676</v>
      </c>
      <c r="M329" s="123" t="s">
        <v>556</v>
      </c>
      <c r="N329" s="123" t="s">
        <v>585</v>
      </c>
      <c r="O329" s="123" t="s">
        <v>613</v>
      </c>
      <c r="P329" s="10"/>
      <c r="Q329" s="214">
        <f>Q330+Q332</f>
        <v>8305.600000000002</v>
      </c>
      <c r="R329" s="214">
        <f aca="true" t="shared" si="24" ref="Q329:S330">R330</f>
        <v>7200</v>
      </c>
      <c r="S329" s="214">
        <f t="shared" si="24"/>
        <v>7300</v>
      </c>
    </row>
    <row r="330" spans="1:19" ht="22.5" customHeight="1">
      <c r="A330" s="99"/>
      <c r="B330" s="98"/>
      <c r="C330" s="103"/>
      <c r="D330" s="101"/>
      <c r="E330" s="113"/>
      <c r="F330" s="113"/>
      <c r="G330" s="89"/>
      <c r="H330" s="11" t="s">
        <v>307</v>
      </c>
      <c r="I330" s="10">
        <v>27</v>
      </c>
      <c r="J330" s="16">
        <v>11</v>
      </c>
      <c r="K330" s="16">
        <v>1</v>
      </c>
      <c r="L330" s="122" t="s">
        <v>676</v>
      </c>
      <c r="M330" s="123" t="s">
        <v>556</v>
      </c>
      <c r="N330" s="123" t="s">
        <v>585</v>
      </c>
      <c r="O330" s="123" t="s">
        <v>306</v>
      </c>
      <c r="P330" s="10"/>
      <c r="Q330" s="214">
        <f t="shared" si="24"/>
        <v>6781.100000000001</v>
      </c>
      <c r="R330" s="214">
        <f t="shared" si="24"/>
        <v>7200</v>
      </c>
      <c r="S330" s="214">
        <f t="shared" si="24"/>
        <v>7300</v>
      </c>
    </row>
    <row r="331" spans="1:19" ht="22.5" customHeight="1">
      <c r="A331" s="99"/>
      <c r="B331" s="98"/>
      <c r="C331" s="103"/>
      <c r="D331" s="101"/>
      <c r="E331" s="113"/>
      <c r="F331" s="113"/>
      <c r="G331" s="89"/>
      <c r="H331" s="11" t="s">
        <v>714</v>
      </c>
      <c r="I331" s="10">
        <v>27</v>
      </c>
      <c r="J331" s="16">
        <v>11</v>
      </c>
      <c r="K331" s="16">
        <v>1</v>
      </c>
      <c r="L331" s="122" t="s">
        <v>676</v>
      </c>
      <c r="M331" s="123" t="s">
        <v>556</v>
      </c>
      <c r="N331" s="123" t="s">
        <v>585</v>
      </c>
      <c r="O331" s="123" t="s">
        <v>306</v>
      </c>
      <c r="P331" s="10">
        <v>610</v>
      </c>
      <c r="Q331" s="214">
        <f>6257.1-300+150+500+0.1+120.8+40+13.1</f>
        <v>6781.100000000001</v>
      </c>
      <c r="R331" s="214">
        <v>7200</v>
      </c>
      <c r="S331" s="214">
        <v>7300</v>
      </c>
    </row>
    <row r="332" spans="1:19" ht="37.5" customHeight="1">
      <c r="A332" s="99"/>
      <c r="B332" s="98"/>
      <c r="C332" s="103"/>
      <c r="D332" s="101"/>
      <c r="E332" s="113"/>
      <c r="F332" s="113"/>
      <c r="G332" s="89"/>
      <c r="H332" s="11" t="s">
        <v>61</v>
      </c>
      <c r="I332" s="10">
        <v>27</v>
      </c>
      <c r="J332" s="16">
        <v>11</v>
      </c>
      <c r="K332" s="16">
        <v>1</v>
      </c>
      <c r="L332" s="122" t="s">
        <v>676</v>
      </c>
      <c r="M332" s="123" t="s">
        <v>556</v>
      </c>
      <c r="N332" s="123" t="s">
        <v>585</v>
      </c>
      <c r="O332" s="123" t="s">
        <v>60</v>
      </c>
      <c r="P332" s="10"/>
      <c r="Q332" s="214">
        <f>Q333</f>
        <v>1524.5</v>
      </c>
      <c r="R332" s="214">
        <f>R333</f>
        <v>2884.8</v>
      </c>
      <c r="S332" s="214">
        <f>S333</f>
        <v>0</v>
      </c>
    </row>
    <row r="333" spans="1:19" ht="27" customHeight="1">
      <c r="A333" s="99"/>
      <c r="B333" s="98"/>
      <c r="C333" s="103"/>
      <c r="D333" s="101"/>
      <c r="E333" s="113"/>
      <c r="F333" s="113"/>
      <c r="G333" s="89"/>
      <c r="H333" s="11" t="s">
        <v>714</v>
      </c>
      <c r="I333" s="10">
        <v>27</v>
      </c>
      <c r="J333" s="16">
        <v>11</v>
      </c>
      <c r="K333" s="16">
        <v>1</v>
      </c>
      <c r="L333" s="122" t="s">
        <v>676</v>
      </c>
      <c r="M333" s="123" t="s">
        <v>556</v>
      </c>
      <c r="N333" s="123" t="s">
        <v>585</v>
      </c>
      <c r="O333" s="123" t="s">
        <v>60</v>
      </c>
      <c r="P333" s="10">
        <v>610</v>
      </c>
      <c r="Q333" s="214">
        <f>932.7+591.8</f>
        <v>1524.5</v>
      </c>
      <c r="R333" s="214">
        <v>2884.8</v>
      </c>
      <c r="S333" s="214">
        <v>0</v>
      </c>
    </row>
    <row r="334" spans="1:19" ht="36" customHeight="1">
      <c r="A334" s="99"/>
      <c r="B334" s="98"/>
      <c r="C334" s="103"/>
      <c r="D334" s="101"/>
      <c r="E334" s="113"/>
      <c r="F334" s="113"/>
      <c r="G334" s="89"/>
      <c r="H334" s="11" t="s">
        <v>201</v>
      </c>
      <c r="I334" s="10">
        <v>27</v>
      </c>
      <c r="J334" s="16">
        <v>11</v>
      </c>
      <c r="K334" s="16">
        <v>1</v>
      </c>
      <c r="L334" s="122" t="s">
        <v>676</v>
      </c>
      <c r="M334" s="123" t="s">
        <v>556</v>
      </c>
      <c r="N334" s="123" t="s">
        <v>586</v>
      </c>
      <c r="O334" s="123" t="s">
        <v>613</v>
      </c>
      <c r="P334" s="10"/>
      <c r="Q334" s="214">
        <f>Q335+Q337+Q339</f>
        <v>28498.600000000002</v>
      </c>
      <c r="R334" s="214"/>
      <c r="S334" s="214"/>
    </row>
    <row r="335" spans="1:19" ht="36.75" customHeight="1">
      <c r="A335" s="99"/>
      <c r="B335" s="98"/>
      <c r="C335" s="103"/>
      <c r="D335" s="101"/>
      <c r="E335" s="113"/>
      <c r="F335" s="113"/>
      <c r="G335" s="89"/>
      <c r="H335" s="11" t="s">
        <v>202</v>
      </c>
      <c r="I335" s="10">
        <v>27</v>
      </c>
      <c r="J335" s="16">
        <v>11</v>
      </c>
      <c r="K335" s="16">
        <v>1</v>
      </c>
      <c r="L335" s="122" t="s">
        <v>676</v>
      </c>
      <c r="M335" s="123" t="s">
        <v>556</v>
      </c>
      <c r="N335" s="123" t="s">
        <v>586</v>
      </c>
      <c r="O335" s="123" t="s">
        <v>200</v>
      </c>
      <c r="P335" s="10"/>
      <c r="Q335" s="214">
        <f>Q336</f>
        <v>7611.7</v>
      </c>
      <c r="R335" s="214"/>
      <c r="S335" s="214"/>
    </row>
    <row r="336" spans="1:19" ht="27" customHeight="1">
      <c r="A336" s="99"/>
      <c r="B336" s="98"/>
      <c r="C336" s="103"/>
      <c r="D336" s="101"/>
      <c r="E336" s="113"/>
      <c r="F336" s="113"/>
      <c r="G336" s="89"/>
      <c r="H336" s="11" t="s">
        <v>714</v>
      </c>
      <c r="I336" s="10">
        <v>27</v>
      </c>
      <c r="J336" s="16">
        <v>11</v>
      </c>
      <c r="K336" s="16">
        <v>1</v>
      </c>
      <c r="L336" s="122" t="s">
        <v>676</v>
      </c>
      <c r="M336" s="123" t="s">
        <v>556</v>
      </c>
      <c r="N336" s="123" t="s">
        <v>586</v>
      </c>
      <c r="O336" s="123" t="s">
        <v>200</v>
      </c>
      <c r="P336" s="10">
        <v>610</v>
      </c>
      <c r="Q336" s="214">
        <f>8130-120.8-397.5</f>
        <v>7611.7</v>
      </c>
      <c r="R336" s="214"/>
      <c r="S336" s="214"/>
    </row>
    <row r="337" spans="1:19" ht="33.75" customHeight="1" hidden="1">
      <c r="A337" s="99"/>
      <c r="B337" s="98"/>
      <c r="C337" s="103"/>
      <c r="D337" s="101"/>
      <c r="E337" s="113"/>
      <c r="F337" s="113"/>
      <c r="G337" s="89"/>
      <c r="H337" s="11" t="s">
        <v>216</v>
      </c>
      <c r="I337" s="10">
        <v>27</v>
      </c>
      <c r="J337" s="16">
        <v>11</v>
      </c>
      <c r="K337" s="16">
        <v>1</v>
      </c>
      <c r="L337" s="122" t="s">
        <v>676</v>
      </c>
      <c r="M337" s="123" t="s">
        <v>556</v>
      </c>
      <c r="N337" s="123" t="s">
        <v>586</v>
      </c>
      <c r="O337" s="123" t="s">
        <v>214</v>
      </c>
      <c r="P337" s="10"/>
      <c r="Q337" s="214">
        <f>Q338</f>
        <v>0</v>
      </c>
      <c r="R337" s="214"/>
      <c r="S337" s="214"/>
    </row>
    <row r="338" spans="1:19" ht="27" customHeight="1" hidden="1">
      <c r="A338" s="99"/>
      <c r="B338" s="98"/>
      <c r="C338" s="103"/>
      <c r="D338" s="101"/>
      <c r="E338" s="113"/>
      <c r="F338" s="113"/>
      <c r="G338" s="89"/>
      <c r="H338" s="11" t="s">
        <v>714</v>
      </c>
      <c r="I338" s="10">
        <v>27</v>
      </c>
      <c r="J338" s="16">
        <v>11</v>
      </c>
      <c r="K338" s="16">
        <v>1</v>
      </c>
      <c r="L338" s="122" t="s">
        <v>676</v>
      </c>
      <c r="M338" s="123" t="s">
        <v>556</v>
      </c>
      <c r="N338" s="123" t="s">
        <v>586</v>
      </c>
      <c r="O338" s="123" t="s">
        <v>214</v>
      </c>
      <c r="P338" s="10">
        <v>610</v>
      </c>
      <c r="Q338" s="214">
        <v>0</v>
      </c>
      <c r="R338" s="214"/>
      <c r="S338" s="214"/>
    </row>
    <row r="339" spans="1:19" ht="36" customHeight="1">
      <c r="A339" s="99"/>
      <c r="B339" s="98"/>
      <c r="C339" s="103"/>
      <c r="D339" s="101"/>
      <c r="E339" s="113"/>
      <c r="F339" s="113"/>
      <c r="G339" s="89"/>
      <c r="H339" s="11" t="s">
        <v>217</v>
      </c>
      <c r="I339" s="10">
        <v>27</v>
      </c>
      <c r="J339" s="16">
        <v>11</v>
      </c>
      <c r="K339" s="16">
        <v>1</v>
      </c>
      <c r="L339" s="122" t="s">
        <v>676</v>
      </c>
      <c r="M339" s="123" t="s">
        <v>556</v>
      </c>
      <c r="N339" s="123" t="s">
        <v>586</v>
      </c>
      <c r="O339" s="123" t="s">
        <v>215</v>
      </c>
      <c r="P339" s="10"/>
      <c r="Q339" s="214">
        <f>Q340</f>
        <v>20886.9</v>
      </c>
      <c r="R339" s="214"/>
      <c r="S339" s="214"/>
    </row>
    <row r="340" spans="1:19" ht="27" customHeight="1">
      <c r="A340" s="99"/>
      <c r="B340" s="98"/>
      <c r="C340" s="103"/>
      <c r="D340" s="101"/>
      <c r="E340" s="113"/>
      <c r="F340" s="113"/>
      <c r="G340" s="89"/>
      <c r="H340" s="11" t="s">
        <v>714</v>
      </c>
      <c r="I340" s="10">
        <v>27</v>
      </c>
      <c r="J340" s="16">
        <v>11</v>
      </c>
      <c r="K340" s="16">
        <v>1</v>
      </c>
      <c r="L340" s="122" t="s">
        <v>676</v>
      </c>
      <c r="M340" s="123" t="s">
        <v>556</v>
      </c>
      <c r="N340" s="123" t="s">
        <v>586</v>
      </c>
      <c r="O340" s="123" t="s">
        <v>215</v>
      </c>
      <c r="P340" s="10">
        <v>610</v>
      </c>
      <c r="Q340" s="214">
        <v>20886.9</v>
      </c>
      <c r="R340" s="214"/>
      <c r="S340" s="214"/>
    </row>
    <row r="341" spans="1:19" s="177" customFormat="1" ht="24.75" customHeight="1">
      <c r="A341" s="158"/>
      <c r="B341" s="180"/>
      <c r="C341" s="181"/>
      <c r="D341" s="182"/>
      <c r="E341" s="183"/>
      <c r="F341" s="183"/>
      <c r="G341" s="184"/>
      <c r="H341" s="33" t="s">
        <v>757</v>
      </c>
      <c r="I341" s="14">
        <v>28</v>
      </c>
      <c r="J341" s="15"/>
      <c r="K341" s="15"/>
      <c r="L341" s="164"/>
      <c r="M341" s="165"/>
      <c r="N341" s="165"/>
      <c r="O341" s="165"/>
      <c r="P341" s="14"/>
      <c r="Q341" s="212">
        <f>Q342+Q376</f>
        <v>5371.9000000000015</v>
      </c>
      <c r="R341" s="212">
        <f>R342+R376</f>
        <v>4346.3</v>
      </c>
      <c r="S341" s="212">
        <f>S342+S376</f>
        <v>4346.3</v>
      </c>
    </row>
    <row r="342" spans="1:19" s="179" customFormat="1" ht="23.25" customHeight="1">
      <c r="A342" s="142"/>
      <c r="B342" s="143"/>
      <c r="C342" s="153"/>
      <c r="D342" s="150"/>
      <c r="E342" s="154"/>
      <c r="F342" s="154"/>
      <c r="G342" s="136"/>
      <c r="H342" s="137" t="s">
        <v>529</v>
      </c>
      <c r="I342" s="138">
        <v>28</v>
      </c>
      <c r="J342" s="139">
        <v>1</v>
      </c>
      <c r="K342" s="139" t="s">
        <v>614</v>
      </c>
      <c r="L342" s="185"/>
      <c r="M342" s="186"/>
      <c r="N342" s="186"/>
      <c r="O342" s="186"/>
      <c r="P342" s="138"/>
      <c r="Q342" s="213">
        <f>Q343+Q352+Q365</f>
        <v>5299.9000000000015</v>
      </c>
      <c r="R342" s="213">
        <f>R343+R352+R365</f>
        <v>4274.3</v>
      </c>
      <c r="S342" s="213">
        <f>S343+S352+S365</f>
        <v>4274.3</v>
      </c>
    </row>
    <row r="343" spans="1:19" s="179" customFormat="1" ht="36" customHeight="1">
      <c r="A343" s="142"/>
      <c r="B343" s="143"/>
      <c r="C343" s="153"/>
      <c r="D343" s="150"/>
      <c r="E343" s="154"/>
      <c r="F343" s="154"/>
      <c r="G343" s="136"/>
      <c r="H343" s="137" t="s">
        <v>562</v>
      </c>
      <c r="I343" s="138">
        <v>28</v>
      </c>
      <c r="J343" s="139">
        <v>1</v>
      </c>
      <c r="K343" s="139">
        <v>2</v>
      </c>
      <c r="L343" s="185"/>
      <c r="M343" s="186"/>
      <c r="N343" s="186"/>
      <c r="O343" s="186"/>
      <c r="P343" s="138"/>
      <c r="Q343" s="213">
        <f aca="true" t="shared" si="25" ref="Q343:S344">Q344</f>
        <v>2044.9</v>
      </c>
      <c r="R343" s="213">
        <f t="shared" si="25"/>
        <v>1946.9</v>
      </c>
      <c r="S343" s="213">
        <f t="shared" si="25"/>
        <v>1946.9</v>
      </c>
    </row>
    <row r="344" spans="1:19" s="179" customFormat="1" ht="21.75" customHeight="1">
      <c r="A344" s="142"/>
      <c r="B344" s="143"/>
      <c r="C344" s="153"/>
      <c r="D344" s="150"/>
      <c r="E344" s="154"/>
      <c r="F344" s="154"/>
      <c r="G344" s="136"/>
      <c r="H344" s="11" t="s">
        <v>574</v>
      </c>
      <c r="I344" s="10">
        <v>28</v>
      </c>
      <c r="J344" s="16">
        <v>1</v>
      </c>
      <c r="K344" s="16">
        <v>2</v>
      </c>
      <c r="L344" s="16" t="s">
        <v>575</v>
      </c>
      <c r="M344" s="96" t="s">
        <v>556</v>
      </c>
      <c r="N344" s="96" t="s">
        <v>576</v>
      </c>
      <c r="O344" s="96" t="s">
        <v>613</v>
      </c>
      <c r="P344" s="10" t="s">
        <v>527</v>
      </c>
      <c r="Q344" s="214">
        <f>Q345+Q350+Q348</f>
        <v>2044.9</v>
      </c>
      <c r="R344" s="214">
        <f t="shared" si="25"/>
        <v>1946.9</v>
      </c>
      <c r="S344" s="214">
        <f t="shared" si="25"/>
        <v>1946.9</v>
      </c>
    </row>
    <row r="345" spans="1:19" ht="23.25" customHeight="1">
      <c r="A345" s="97"/>
      <c r="B345" s="98"/>
      <c r="C345" s="103"/>
      <c r="D345" s="101"/>
      <c r="E345" s="113"/>
      <c r="F345" s="113"/>
      <c r="G345" s="89"/>
      <c r="H345" s="11" t="s">
        <v>758</v>
      </c>
      <c r="I345" s="10">
        <v>28</v>
      </c>
      <c r="J345" s="16">
        <v>1</v>
      </c>
      <c r="K345" s="16">
        <v>2</v>
      </c>
      <c r="L345" s="122" t="s">
        <v>575</v>
      </c>
      <c r="M345" s="123" t="s">
        <v>556</v>
      </c>
      <c r="N345" s="123" t="s">
        <v>576</v>
      </c>
      <c r="O345" s="123" t="s">
        <v>641</v>
      </c>
      <c r="P345" s="10"/>
      <c r="Q345" s="214">
        <f>SUM(Q346:Q347)</f>
        <v>1731.7</v>
      </c>
      <c r="R345" s="214">
        <f>SUM(R346:R347)</f>
        <v>1946.9</v>
      </c>
      <c r="S345" s="214">
        <f>SUM(S346:S347)</f>
        <v>1946.9</v>
      </c>
    </row>
    <row r="346" spans="1:19" ht="24.75" customHeight="1">
      <c r="A346" s="97"/>
      <c r="B346" s="98"/>
      <c r="C346" s="103"/>
      <c r="D346" s="101"/>
      <c r="E346" s="113"/>
      <c r="F346" s="113"/>
      <c r="G346" s="89"/>
      <c r="H346" s="11" t="s">
        <v>526</v>
      </c>
      <c r="I346" s="10">
        <v>28</v>
      </c>
      <c r="J346" s="16">
        <v>1</v>
      </c>
      <c r="K346" s="16">
        <v>2</v>
      </c>
      <c r="L346" s="122" t="s">
        <v>575</v>
      </c>
      <c r="M346" s="123" t="s">
        <v>556</v>
      </c>
      <c r="N346" s="123" t="s">
        <v>576</v>
      </c>
      <c r="O346" s="123" t="s">
        <v>641</v>
      </c>
      <c r="P346" s="10">
        <v>120</v>
      </c>
      <c r="Q346" s="214">
        <f>1633.7-31.5-3+166-18.5-15</f>
        <v>1731.7</v>
      </c>
      <c r="R346" s="214">
        <v>1633.8</v>
      </c>
      <c r="S346" s="214">
        <v>1633.8</v>
      </c>
    </row>
    <row r="347" spans="1:19" ht="29.25" customHeight="1">
      <c r="A347" s="97"/>
      <c r="B347" s="98"/>
      <c r="C347" s="103"/>
      <c r="D347" s="101"/>
      <c r="E347" s="113"/>
      <c r="F347" s="113"/>
      <c r="G347" s="89"/>
      <c r="H347" s="11" t="s">
        <v>712</v>
      </c>
      <c r="I347" s="10">
        <v>28</v>
      </c>
      <c r="J347" s="16">
        <v>1</v>
      </c>
      <c r="K347" s="16">
        <v>2</v>
      </c>
      <c r="L347" s="122" t="s">
        <v>575</v>
      </c>
      <c r="M347" s="123" t="s">
        <v>556</v>
      </c>
      <c r="N347" s="123" t="s">
        <v>576</v>
      </c>
      <c r="O347" s="123" t="s">
        <v>641</v>
      </c>
      <c r="P347" s="10">
        <v>240</v>
      </c>
      <c r="Q347" s="214">
        <f>313.1-313.1</f>
        <v>0</v>
      </c>
      <c r="R347" s="214">
        <v>313.1</v>
      </c>
      <c r="S347" s="214">
        <v>313.1</v>
      </c>
    </row>
    <row r="348" spans="1:19" ht="50.25" customHeight="1" hidden="1">
      <c r="A348" s="97"/>
      <c r="B348" s="98"/>
      <c r="C348" s="103"/>
      <c r="D348" s="101"/>
      <c r="E348" s="113"/>
      <c r="F348" s="113"/>
      <c r="G348" s="89"/>
      <c r="H348" s="108" t="s">
        <v>864</v>
      </c>
      <c r="I348" s="10">
        <v>28</v>
      </c>
      <c r="J348" s="16">
        <v>1</v>
      </c>
      <c r="K348" s="16">
        <v>2</v>
      </c>
      <c r="L348" s="122" t="s">
        <v>575</v>
      </c>
      <c r="M348" s="123" t="s">
        <v>556</v>
      </c>
      <c r="N348" s="123" t="s">
        <v>576</v>
      </c>
      <c r="O348" s="123" t="s">
        <v>863</v>
      </c>
      <c r="P348" s="10"/>
      <c r="Q348" s="214">
        <f>Q349</f>
        <v>0</v>
      </c>
      <c r="R348" s="214"/>
      <c r="S348" s="214"/>
    </row>
    <row r="349" spans="1:19" ht="29.25" customHeight="1" hidden="1">
      <c r="A349" s="97"/>
      <c r="B349" s="98"/>
      <c r="C349" s="103"/>
      <c r="D349" s="101"/>
      <c r="E349" s="113"/>
      <c r="F349" s="113"/>
      <c r="G349" s="89"/>
      <c r="H349" s="11" t="s">
        <v>526</v>
      </c>
      <c r="I349" s="10">
        <v>28</v>
      </c>
      <c r="J349" s="16">
        <v>1</v>
      </c>
      <c r="K349" s="16">
        <v>2</v>
      </c>
      <c r="L349" s="122" t="s">
        <v>575</v>
      </c>
      <c r="M349" s="123" t="s">
        <v>556</v>
      </c>
      <c r="N349" s="123" t="s">
        <v>576</v>
      </c>
      <c r="O349" s="123" t="s">
        <v>863</v>
      </c>
      <c r="P349" s="10">
        <v>120</v>
      </c>
      <c r="Q349" s="214">
        <v>0</v>
      </c>
      <c r="R349" s="214"/>
      <c r="S349" s="214"/>
    </row>
    <row r="350" spans="1:19" ht="35.25" customHeight="1">
      <c r="A350" s="97"/>
      <c r="B350" s="98"/>
      <c r="C350" s="103"/>
      <c r="D350" s="101"/>
      <c r="E350" s="113"/>
      <c r="F350" s="113"/>
      <c r="G350" s="89"/>
      <c r="H350" s="11" t="s">
        <v>61</v>
      </c>
      <c r="I350" s="10">
        <v>28</v>
      </c>
      <c r="J350" s="16">
        <v>1</v>
      </c>
      <c r="K350" s="16">
        <v>2</v>
      </c>
      <c r="L350" s="122" t="s">
        <v>575</v>
      </c>
      <c r="M350" s="123" t="s">
        <v>556</v>
      </c>
      <c r="N350" s="123" t="s">
        <v>576</v>
      </c>
      <c r="O350" s="123" t="s">
        <v>60</v>
      </c>
      <c r="P350" s="10"/>
      <c r="Q350" s="214">
        <f>Q351</f>
        <v>313.2</v>
      </c>
      <c r="R350" s="214"/>
      <c r="S350" s="214"/>
    </row>
    <row r="351" spans="1:19" ht="29.25" customHeight="1">
      <c r="A351" s="97"/>
      <c r="B351" s="98"/>
      <c r="C351" s="103"/>
      <c r="D351" s="101"/>
      <c r="E351" s="113"/>
      <c r="F351" s="113"/>
      <c r="G351" s="89"/>
      <c r="H351" s="11" t="s">
        <v>526</v>
      </c>
      <c r="I351" s="10">
        <v>28</v>
      </c>
      <c r="J351" s="16">
        <v>1</v>
      </c>
      <c r="K351" s="16">
        <v>2</v>
      </c>
      <c r="L351" s="122" t="s">
        <v>575</v>
      </c>
      <c r="M351" s="123" t="s">
        <v>556</v>
      </c>
      <c r="N351" s="123" t="s">
        <v>576</v>
      </c>
      <c r="O351" s="123" t="s">
        <v>60</v>
      </c>
      <c r="P351" s="10">
        <v>120</v>
      </c>
      <c r="Q351" s="214">
        <v>313.2</v>
      </c>
      <c r="R351" s="214"/>
      <c r="S351" s="214"/>
    </row>
    <row r="352" spans="1:19" s="179" customFormat="1" ht="36" customHeight="1">
      <c r="A352" s="142"/>
      <c r="B352" s="143"/>
      <c r="C352" s="153"/>
      <c r="D352" s="150"/>
      <c r="E352" s="154"/>
      <c r="F352" s="154"/>
      <c r="G352" s="136"/>
      <c r="H352" s="137" t="s">
        <v>496</v>
      </c>
      <c r="I352" s="138">
        <v>28</v>
      </c>
      <c r="J352" s="139">
        <v>1</v>
      </c>
      <c r="K352" s="139">
        <v>3</v>
      </c>
      <c r="L352" s="185"/>
      <c r="M352" s="186"/>
      <c r="N352" s="186"/>
      <c r="O352" s="186"/>
      <c r="P352" s="138"/>
      <c r="Q352" s="213">
        <f aca="true" t="shared" si="26" ref="Q352:S353">Q353</f>
        <v>3098.9000000000005</v>
      </c>
      <c r="R352" s="213">
        <f t="shared" si="26"/>
        <v>2007.4</v>
      </c>
      <c r="S352" s="213">
        <f t="shared" si="26"/>
        <v>2007.4</v>
      </c>
    </row>
    <row r="353" spans="1:19" s="179" customFormat="1" ht="21.75" customHeight="1">
      <c r="A353" s="142"/>
      <c r="B353" s="143"/>
      <c r="C353" s="153"/>
      <c r="D353" s="150"/>
      <c r="E353" s="154"/>
      <c r="F353" s="154"/>
      <c r="G353" s="136"/>
      <c r="H353" s="11" t="s">
        <v>574</v>
      </c>
      <c r="I353" s="10">
        <v>28</v>
      </c>
      <c r="J353" s="16">
        <v>1</v>
      </c>
      <c r="K353" s="16">
        <v>3</v>
      </c>
      <c r="L353" s="16" t="s">
        <v>575</v>
      </c>
      <c r="M353" s="96" t="s">
        <v>556</v>
      </c>
      <c r="N353" s="96" t="s">
        <v>576</v>
      </c>
      <c r="O353" s="96" t="s">
        <v>613</v>
      </c>
      <c r="P353" s="138"/>
      <c r="Q353" s="213">
        <f>Q354+Q360+Q362+Q358</f>
        <v>3098.9000000000005</v>
      </c>
      <c r="R353" s="213">
        <f t="shared" si="26"/>
        <v>2007.4</v>
      </c>
      <c r="S353" s="213">
        <f t="shared" si="26"/>
        <v>2007.4</v>
      </c>
    </row>
    <row r="354" spans="1:19" ht="20.25" customHeight="1">
      <c r="A354" s="97"/>
      <c r="B354" s="98"/>
      <c r="C354" s="103"/>
      <c r="D354" s="101"/>
      <c r="E354" s="113"/>
      <c r="F354" s="113"/>
      <c r="G354" s="89"/>
      <c r="H354" s="11" t="s">
        <v>758</v>
      </c>
      <c r="I354" s="10">
        <v>28</v>
      </c>
      <c r="J354" s="16">
        <v>1</v>
      </c>
      <c r="K354" s="16">
        <v>3</v>
      </c>
      <c r="L354" s="122" t="s">
        <v>575</v>
      </c>
      <c r="M354" s="123" t="s">
        <v>556</v>
      </c>
      <c r="N354" s="123" t="s">
        <v>576</v>
      </c>
      <c r="O354" s="123" t="s">
        <v>641</v>
      </c>
      <c r="P354" s="10"/>
      <c r="Q354" s="214">
        <f>SUM(Q355:Q357)</f>
        <v>2641.9000000000005</v>
      </c>
      <c r="R354" s="214">
        <f>SUM(R355:R356)</f>
        <v>2007.4</v>
      </c>
      <c r="S354" s="214">
        <f>SUM(S355:S356)</f>
        <v>2007.4</v>
      </c>
    </row>
    <row r="355" spans="1:19" ht="24.75" customHeight="1">
      <c r="A355" s="97"/>
      <c r="B355" s="98"/>
      <c r="C355" s="103"/>
      <c r="D355" s="101"/>
      <c r="E355" s="113"/>
      <c r="F355" s="113"/>
      <c r="G355" s="89"/>
      <c r="H355" s="11" t="s">
        <v>526</v>
      </c>
      <c r="I355" s="10">
        <v>28</v>
      </c>
      <c r="J355" s="16">
        <v>1</v>
      </c>
      <c r="K355" s="16">
        <v>3</v>
      </c>
      <c r="L355" s="122" t="s">
        <v>575</v>
      </c>
      <c r="M355" s="123" t="s">
        <v>556</v>
      </c>
      <c r="N355" s="123" t="s">
        <v>576</v>
      </c>
      <c r="O355" s="123" t="s">
        <v>641</v>
      </c>
      <c r="P355" s="10">
        <v>120</v>
      </c>
      <c r="Q355" s="214">
        <f>1125.7-0.3+373.2+64.1+3+28.9+67-13.1</f>
        <v>1648.5000000000002</v>
      </c>
      <c r="R355" s="214">
        <v>1125.7</v>
      </c>
      <c r="S355" s="214">
        <v>1125.7</v>
      </c>
    </row>
    <row r="356" spans="1:19" ht="23.25" customHeight="1">
      <c r="A356" s="97"/>
      <c r="B356" s="98"/>
      <c r="C356" s="103"/>
      <c r="D356" s="101"/>
      <c r="E356" s="113"/>
      <c r="F356" s="113"/>
      <c r="G356" s="89"/>
      <c r="H356" s="11" t="s">
        <v>712</v>
      </c>
      <c r="I356" s="10">
        <v>28</v>
      </c>
      <c r="J356" s="16">
        <v>1</v>
      </c>
      <c r="K356" s="16">
        <v>3</v>
      </c>
      <c r="L356" s="122" t="s">
        <v>575</v>
      </c>
      <c r="M356" s="123" t="s">
        <v>556</v>
      </c>
      <c r="N356" s="123" t="s">
        <v>576</v>
      </c>
      <c r="O356" s="123" t="s">
        <v>641</v>
      </c>
      <c r="P356" s="10">
        <v>240</v>
      </c>
      <c r="Q356" s="214">
        <f>881.7-78.7+14-56+70+100+18.5+1.6-7+49</f>
        <v>993.1</v>
      </c>
      <c r="R356" s="214">
        <v>881.7</v>
      </c>
      <c r="S356" s="214">
        <v>881.7</v>
      </c>
    </row>
    <row r="357" spans="1:19" ht="23.25" customHeight="1">
      <c r="A357" s="97"/>
      <c r="B357" s="98"/>
      <c r="C357" s="103"/>
      <c r="D357" s="101"/>
      <c r="E357" s="113"/>
      <c r="F357" s="113"/>
      <c r="G357" s="89"/>
      <c r="H357" s="11" t="s">
        <v>713</v>
      </c>
      <c r="I357" s="10">
        <v>28</v>
      </c>
      <c r="J357" s="16">
        <v>1</v>
      </c>
      <c r="K357" s="16">
        <v>3</v>
      </c>
      <c r="L357" s="122" t="s">
        <v>575</v>
      </c>
      <c r="M357" s="123" t="s">
        <v>556</v>
      </c>
      <c r="N357" s="123" t="s">
        <v>576</v>
      </c>
      <c r="O357" s="123" t="s">
        <v>641</v>
      </c>
      <c r="P357" s="10">
        <v>850</v>
      </c>
      <c r="Q357" s="214">
        <v>0.3</v>
      </c>
      <c r="R357" s="216"/>
      <c r="S357" s="216"/>
    </row>
    <row r="358" spans="1:19" ht="48.75" customHeight="1" hidden="1">
      <c r="A358" s="97"/>
      <c r="B358" s="98"/>
      <c r="C358" s="103"/>
      <c r="D358" s="101"/>
      <c r="E358" s="113"/>
      <c r="F358" s="113"/>
      <c r="G358" s="89"/>
      <c r="H358" s="108" t="s">
        <v>864</v>
      </c>
      <c r="I358" s="10">
        <v>28</v>
      </c>
      <c r="J358" s="16">
        <v>1</v>
      </c>
      <c r="K358" s="16">
        <v>3</v>
      </c>
      <c r="L358" s="122" t="s">
        <v>575</v>
      </c>
      <c r="M358" s="123" t="s">
        <v>556</v>
      </c>
      <c r="N358" s="123" t="s">
        <v>576</v>
      </c>
      <c r="O358" s="123" t="s">
        <v>863</v>
      </c>
      <c r="P358" s="10"/>
      <c r="Q358" s="214">
        <f>Q359</f>
        <v>0</v>
      </c>
      <c r="R358" s="216"/>
      <c r="S358" s="216"/>
    </row>
    <row r="359" spans="1:19" ht="23.25" customHeight="1" hidden="1">
      <c r="A359" s="97"/>
      <c r="B359" s="98"/>
      <c r="C359" s="103"/>
      <c r="D359" s="101"/>
      <c r="E359" s="113"/>
      <c r="F359" s="113"/>
      <c r="G359" s="89"/>
      <c r="H359" s="11" t="s">
        <v>526</v>
      </c>
      <c r="I359" s="10">
        <v>28</v>
      </c>
      <c r="J359" s="16">
        <v>1</v>
      </c>
      <c r="K359" s="16">
        <v>3</v>
      </c>
      <c r="L359" s="122" t="s">
        <v>575</v>
      </c>
      <c r="M359" s="123" t="s">
        <v>556</v>
      </c>
      <c r="N359" s="123" t="s">
        <v>576</v>
      </c>
      <c r="O359" s="123" t="s">
        <v>863</v>
      </c>
      <c r="P359" s="10">
        <v>120</v>
      </c>
      <c r="Q359" s="214">
        <v>0</v>
      </c>
      <c r="R359" s="216"/>
      <c r="S359" s="216"/>
    </row>
    <row r="360" spans="1:19" ht="34.5" customHeight="1">
      <c r="A360" s="97"/>
      <c r="B360" s="98"/>
      <c r="C360" s="103"/>
      <c r="D360" s="101"/>
      <c r="E360" s="113"/>
      <c r="F360" s="113"/>
      <c r="G360" s="89"/>
      <c r="H360" s="11" t="s">
        <v>61</v>
      </c>
      <c r="I360" s="10">
        <v>28</v>
      </c>
      <c r="J360" s="16">
        <v>1</v>
      </c>
      <c r="K360" s="16">
        <v>3</v>
      </c>
      <c r="L360" s="122" t="s">
        <v>575</v>
      </c>
      <c r="M360" s="123" t="s">
        <v>556</v>
      </c>
      <c r="N360" s="123" t="s">
        <v>576</v>
      </c>
      <c r="O360" s="123" t="s">
        <v>60</v>
      </c>
      <c r="P360" s="10"/>
      <c r="Q360" s="214">
        <f>Q361</f>
        <v>378.59999999999997</v>
      </c>
      <c r="R360" s="216"/>
      <c r="S360" s="216"/>
    </row>
    <row r="361" spans="1:19" ht="23.25" customHeight="1">
      <c r="A361" s="97"/>
      <c r="B361" s="98"/>
      <c r="C361" s="103"/>
      <c r="D361" s="101"/>
      <c r="E361" s="113"/>
      <c r="F361" s="113"/>
      <c r="G361" s="89"/>
      <c r="H361" s="11" t="s">
        <v>526</v>
      </c>
      <c r="I361" s="10">
        <v>28</v>
      </c>
      <c r="J361" s="16">
        <v>1</v>
      </c>
      <c r="K361" s="16">
        <v>3</v>
      </c>
      <c r="L361" s="122" t="s">
        <v>575</v>
      </c>
      <c r="M361" s="123" t="s">
        <v>556</v>
      </c>
      <c r="N361" s="123" t="s">
        <v>576</v>
      </c>
      <c r="O361" s="123" t="s">
        <v>60</v>
      </c>
      <c r="P361" s="10">
        <v>120</v>
      </c>
      <c r="Q361" s="214">
        <f>78.7+138.5+109+52.4</f>
        <v>378.59999999999997</v>
      </c>
      <c r="R361" s="216"/>
      <c r="S361" s="216"/>
    </row>
    <row r="362" spans="1:19" ht="23.25" customHeight="1">
      <c r="A362" s="97"/>
      <c r="B362" s="98"/>
      <c r="C362" s="103"/>
      <c r="D362" s="101"/>
      <c r="E362" s="113"/>
      <c r="F362" s="113"/>
      <c r="G362" s="89"/>
      <c r="H362" s="320" t="s">
        <v>840</v>
      </c>
      <c r="I362" s="10">
        <v>28</v>
      </c>
      <c r="J362" s="16">
        <v>1</v>
      </c>
      <c r="K362" s="16">
        <v>3</v>
      </c>
      <c r="L362" s="122" t="s">
        <v>575</v>
      </c>
      <c r="M362" s="123" t="s">
        <v>556</v>
      </c>
      <c r="N362" s="123" t="s">
        <v>576</v>
      </c>
      <c r="O362" s="123" t="s">
        <v>235</v>
      </c>
      <c r="P362" s="6"/>
      <c r="Q362" s="216">
        <f>SUM(Q363:Q364)</f>
        <v>78.4</v>
      </c>
      <c r="R362" s="216"/>
      <c r="S362" s="216"/>
    </row>
    <row r="363" spans="1:19" ht="23.25" customHeight="1">
      <c r="A363" s="97"/>
      <c r="B363" s="98"/>
      <c r="C363" s="103"/>
      <c r="D363" s="101"/>
      <c r="E363" s="113"/>
      <c r="F363" s="113"/>
      <c r="G363" s="89"/>
      <c r="H363" s="11" t="s">
        <v>526</v>
      </c>
      <c r="I363" s="10">
        <v>28</v>
      </c>
      <c r="J363" s="16">
        <v>1</v>
      </c>
      <c r="K363" s="16">
        <v>3</v>
      </c>
      <c r="L363" s="122" t="s">
        <v>575</v>
      </c>
      <c r="M363" s="123" t="s">
        <v>556</v>
      </c>
      <c r="N363" s="123" t="s">
        <v>576</v>
      </c>
      <c r="O363" s="123" t="s">
        <v>235</v>
      </c>
      <c r="P363" s="6">
        <v>120</v>
      </c>
      <c r="Q363" s="216">
        <v>75.4</v>
      </c>
      <c r="R363" s="216"/>
      <c r="S363" s="216"/>
    </row>
    <row r="364" spans="1:19" ht="23.25" customHeight="1">
      <c r="A364" s="97"/>
      <c r="B364" s="98"/>
      <c r="C364" s="103"/>
      <c r="D364" s="101"/>
      <c r="E364" s="113"/>
      <c r="F364" s="113"/>
      <c r="G364" s="89"/>
      <c r="H364" s="11" t="s">
        <v>712</v>
      </c>
      <c r="I364" s="10">
        <v>28</v>
      </c>
      <c r="J364" s="16">
        <v>1</v>
      </c>
      <c r="K364" s="16">
        <v>3</v>
      </c>
      <c r="L364" s="122" t="s">
        <v>575</v>
      </c>
      <c r="M364" s="123" t="s">
        <v>556</v>
      </c>
      <c r="N364" s="123" t="s">
        <v>576</v>
      </c>
      <c r="O364" s="123" t="s">
        <v>235</v>
      </c>
      <c r="P364" s="6">
        <v>240</v>
      </c>
      <c r="Q364" s="216">
        <v>3</v>
      </c>
      <c r="R364" s="216"/>
      <c r="S364" s="216"/>
    </row>
    <row r="365" spans="1:19" ht="23.25" customHeight="1">
      <c r="A365" s="97"/>
      <c r="B365" s="98"/>
      <c r="C365" s="103"/>
      <c r="D365" s="101"/>
      <c r="E365" s="113"/>
      <c r="F365" s="113"/>
      <c r="G365" s="89"/>
      <c r="H365" s="252" t="s">
        <v>528</v>
      </c>
      <c r="I365" s="138">
        <v>28</v>
      </c>
      <c r="J365" s="139">
        <v>1</v>
      </c>
      <c r="K365" s="139">
        <v>13</v>
      </c>
      <c r="L365" s="122"/>
      <c r="M365" s="123"/>
      <c r="N365" s="123"/>
      <c r="O365" s="123"/>
      <c r="P365" s="6"/>
      <c r="Q365" s="217">
        <f>Q366+Q373</f>
        <v>156.1</v>
      </c>
      <c r="R365" s="217">
        <f>R366+R373</f>
        <v>320</v>
      </c>
      <c r="S365" s="217">
        <f>S366+S373</f>
        <v>320</v>
      </c>
    </row>
    <row r="366" spans="1:19" ht="33.75" customHeight="1">
      <c r="A366" s="99"/>
      <c r="B366" s="98"/>
      <c r="C366" s="103"/>
      <c r="D366" s="101"/>
      <c r="E366" s="113"/>
      <c r="F366" s="113"/>
      <c r="G366" s="105"/>
      <c r="H366" s="3" t="s">
        <v>29</v>
      </c>
      <c r="I366" s="6">
        <v>28</v>
      </c>
      <c r="J366" s="7">
        <v>1</v>
      </c>
      <c r="K366" s="16">
        <v>13</v>
      </c>
      <c r="L366" s="95" t="s">
        <v>586</v>
      </c>
      <c r="M366" s="96" t="s">
        <v>556</v>
      </c>
      <c r="N366" s="96" t="s">
        <v>576</v>
      </c>
      <c r="O366" s="96" t="s">
        <v>613</v>
      </c>
      <c r="P366" s="6"/>
      <c r="Q366" s="216">
        <f>Q367+Q370</f>
        <v>156.1</v>
      </c>
      <c r="R366" s="216">
        <f>R367+R370</f>
        <v>0</v>
      </c>
      <c r="S366" s="216">
        <f>S367+S370</f>
        <v>0</v>
      </c>
    </row>
    <row r="367" spans="1:19" ht="19.5" customHeight="1">
      <c r="A367" s="99"/>
      <c r="B367" s="98"/>
      <c r="C367" s="103"/>
      <c r="D367" s="101"/>
      <c r="E367" s="113"/>
      <c r="F367" s="113"/>
      <c r="G367" s="105"/>
      <c r="H367" s="3" t="s">
        <v>27</v>
      </c>
      <c r="I367" s="8">
        <v>28</v>
      </c>
      <c r="J367" s="7">
        <v>1</v>
      </c>
      <c r="K367" s="16">
        <v>13</v>
      </c>
      <c r="L367" s="95" t="s">
        <v>586</v>
      </c>
      <c r="M367" s="96" t="s">
        <v>556</v>
      </c>
      <c r="N367" s="96" t="s">
        <v>557</v>
      </c>
      <c r="O367" s="96" t="s">
        <v>613</v>
      </c>
      <c r="P367" s="6"/>
      <c r="Q367" s="216">
        <f aca="true" t="shared" si="27" ref="Q367:S368">Q368</f>
        <v>101.1</v>
      </c>
      <c r="R367" s="216">
        <f t="shared" si="27"/>
        <v>0</v>
      </c>
      <c r="S367" s="216">
        <f t="shared" si="27"/>
        <v>0</v>
      </c>
    </row>
    <row r="368" spans="1:19" ht="36.75" customHeight="1">
      <c r="A368" s="99"/>
      <c r="B368" s="98"/>
      <c r="C368" s="103"/>
      <c r="D368" s="101"/>
      <c r="E368" s="113"/>
      <c r="F368" s="113"/>
      <c r="G368" s="105">
        <v>240</v>
      </c>
      <c r="H368" s="18" t="s">
        <v>243</v>
      </c>
      <c r="I368" s="8">
        <v>28</v>
      </c>
      <c r="J368" s="7">
        <v>1</v>
      </c>
      <c r="K368" s="16">
        <v>13</v>
      </c>
      <c r="L368" s="95" t="s">
        <v>586</v>
      </c>
      <c r="M368" s="96" t="s">
        <v>556</v>
      </c>
      <c r="N368" s="96" t="s">
        <v>557</v>
      </c>
      <c r="O368" s="96" t="s">
        <v>244</v>
      </c>
      <c r="P368" s="6"/>
      <c r="Q368" s="216">
        <f t="shared" si="27"/>
        <v>101.1</v>
      </c>
      <c r="R368" s="216">
        <f t="shared" si="27"/>
        <v>0</v>
      </c>
      <c r="S368" s="216">
        <f t="shared" si="27"/>
        <v>0</v>
      </c>
    </row>
    <row r="369" spans="1:19" ht="24.75" customHeight="1">
      <c r="A369" s="110"/>
      <c r="B369" s="111"/>
      <c r="C369" s="106"/>
      <c r="D369" s="107"/>
      <c r="E369" s="104"/>
      <c r="F369" s="104"/>
      <c r="G369" s="105"/>
      <c r="H369" s="5" t="s">
        <v>606</v>
      </c>
      <c r="I369" s="6">
        <v>28</v>
      </c>
      <c r="J369" s="7">
        <v>1</v>
      </c>
      <c r="K369" s="16">
        <v>13</v>
      </c>
      <c r="L369" s="95" t="s">
        <v>586</v>
      </c>
      <c r="M369" s="96" t="s">
        <v>556</v>
      </c>
      <c r="N369" s="96" t="s">
        <v>557</v>
      </c>
      <c r="O369" s="96" t="s">
        <v>244</v>
      </c>
      <c r="P369" s="6">
        <v>340</v>
      </c>
      <c r="Q369" s="214">
        <f>260-60-28.9-70</f>
        <v>101.1</v>
      </c>
      <c r="R369" s="216"/>
      <c r="S369" s="216"/>
    </row>
    <row r="370" spans="1:19" ht="24.75" customHeight="1">
      <c r="A370" s="110"/>
      <c r="B370" s="111"/>
      <c r="C370" s="106"/>
      <c r="D370" s="107"/>
      <c r="E370" s="104"/>
      <c r="F370" s="104"/>
      <c r="G370" s="105"/>
      <c r="H370" s="5" t="s">
        <v>28</v>
      </c>
      <c r="I370" s="6">
        <v>28</v>
      </c>
      <c r="J370" s="7">
        <v>1</v>
      </c>
      <c r="K370" s="16">
        <v>13</v>
      </c>
      <c r="L370" s="95" t="s">
        <v>586</v>
      </c>
      <c r="M370" s="96" t="s">
        <v>556</v>
      </c>
      <c r="N370" s="96" t="s">
        <v>585</v>
      </c>
      <c r="O370" s="96" t="s">
        <v>613</v>
      </c>
      <c r="P370" s="6"/>
      <c r="Q370" s="214">
        <f aca="true" t="shared" si="28" ref="Q370:S371">Q371</f>
        <v>55</v>
      </c>
      <c r="R370" s="214">
        <f t="shared" si="28"/>
        <v>0</v>
      </c>
      <c r="S370" s="214">
        <f t="shared" si="28"/>
        <v>0</v>
      </c>
    </row>
    <row r="371" spans="1:19" ht="36.75" customHeight="1">
      <c r="A371" s="110"/>
      <c r="B371" s="111"/>
      <c r="C371" s="106"/>
      <c r="D371" s="107"/>
      <c r="E371" s="104"/>
      <c r="F371" s="104"/>
      <c r="G371" s="105"/>
      <c r="H371" s="5" t="s">
        <v>243</v>
      </c>
      <c r="I371" s="6">
        <v>28</v>
      </c>
      <c r="J371" s="7">
        <v>1</v>
      </c>
      <c r="K371" s="16">
        <v>13</v>
      </c>
      <c r="L371" s="95" t="s">
        <v>586</v>
      </c>
      <c r="M371" s="96" t="s">
        <v>556</v>
      </c>
      <c r="N371" s="96" t="s">
        <v>585</v>
      </c>
      <c r="O371" s="96" t="s">
        <v>244</v>
      </c>
      <c r="P371" s="6"/>
      <c r="Q371" s="214">
        <f t="shared" si="28"/>
        <v>55</v>
      </c>
      <c r="R371" s="214">
        <f t="shared" si="28"/>
        <v>0</v>
      </c>
      <c r="S371" s="214">
        <f t="shared" si="28"/>
        <v>0</v>
      </c>
    </row>
    <row r="372" spans="1:19" ht="24.75" customHeight="1">
      <c r="A372" s="110"/>
      <c r="B372" s="111"/>
      <c r="C372" s="106"/>
      <c r="D372" s="107"/>
      <c r="E372" s="104"/>
      <c r="F372" s="104"/>
      <c r="G372" s="105"/>
      <c r="H372" s="5" t="s">
        <v>712</v>
      </c>
      <c r="I372" s="6">
        <v>28</v>
      </c>
      <c r="J372" s="7">
        <v>1</v>
      </c>
      <c r="K372" s="16">
        <v>13</v>
      </c>
      <c r="L372" s="95" t="s">
        <v>586</v>
      </c>
      <c r="M372" s="96" t="s">
        <v>556</v>
      </c>
      <c r="N372" s="96" t="s">
        <v>585</v>
      </c>
      <c r="O372" s="96" t="s">
        <v>244</v>
      </c>
      <c r="P372" s="6">
        <v>240</v>
      </c>
      <c r="Q372" s="214">
        <f>60-5</f>
        <v>55</v>
      </c>
      <c r="R372" s="214"/>
      <c r="S372" s="214"/>
    </row>
    <row r="373" spans="1:19" ht="36" customHeight="1" hidden="1">
      <c r="A373" s="110"/>
      <c r="B373" s="111"/>
      <c r="C373" s="106"/>
      <c r="D373" s="107"/>
      <c r="E373" s="104"/>
      <c r="F373" s="104"/>
      <c r="G373" s="105"/>
      <c r="H373" s="5" t="s">
        <v>243</v>
      </c>
      <c r="I373" s="8">
        <v>28</v>
      </c>
      <c r="J373" s="21">
        <v>1</v>
      </c>
      <c r="K373" s="16">
        <v>13</v>
      </c>
      <c r="L373" s="95" t="s">
        <v>573</v>
      </c>
      <c r="M373" s="96" t="s">
        <v>556</v>
      </c>
      <c r="N373" s="96" t="s">
        <v>576</v>
      </c>
      <c r="O373" s="96" t="s">
        <v>244</v>
      </c>
      <c r="P373" s="6"/>
      <c r="Q373" s="214"/>
      <c r="R373" s="214">
        <f>SUM(R374:R375)</f>
        <v>320</v>
      </c>
      <c r="S373" s="214">
        <f>SUM(S374:S375)</f>
        <v>320</v>
      </c>
    </row>
    <row r="374" spans="1:19" ht="24.75" customHeight="1" hidden="1">
      <c r="A374" s="110"/>
      <c r="B374" s="111"/>
      <c r="C374" s="106"/>
      <c r="D374" s="107"/>
      <c r="E374" s="104"/>
      <c r="F374" s="104"/>
      <c r="G374" s="105"/>
      <c r="H374" s="5" t="s">
        <v>712</v>
      </c>
      <c r="I374" s="8">
        <v>28</v>
      </c>
      <c r="J374" s="21">
        <v>1</v>
      </c>
      <c r="K374" s="16">
        <v>13</v>
      </c>
      <c r="L374" s="95" t="s">
        <v>573</v>
      </c>
      <c r="M374" s="96" t="s">
        <v>556</v>
      </c>
      <c r="N374" s="96" t="s">
        <v>576</v>
      </c>
      <c r="O374" s="96" t="s">
        <v>244</v>
      </c>
      <c r="P374" s="6">
        <v>240</v>
      </c>
      <c r="Q374" s="214">
        <v>0</v>
      </c>
      <c r="R374" s="216">
        <v>60</v>
      </c>
      <c r="S374" s="216">
        <v>60</v>
      </c>
    </row>
    <row r="375" spans="1:19" ht="24.75" customHeight="1" hidden="1">
      <c r="A375" s="110"/>
      <c r="B375" s="111"/>
      <c r="C375" s="106"/>
      <c r="D375" s="107"/>
      <c r="E375" s="104"/>
      <c r="F375" s="104"/>
      <c r="G375" s="105"/>
      <c r="H375" s="5" t="s">
        <v>606</v>
      </c>
      <c r="I375" s="8">
        <v>28</v>
      </c>
      <c r="J375" s="21">
        <v>1</v>
      </c>
      <c r="K375" s="16">
        <v>13</v>
      </c>
      <c r="L375" s="95" t="s">
        <v>573</v>
      </c>
      <c r="M375" s="96" t="s">
        <v>556</v>
      </c>
      <c r="N375" s="96" t="s">
        <v>576</v>
      </c>
      <c r="O375" s="96" t="s">
        <v>244</v>
      </c>
      <c r="P375" s="6">
        <v>340</v>
      </c>
      <c r="Q375" s="214">
        <v>0</v>
      </c>
      <c r="R375" s="216">
        <v>260</v>
      </c>
      <c r="S375" s="216">
        <v>260</v>
      </c>
    </row>
    <row r="376" spans="1:19" s="179" customFormat="1" ht="24.75" customHeight="1">
      <c r="A376" s="166"/>
      <c r="B376" s="235"/>
      <c r="C376" s="157"/>
      <c r="D376" s="170"/>
      <c r="E376" s="145"/>
      <c r="F376" s="145"/>
      <c r="G376" s="155"/>
      <c r="H376" s="226" t="s">
        <v>534</v>
      </c>
      <c r="I376" s="233">
        <v>28</v>
      </c>
      <c r="J376" s="234">
        <v>10</v>
      </c>
      <c r="K376" s="139"/>
      <c r="L376" s="140"/>
      <c r="M376" s="141"/>
      <c r="N376" s="141"/>
      <c r="O376" s="141"/>
      <c r="P376" s="146"/>
      <c r="Q376" s="213">
        <f>Q377</f>
        <v>72</v>
      </c>
      <c r="R376" s="213">
        <f>R377</f>
        <v>72</v>
      </c>
      <c r="S376" s="213">
        <f>S377</f>
        <v>72</v>
      </c>
    </row>
    <row r="377" spans="1:19" s="130" customFormat="1" ht="24.75" customHeight="1">
      <c r="A377" s="110"/>
      <c r="B377" s="201"/>
      <c r="C377" s="222"/>
      <c r="D377" s="223"/>
      <c r="E377" s="224"/>
      <c r="F377" s="224"/>
      <c r="G377" s="225"/>
      <c r="H377" s="226" t="s">
        <v>533</v>
      </c>
      <c r="I377" s="227">
        <v>28</v>
      </c>
      <c r="J377" s="228">
        <v>10</v>
      </c>
      <c r="K377" s="229">
        <v>3</v>
      </c>
      <c r="L377" s="230"/>
      <c r="M377" s="231"/>
      <c r="N377" s="231"/>
      <c r="O377" s="231"/>
      <c r="P377" s="227"/>
      <c r="Q377" s="232">
        <f>Q378</f>
        <v>72</v>
      </c>
      <c r="R377" s="232">
        <f>R381</f>
        <v>72</v>
      </c>
      <c r="S377" s="232">
        <f>S381</f>
        <v>72</v>
      </c>
    </row>
    <row r="378" spans="1:19" ht="54.75" customHeight="1">
      <c r="A378" s="110"/>
      <c r="B378" s="111"/>
      <c r="C378" s="106"/>
      <c r="D378" s="107"/>
      <c r="E378" s="104"/>
      <c r="F378" s="104"/>
      <c r="G378" s="105"/>
      <c r="H378" s="5" t="s">
        <v>511</v>
      </c>
      <c r="I378" s="6">
        <v>28</v>
      </c>
      <c r="J378" s="7">
        <v>10</v>
      </c>
      <c r="K378" s="16">
        <v>3</v>
      </c>
      <c r="L378" s="95" t="s">
        <v>586</v>
      </c>
      <c r="M378" s="96" t="s">
        <v>556</v>
      </c>
      <c r="N378" s="96" t="s">
        <v>586</v>
      </c>
      <c r="O378" s="96" t="s">
        <v>613</v>
      </c>
      <c r="P378" s="6"/>
      <c r="Q378" s="214">
        <f>Q379</f>
        <v>72</v>
      </c>
      <c r="R378" s="214"/>
      <c r="S378" s="214"/>
    </row>
    <row r="379" spans="1:19" ht="34.5" customHeight="1">
      <c r="A379" s="110"/>
      <c r="B379" s="111"/>
      <c r="C379" s="106"/>
      <c r="D379" s="107"/>
      <c r="E379" s="104"/>
      <c r="F379" s="104"/>
      <c r="G379" s="105"/>
      <c r="H379" s="5" t="s">
        <v>243</v>
      </c>
      <c r="I379" s="6">
        <v>28</v>
      </c>
      <c r="J379" s="7">
        <v>10</v>
      </c>
      <c r="K379" s="16">
        <v>3</v>
      </c>
      <c r="L379" s="95" t="s">
        <v>586</v>
      </c>
      <c r="M379" s="96" t="s">
        <v>556</v>
      </c>
      <c r="N379" s="96" t="s">
        <v>586</v>
      </c>
      <c r="O379" s="96" t="s">
        <v>244</v>
      </c>
      <c r="P379" s="6"/>
      <c r="Q379" s="214">
        <f>Q380</f>
        <v>72</v>
      </c>
      <c r="R379" s="214"/>
      <c r="S379" s="214"/>
    </row>
    <row r="380" spans="1:19" ht="24.75" customHeight="1">
      <c r="A380" s="110"/>
      <c r="B380" s="111"/>
      <c r="C380" s="106"/>
      <c r="D380" s="107"/>
      <c r="E380" s="104"/>
      <c r="F380" s="104"/>
      <c r="G380" s="105"/>
      <c r="H380" s="5" t="s">
        <v>716</v>
      </c>
      <c r="I380" s="6">
        <v>28</v>
      </c>
      <c r="J380" s="7">
        <v>10</v>
      </c>
      <c r="K380" s="16">
        <v>3</v>
      </c>
      <c r="L380" s="95" t="s">
        <v>586</v>
      </c>
      <c r="M380" s="96" t="s">
        <v>556</v>
      </c>
      <c r="N380" s="96" t="s">
        <v>586</v>
      </c>
      <c r="O380" s="96" t="s">
        <v>244</v>
      </c>
      <c r="P380" s="6">
        <v>310</v>
      </c>
      <c r="Q380" s="214">
        <v>72</v>
      </c>
      <c r="R380" s="214"/>
      <c r="S380" s="214"/>
    </row>
    <row r="381" spans="1:19" ht="51" customHeight="1" hidden="1">
      <c r="A381" s="110"/>
      <c r="B381" s="111"/>
      <c r="C381" s="106"/>
      <c r="D381" s="107"/>
      <c r="E381" s="104"/>
      <c r="F381" s="104"/>
      <c r="G381" s="105"/>
      <c r="H381" s="11" t="s">
        <v>243</v>
      </c>
      <c r="I381" s="10">
        <v>28</v>
      </c>
      <c r="J381" s="16">
        <v>10</v>
      </c>
      <c r="K381" s="16">
        <v>3</v>
      </c>
      <c r="L381" s="122" t="s">
        <v>573</v>
      </c>
      <c r="M381" s="123" t="s">
        <v>556</v>
      </c>
      <c r="N381" s="123" t="s">
        <v>576</v>
      </c>
      <c r="O381" s="123" t="s">
        <v>244</v>
      </c>
      <c r="P381" s="10"/>
      <c r="Q381" s="214"/>
      <c r="R381" s="216">
        <f>R382</f>
        <v>72</v>
      </c>
      <c r="S381" s="216">
        <f>S382</f>
        <v>72</v>
      </c>
    </row>
    <row r="382" spans="1:19" ht="24" customHeight="1" hidden="1">
      <c r="A382" s="110"/>
      <c r="B382" s="111"/>
      <c r="C382" s="106"/>
      <c r="D382" s="107"/>
      <c r="E382" s="104"/>
      <c r="F382" s="104"/>
      <c r="G382" s="105"/>
      <c r="H382" s="11" t="s">
        <v>716</v>
      </c>
      <c r="I382" s="10">
        <v>28</v>
      </c>
      <c r="J382" s="16">
        <v>10</v>
      </c>
      <c r="K382" s="16">
        <v>3</v>
      </c>
      <c r="L382" s="122" t="s">
        <v>573</v>
      </c>
      <c r="M382" s="123" t="s">
        <v>556</v>
      </c>
      <c r="N382" s="123" t="s">
        <v>576</v>
      </c>
      <c r="O382" s="123" t="s">
        <v>244</v>
      </c>
      <c r="P382" s="10">
        <v>310</v>
      </c>
      <c r="Q382" s="214">
        <v>0</v>
      </c>
      <c r="R382" s="216">
        <v>72</v>
      </c>
      <c r="S382" s="216">
        <v>72</v>
      </c>
    </row>
    <row r="383" spans="1:19" s="319" customFormat="1" ht="26.25" customHeight="1">
      <c r="A383" s="158"/>
      <c r="B383" s="159"/>
      <c r="C383" s="160"/>
      <c r="D383" s="161"/>
      <c r="E383" s="162"/>
      <c r="F383" s="162">
        <v>5250102</v>
      </c>
      <c r="G383" s="163">
        <v>530</v>
      </c>
      <c r="H383" s="33" t="s">
        <v>366</v>
      </c>
      <c r="I383" s="14">
        <v>658</v>
      </c>
      <c r="J383" s="15" t="s">
        <v>527</v>
      </c>
      <c r="K383" s="15" t="s">
        <v>527</v>
      </c>
      <c r="L383" s="164" t="s">
        <v>527</v>
      </c>
      <c r="M383" s="165" t="s">
        <v>527</v>
      </c>
      <c r="N383" s="165"/>
      <c r="O383" s="165" t="s">
        <v>527</v>
      </c>
      <c r="P383" s="14" t="s">
        <v>527</v>
      </c>
      <c r="Q383" s="212">
        <f aca="true" t="shared" si="29" ref="Q383:S384">Q384</f>
        <v>1066.4999999999998</v>
      </c>
      <c r="R383" s="212">
        <f t="shared" si="29"/>
        <v>1542.6999999999998</v>
      </c>
      <c r="S383" s="212">
        <f t="shared" si="29"/>
        <v>1542.6999999999998</v>
      </c>
    </row>
    <row r="384" spans="1:19" s="179" customFormat="1" ht="33.75" customHeight="1">
      <c r="A384" s="142"/>
      <c r="B384" s="143"/>
      <c r="C384" s="153"/>
      <c r="D384" s="150"/>
      <c r="E384" s="154"/>
      <c r="F384" s="154"/>
      <c r="G384" s="155">
        <v>530</v>
      </c>
      <c r="H384" s="137" t="s">
        <v>529</v>
      </c>
      <c r="I384" s="138">
        <v>658</v>
      </c>
      <c r="J384" s="139">
        <v>1</v>
      </c>
      <c r="K384" s="139" t="s">
        <v>614</v>
      </c>
      <c r="L384" s="140" t="s">
        <v>527</v>
      </c>
      <c r="M384" s="141" t="s">
        <v>527</v>
      </c>
      <c r="N384" s="141"/>
      <c r="O384" s="141" t="s">
        <v>527</v>
      </c>
      <c r="P384" s="138" t="s">
        <v>527</v>
      </c>
      <c r="Q384" s="213">
        <f t="shared" si="29"/>
        <v>1066.4999999999998</v>
      </c>
      <c r="R384" s="213">
        <f t="shared" si="29"/>
        <v>1542.6999999999998</v>
      </c>
      <c r="S384" s="213">
        <f t="shared" si="29"/>
        <v>1542.6999999999998</v>
      </c>
    </row>
    <row r="385" spans="1:19" s="179" customFormat="1" ht="33.75" customHeight="1">
      <c r="A385" s="142"/>
      <c r="B385" s="143"/>
      <c r="C385" s="153"/>
      <c r="D385" s="150"/>
      <c r="E385" s="154"/>
      <c r="F385" s="154">
        <v>5250103</v>
      </c>
      <c r="G385" s="155">
        <v>530</v>
      </c>
      <c r="H385" s="137" t="s">
        <v>364</v>
      </c>
      <c r="I385" s="138">
        <v>658</v>
      </c>
      <c r="J385" s="139">
        <v>1</v>
      </c>
      <c r="K385" s="139">
        <v>6</v>
      </c>
      <c r="L385" s="140" t="s">
        <v>527</v>
      </c>
      <c r="M385" s="141" t="s">
        <v>527</v>
      </c>
      <c r="N385" s="141"/>
      <c r="O385" s="141" t="s">
        <v>527</v>
      </c>
      <c r="P385" s="138" t="s">
        <v>527</v>
      </c>
      <c r="Q385" s="213">
        <f>Q386+Q392+Q390</f>
        <v>1066.4999999999998</v>
      </c>
      <c r="R385" s="213">
        <f>R386+R392</f>
        <v>1542.6999999999998</v>
      </c>
      <c r="S385" s="213">
        <f>S386+S392</f>
        <v>1542.6999999999998</v>
      </c>
    </row>
    <row r="386" spans="1:19" ht="22.5" customHeight="1">
      <c r="A386" s="99"/>
      <c r="B386" s="98"/>
      <c r="C386" s="103"/>
      <c r="D386" s="101"/>
      <c r="E386" s="113"/>
      <c r="F386" s="113">
        <v>5250104</v>
      </c>
      <c r="G386" s="105">
        <v>530</v>
      </c>
      <c r="H386" s="11" t="s">
        <v>335</v>
      </c>
      <c r="I386" s="10">
        <v>658</v>
      </c>
      <c r="J386" s="16">
        <v>1</v>
      </c>
      <c r="K386" s="16">
        <v>6</v>
      </c>
      <c r="L386" s="16" t="s">
        <v>573</v>
      </c>
      <c r="M386" s="96" t="s">
        <v>556</v>
      </c>
      <c r="N386" s="96" t="s">
        <v>576</v>
      </c>
      <c r="O386" s="96" t="s">
        <v>641</v>
      </c>
      <c r="P386" s="10" t="s">
        <v>527</v>
      </c>
      <c r="Q386" s="214">
        <f>SUM(Q387:Q389)</f>
        <v>838.6999999999998</v>
      </c>
      <c r="R386" s="214">
        <f>SUM(R387:R388)</f>
        <v>1542.6999999999998</v>
      </c>
      <c r="S386" s="214">
        <f>SUM(S387:S388)</f>
        <v>1542.6999999999998</v>
      </c>
    </row>
    <row r="387" spans="1:19" ht="22.5" customHeight="1">
      <c r="A387" s="99"/>
      <c r="B387" s="98"/>
      <c r="C387" s="103"/>
      <c r="D387" s="101"/>
      <c r="E387" s="113"/>
      <c r="F387" s="113"/>
      <c r="G387" s="105"/>
      <c r="H387" s="11" t="s">
        <v>526</v>
      </c>
      <c r="I387" s="6">
        <v>658</v>
      </c>
      <c r="J387" s="19">
        <v>1</v>
      </c>
      <c r="K387" s="16">
        <v>6</v>
      </c>
      <c r="L387" s="16">
        <v>91</v>
      </c>
      <c r="M387" s="96" t="s">
        <v>556</v>
      </c>
      <c r="N387" s="96" t="s">
        <v>576</v>
      </c>
      <c r="O387" s="96" t="s">
        <v>641</v>
      </c>
      <c r="P387" s="10">
        <v>120</v>
      </c>
      <c r="Q387" s="214">
        <f>1273.6-373.2-2.1-62</f>
        <v>836.2999999999998</v>
      </c>
      <c r="R387" s="214">
        <v>1273.6</v>
      </c>
      <c r="S387" s="214">
        <v>1273.6</v>
      </c>
    </row>
    <row r="388" spans="1:19" ht="20.25" customHeight="1">
      <c r="A388" s="99"/>
      <c r="B388" s="98"/>
      <c r="C388" s="103"/>
      <c r="D388" s="101"/>
      <c r="E388" s="113"/>
      <c r="F388" s="113"/>
      <c r="G388" s="105"/>
      <c r="H388" s="5" t="s">
        <v>712</v>
      </c>
      <c r="I388" s="8">
        <v>658</v>
      </c>
      <c r="J388" s="21">
        <v>1</v>
      </c>
      <c r="K388" s="16">
        <v>6</v>
      </c>
      <c r="L388" s="16">
        <v>91</v>
      </c>
      <c r="M388" s="96" t="s">
        <v>556</v>
      </c>
      <c r="N388" s="96" t="s">
        <v>576</v>
      </c>
      <c r="O388" s="96" t="s">
        <v>641</v>
      </c>
      <c r="P388" s="6">
        <v>240</v>
      </c>
      <c r="Q388" s="214">
        <f>269.1-251.1-14-1.6</f>
        <v>2.4000000000000283</v>
      </c>
      <c r="R388" s="214">
        <v>269.1</v>
      </c>
      <c r="S388" s="214">
        <v>269.1</v>
      </c>
    </row>
    <row r="389" spans="1:19" ht="20.25" customHeight="1" hidden="1">
      <c r="A389" s="99"/>
      <c r="B389" s="98"/>
      <c r="C389" s="103"/>
      <c r="D389" s="101"/>
      <c r="E389" s="104"/>
      <c r="F389" s="104"/>
      <c r="G389" s="89"/>
      <c r="H389" s="11" t="s">
        <v>713</v>
      </c>
      <c r="I389" s="6">
        <v>658</v>
      </c>
      <c r="J389" s="21">
        <v>1</v>
      </c>
      <c r="K389" s="16">
        <v>6</v>
      </c>
      <c r="L389" s="16">
        <v>91</v>
      </c>
      <c r="M389" s="96" t="s">
        <v>556</v>
      </c>
      <c r="N389" s="96" t="s">
        <v>576</v>
      </c>
      <c r="O389" s="96" t="s">
        <v>641</v>
      </c>
      <c r="P389" s="10">
        <v>850</v>
      </c>
      <c r="Q389" s="214">
        <f>0.1-0.1</f>
        <v>0</v>
      </c>
      <c r="R389" s="214"/>
      <c r="S389" s="214"/>
    </row>
    <row r="390" spans="1:19" ht="36.75" customHeight="1">
      <c r="A390" s="99"/>
      <c r="B390" s="98"/>
      <c r="C390" s="103"/>
      <c r="D390" s="101"/>
      <c r="E390" s="104"/>
      <c r="F390" s="104"/>
      <c r="G390" s="89"/>
      <c r="H390" s="11" t="s">
        <v>61</v>
      </c>
      <c r="I390" s="6">
        <v>658</v>
      </c>
      <c r="J390" s="7">
        <v>1</v>
      </c>
      <c r="K390" s="16">
        <v>6</v>
      </c>
      <c r="L390" s="16">
        <v>91</v>
      </c>
      <c r="M390" s="96" t="s">
        <v>556</v>
      </c>
      <c r="N390" s="96" t="s">
        <v>576</v>
      </c>
      <c r="O390" s="96" t="s">
        <v>60</v>
      </c>
      <c r="P390" s="10"/>
      <c r="Q390" s="214">
        <f>Q391</f>
        <v>89.69999999999999</v>
      </c>
      <c r="R390" s="214"/>
      <c r="S390" s="214"/>
    </row>
    <row r="391" spans="1:19" ht="20.25" customHeight="1">
      <c r="A391" s="99"/>
      <c r="B391" s="98"/>
      <c r="C391" s="103"/>
      <c r="D391" s="101"/>
      <c r="E391" s="104"/>
      <c r="F391" s="104"/>
      <c r="G391" s="89"/>
      <c r="H391" s="11" t="s">
        <v>526</v>
      </c>
      <c r="I391" s="6">
        <v>658</v>
      </c>
      <c r="J391" s="7">
        <v>1</v>
      </c>
      <c r="K391" s="16">
        <v>6</v>
      </c>
      <c r="L391" s="16">
        <v>91</v>
      </c>
      <c r="M391" s="96" t="s">
        <v>556</v>
      </c>
      <c r="N391" s="96" t="s">
        <v>576</v>
      </c>
      <c r="O391" s="96" t="s">
        <v>60</v>
      </c>
      <c r="P391" s="10">
        <v>120</v>
      </c>
      <c r="Q391" s="214">
        <f>251.1-109-52.4</f>
        <v>89.69999999999999</v>
      </c>
      <c r="R391" s="214"/>
      <c r="S391" s="214"/>
    </row>
    <row r="392" spans="1:19" ht="21.75" customHeight="1">
      <c r="A392" s="99"/>
      <c r="B392" s="98"/>
      <c r="C392" s="103"/>
      <c r="D392" s="101"/>
      <c r="E392" s="104"/>
      <c r="F392" s="104"/>
      <c r="G392" s="89"/>
      <c r="H392" s="11" t="s">
        <v>236</v>
      </c>
      <c r="I392" s="10">
        <v>658</v>
      </c>
      <c r="J392" s="7">
        <v>1</v>
      </c>
      <c r="K392" s="16">
        <v>6</v>
      </c>
      <c r="L392" s="16">
        <v>91</v>
      </c>
      <c r="M392" s="96" t="s">
        <v>556</v>
      </c>
      <c r="N392" s="96" t="s">
        <v>576</v>
      </c>
      <c r="O392" s="96" t="s">
        <v>235</v>
      </c>
      <c r="P392" s="10"/>
      <c r="Q392" s="214">
        <f>SUM(Q393:Q394)</f>
        <v>138.1</v>
      </c>
      <c r="R392" s="214"/>
      <c r="S392" s="214"/>
    </row>
    <row r="393" spans="1:19" ht="21" customHeight="1">
      <c r="A393" s="99"/>
      <c r="B393" s="98"/>
      <c r="C393" s="103"/>
      <c r="D393" s="101"/>
      <c r="E393" s="104"/>
      <c r="F393" s="104"/>
      <c r="G393" s="89"/>
      <c r="H393" s="11" t="s">
        <v>526</v>
      </c>
      <c r="I393" s="10">
        <v>658</v>
      </c>
      <c r="J393" s="7">
        <v>1</v>
      </c>
      <c r="K393" s="16">
        <v>6</v>
      </c>
      <c r="L393" s="16">
        <v>91</v>
      </c>
      <c r="M393" s="96" t="s">
        <v>556</v>
      </c>
      <c r="N393" s="96" t="s">
        <v>576</v>
      </c>
      <c r="O393" s="96" t="s">
        <v>235</v>
      </c>
      <c r="P393" s="10">
        <v>120</v>
      </c>
      <c r="Q393" s="214">
        <f>188.2+5.8-55-21-23</f>
        <v>95</v>
      </c>
      <c r="R393" s="214">
        <v>0</v>
      </c>
      <c r="S393" s="214">
        <v>0</v>
      </c>
    </row>
    <row r="394" spans="1:19" ht="28.5" customHeight="1">
      <c r="A394" s="99"/>
      <c r="B394" s="98"/>
      <c r="C394" s="103"/>
      <c r="D394" s="101"/>
      <c r="E394" s="104"/>
      <c r="F394" s="104"/>
      <c r="G394" s="89"/>
      <c r="H394" s="11" t="s">
        <v>712</v>
      </c>
      <c r="I394" s="10">
        <v>658</v>
      </c>
      <c r="J394" s="7">
        <v>1</v>
      </c>
      <c r="K394" s="16">
        <v>6</v>
      </c>
      <c r="L394" s="16">
        <v>91</v>
      </c>
      <c r="M394" s="96" t="s">
        <v>556</v>
      </c>
      <c r="N394" s="96" t="s">
        <v>576</v>
      </c>
      <c r="O394" s="96" t="s">
        <v>235</v>
      </c>
      <c r="P394" s="10">
        <v>240</v>
      </c>
      <c r="Q394" s="214">
        <f>25-5.8+3.3+55-23.7-10.7</f>
        <v>43.099999999999994</v>
      </c>
      <c r="R394" s="214">
        <v>0</v>
      </c>
      <c r="S394" s="214">
        <v>0</v>
      </c>
    </row>
    <row r="395" spans="1:19" ht="27" customHeight="1">
      <c r="A395" s="99"/>
      <c r="B395" s="98"/>
      <c r="C395" s="103"/>
      <c r="D395" s="101"/>
      <c r="E395" s="104"/>
      <c r="F395" s="104"/>
      <c r="G395" s="89"/>
      <c r="H395" s="11" t="s">
        <v>713</v>
      </c>
      <c r="I395" s="10">
        <v>658</v>
      </c>
      <c r="J395" s="7">
        <v>1</v>
      </c>
      <c r="K395" s="16">
        <v>6</v>
      </c>
      <c r="L395" s="16">
        <v>91</v>
      </c>
      <c r="M395" s="96" t="s">
        <v>556</v>
      </c>
      <c r="N395" s="96" t="s">
        <v>576</v>
      </c>
      <c r="O395" s="96" t="s">
        <v>235</v>
      </c>
      <c r="P395" s="10">
        <v>850</v>
      </c>
      <c r="Q395" s="214">
        <v>1</v>
      </c>
      <c r="R395" s="214"/>
      <c r="S395" s="214"/>
    </row>
    <row r="396" spans="1:19" s="319" customFormat="1" ht="27.75" customHeight="1">
      <c r="A396" s="158"/>
      <c r="B396" s="159"/>
      <c r="C396" s="160"/>
      <c r="D396" s="161"/>
      <c r="E396" s="396">
        <v>5250300</v>
      </c>
      <c r="F396" s="396"/>
      <c r="G396" s="132">
        <v>530</v>
      </c>
      <c r="H396" s="33" t="s">
        <v>365</v>
      </c>
      <c r="I396" s="14">
        <v>660</v>
      </c>
      <c r="J396" s="15" t="s">
        <v>527</v>
      </c>
      <c r="K396" s="15" t="s">
        <v>527</v>
      </c>
      <c r="L396" s="133" t="s">
        <v>527</v>
      </c>
      <c r="M396" s="134" t="s">
        <v>527</v>
      </c>
      <c r="N396" s="134"/>
      <c r="O396" s="134" t="s">
        <v>527</v>
      </c>
      <c r="P396" s="14" t="s">
        <v>527</v>
      </c>
      <c r="Q396" s="212">
        <f>Q397</f>
        <v>1359.9</v>
      </c>
      <c r="R396" s="212">
        <f aca="true" t="shared" si="30" ref="R396:S398">R397</f>
        <v>1051.3</v>
      </c>
      <c r="S396" s="212">
        <f t="shared" si="30"/>
        <v>1051.3</v>
      </c>
    </row>
    <row r="397" spans="1:19" s="179" customFormat="1" ht="18.75" customHeight="1">
      <c r="A397" s="166"/>
      <c r="B397" s="167"/>
      <c r="C397" s="157"/>
      <c r="D397" s="144"/>
      <c r="E397" s="145"/>
      <c r="F397" s="145"/>
      <c r="G397" s="155">
        <v>530</v>
      </c>
      <c r="H397" s="137" t="s">
        <v>529</v>
      </c>
      <c r="I397" s="138">
        <v>660</v>
      </c>
      <c r="J397" s="139">
        <v>1</v>
      </c>
      <c r="K397" s="139" t="s">
        <v>614</v>
      </c>
      <c r="L397" s="140" t="s">
        <v>527</v>
      </c>
      <c r="M397" s="141" t="s">
        <v>527</v>
      </c>
      <c r="N397" s="141"/>
      <c r="O397" s="141" t="s">
        <v>527</v>
      </c>
      <c r="P397" s="146" t="s">
        <v>527</v>
      </c>
      <c r="Q397" s="217">
        <f>Q398</f>
        <v>1359.9</v>
      </c>
      <c r="R397" s="217">
        <f t="shared" si="30"/>
        <v>1051.3</v>
      </c>
      <c r="S397" s="217">
        <f t="shared" si="30"/>
        <v>1051.3</v>
      </c>
    </row>
    <row r="398" spans="1:19" s="179" customFormat="1" ht="18.75" customHeight="1">
      <c r="A398" s="375">
        <v>1000</v>
      </c>
      <c r="B398" s="375"/>
      <c r="C398" s="376"/>
      <c r="D398" s="376"/>
      <c r="E398" s="376"/>
      <c r="F398" s="376"/>
      <c r="G398" s="136">
        <v>530</v>
      </c>
      <c r="H398" s="137" t="s">
        <v>528</v>
      </c>
      <c r="I398" s="138">
        <v>660</v>
      </c>
      <c r="J398" s="139">
        <v>1</v>
      </c>
      <c r="K398" s="139">
        <v>13</v>
      </c>
      <c r="L398" s="140" t="s">
        <v>527</v>
      </c>
      <c r="M398" s="141" t="s">
        <v>527</v>
      </c>
      <c r="N398" s="141"/>
      <c r="O398" s="141" t="s">
        <v>527</v>
      </c>
      <c r="P398" s="138" t="s">
        <v>527</v>
      </c>
      <c r="Q398" s="213">
        <f>Q399</f>
        <v>1359.9</v>
      </c>
      <c r="R398" s="213">
        <f t="shared" si="30"/>
        <v>1051.3</v>
      </c>
      <c r="S398" s="213">
        <f t="shared" si="30"/>
        <v>1051.3</v>
      </c>
    </row>
    <row r="399" spans="1:19" s="179" customFormat="1" ht="18.75" customHeight="1">
      <c r="A399" s="142"/>
      <c r="B399" s="143"/>
      <c r="C399" s="166"/>
      <c r="D399" s="135"/>
      <c r="E399" s="135"/>
      <c r="F399" s="135"/>
      <c r="G399" s="136"/>
      <c r="H399" s="11" t="s">
        <v>292</v>
      </c>
      <c r="I399" s="10">
        <v>660</v>
      </c>
      <c r="J399" s="16">
        <v>1</v>
      </c>
      <c r="K399" s="16">
        <v>13</v>
      </c>
      <c r="L399" s="95" t="s">
        <v>573</v>
      </c>
      <c r="M399" s="96" t="s">
        <v>556</v>
      </c>
      <c r="N399" s="96" t="s">
        <v>576</v>
      </c>
      <c r="O399" s="96" t="s">
        <v>613</v>
      </c>
      <c r="P399" s="138"/>
      <c r="Q399" s="214">
        <f>Q400+Q407+Q405+Q403</f>
        <v>1359.9</v>
      </c>
      <c r="R399" s="214">
        <f>R400+R407</f>
        <v>1051.3</v>
      </c>
      <c r="S399" s="214">
        <f>S400+S407</f>
        <v>1051.3</v>
      </c>
    </row>
    <row r="400" spans="1:19" ht="18.75" customHeight="1">
      <c r="A400" s="99"/>
      <c r="B400" s="98"/>
      <c r="C400" s="97"/>
      <c r="D400" s="368">
        <v>5050000</v>
      </c>
      <c r="E400" s="369"/>
      <c r="F400" s="369"/>
      <c r="G400" s="89">
        <v>321</v>
      </c>
      <c r="H400" s="11" t="s">
        <v>335</v>
      </c>
      <c r="I400" s="10">
        <v>660</v>
      </c>
      <c r="J400" s="16">
        <v>1</v>
      </c>
      <c r="K400" s="16">
        <v>13</v>
      </c>
      <c r="L400" s="16" t="s">
        <v>573</v>
      </c>
      <c r="M400" s="96" t="s">
        <v>556</v>
      </c>
      <c r="N400" s="96" t="s">
        <v>576</v>
      </c>
      <c r="O400" s="96" t="s">
        <v>641</v>
      </c>
      <c r="P400" s="10" t="s">
        <v>527</v>
      </c>
      <c r="Q400" s="214">
        <f>SUM(Q401:Q402)</f>
        <v>870.1</v>
      </c>
      <c r="R400" s="214">
        <f>SUM(R401:R402)</f>
        <v>1051.3</v>
      </c>
      <c r="S400" s="214">
        <f>SUM(S401:S402)</f>
        <v>1051.3</v>
      </c>
    </row>
    <row r="401" spans="1:19" ht="26.25" customHeight="1">
      <c r="A401" s="99"/>
      <c r="B401" s="98"/>
      <c r="C401" s="97"/>
      <c r="D401" s="101"/>
      <c r="E401" s="100"/>
      <c r="F401" s="100"/>
      <c r="G401" s="89"/>
      <c r="H401" s="11" t="s">
        <v>526</v>
      </c>
      <c r="I401" s="6">
        <v>660</v>
      </c>
      <c r="J401" s="19">
        <v>1</v>
      </c>
      <c r="K401" s="16">
        <v>13</v>
      </c>
      <c r="L401" s="16">
        <v>91</v>
      </c>
      <c r="M401" s="96" t="s">
        <v>556</v>
      </c>
      <c r="N401" s="96" t="s">
        <v>576</v>
      </c>
      <c r="O401" s="96" t="s">
        <v>641</v>
      </c>
      <c r="P401" s="10">
        <v>120</v>
      </c>
      <c r="Q401" s="214">
        <f>869.3-0.9</f>
        <v>868.4</v>
      </c>
      <c r="R401" s="214">
        <v>869.3</v>
      </c>
      <c r="S401" s="214">
        <v>869.3</v>
      </c>
    </row>
    <row r="402" spans="1:19" ht="27.75" customHeight="1">
      <c r="A402" s="99"/>
      <c r="B402" s="98"/>
      <c r="C402" s="103"/>
      <c r="D402" s="101"/>
      <c r="E402" s="113"/>
      <c r="F402" s="113"/>
      <c r="G402" s="89"/>
      <c r="H402" s="5" t="s">
        <v>712</v>
      </c>
      <c r="I402" s="6">
        <v>660</v>
      </c>
      <c r="J402" s="21">
        <v>1</v>
      </c>
      <c r="K402" s="16">
        <v>13</v>
      </c>
      <c r="L402" s="16">
        <v>91</v>
      </c>
      <c r="M402" s="96" t="s">
        <v>556</v>
      </c>
      <c r="N402" s="96" t="s">
        <v>576</v>
      </c>
      <c r="O402" s="96" t="s">
        <v>641</v>
      </c>
      <c r="P402" s="6">
        <v>240</v>
      </c>
      <c r="Q402" s="214">
        <f>182-150.7+10-11.3-28.3</f>
        <v>1.70000000000001</v>
      </c>
      <c r="R402" s="214">
        <v>182</v>
      </c>
      <c r="S402" s="214">
        <v>182</v>
      </c>
    </row>
    <row r="403" spans="1:19" ht="48" customHeight="1" hidden="1">
      <c r="A403" s="99"/>
      <c r="B403" s="98"/>
      <c r="C403" s="103"/>
      <c r="D403" s="107"/>
      <c r="E403" s="104"/>
      <c r="F403" s="104"/>
      <c r="G403" s="89"/>
      <c r="H403" s="108" t="s">
        <v>864</v>
      </c>
      <c r="I403" s="10">
        <v>660</v>
      </c>
      <c r="J403" s="7">
        <v>1</v>
      </c>
      <c r="K403" s="16">
        <v>13</v>
      </c>
      <c r="L403" s="16">
        <v>91</v>
      </c>
      <c r="M403" s="96" t="s">
        <v>556</v>
      </c>
      <c r="N403" s="96" t="s">
        <v>576</v>
      </c>
      <c r="O403" s="96" t="s">
        <v>863</v>
      </c>
      <c r="P403" s="6"/>
      <c r="Q403" s="216">
        <f>Q404</f>
        <v>0</v>
      </c>
      <c r="R403" s="216"/>
      <c r="S403" s="216"/>
    </row>
    <row r="404" spans="1:19" ht="27.75" customHeight="1" hidden="1">
      <c r="A404" s="99"/>
      <c r="B404" s="98"/>
      <c r="C404" s="103"/>
      <c r="D404" s="107"/>
      <c r="E404" s="104"/>
      <c r="F404" s="104"/>
      <c r="G404" s="89"/>
      <c r="H404" s="11" t="s">
        <v>526</v>
      </c>
      <c r="I404" s="10">
        <v>660</v>
      </c>
      <c r="J404" s="7">
        <v>1</v>
      </c>
      <c r="K404" s="16">
        <v>13</v>
      </c>
      <c r="L404" s="16">
        <v>91</v>
      </c>
      <c r="M404" s="96" t="s">
        <v>556</v>
      </c>
      <c r="N404" s="96" t="s">
        <v>576</v>
      </c>
      <c r="O404" s="96" t="s">
        <v>863</v>
      </c>
      <c r="P404" s="6">
        <v>120</v>
      </c>
      <c r="Q404" s="216">
        <v>0</v>
      </c>
      <c r="R404" s="216"/>
      <c r="S404" s="216"/>
    </row>
    <row r="405" spans="1:19" ht="39" customHeight="1">
      <c r="A405" s="99"/>
      <c r="B405" s="98"/>
      <c r="C405" s="103"/>
      <c r="D405" s="107"/>
      <c r="E405" s="104"/>
      <c r="F405" s="104"/>
      <c r="G405" s="89"/>
      <c r="H405" s="11" t="s">
        <v>61</v>
      </c>
      <c r="I405" s="10">
        <v>660</v>
      </c>
      <c r="J405" s="7">
        <v>1</v>
      </c>
      <c r="K405" s="16">
        <v>13</v>
      </c>
      <c r="L405" s="16">
        <v>91</v>
      </c>
      <c r="M405" s="96" t="s">
        <v>556</v>
      </c>
      <c r="N405" s="96" t="s">
        <v>576</v>
      </c>
      <c r="O405" s="96" t="s">
        <v>60</v>
      </c>
      <c r="P405" s="6"/>
      <c r="Q405" s="216">
        <f>Q406</f>
        <v>165</v>
      </c>
      <c r="R405" s="216"/>
      <c r="S405" s="216"/>
    </row>
    <row r="406" spans="1:19" ht="27.75" customHeight="1">
      <c r="A406" s="99"/>
      <c r="B406" s="98"/>
      <c r="C406" s="103"/>
      <c r="D406" s="107"/>
      <c r="E406" s="104"/>
      <c r="F406" s="104"/>
      <c r="G406" s="89"/>
      <c r="H406" s="11" t="s">
        <v>526</v>
      </c>
      <c r="I406" s="10">
        <v>660</v>
      </c>
      <c r="J406" s="7">
        <v>1</v>
      </c>
      <c r="K406" s="16">
        <v>13</v>
      </c>
      <c r="L406" s="16">
        <v>91</v>
      </c>
      <c r="M406" s="96" t="s">
        <v>556</v>
      </c>
      <c r="N406" s="96" t="s">
        <v>576</v>
      </c>
      <c r="O406" s="96" t="s">
        <v>60</v>
      </c>
      <c r="P406" s="6">
        <v>120</v>
      </c>
      <c r="Q406" s="216">
        <v>165</v>
      </c>
      <c r="R406" s="216"/>
      <c r="S406" s="216"/>
    </row>
    <row r="407" spans="1:19" ht="36.75" customHeight="1">
      <c r="A407" s="99"/>
      <c r="B407" s="98"/>
      <c r="C407" s="103"/>
      <c r="D407" s="107"/>
      <c r="E407" s="104"/>
      <c r="F407" s="104"/>
      <c r="G407" s="105"/>
      <c r="H407" s="11" t="s">
        <v>238</v>
      </c>
      <c r="I407" s="10">
        <v>660</v>
      </c>
      <c r="J407" s="7">
        <v>1</v>
      </c>
      <c r="K407" s="16">
        <v>13</v>
      </c>
      <c r="L407" s="16">
        <v>91</v>
      </c>
      <c r="M407" s="96" t="s">
        <v>556</v>
      </c>
      <c r="N407" s="96" t="s">
        <v>576</v>
      </c>
      <c r="O407" s="96" t="s">
        <v>237</v>
      </c>
      <c r="P407" s="6"/>
      <c r="Q407" s="216">
        <f>SUM(Q408:Q409)</f>
        <v>324.79999999999995</v>
      </c>
      <c r="R407" s="216"/>
      <c r="S407" s="216"/>
    </row>
    <row r="408" spans="1:19" ht="30.75" customHeight="1">
      <c r="A408" s="99"/>
      <c r="B408" s="98"/>
      <c r="C408" s="103"/>
      <c r="D408" s="107"/>
      <c r="E408" s="104"/>
      <c r="F408" s="104"/>
      <c r="G408" s="105"/>
      <c r="H408" s="11" t="s">
        <v>526</v>
      </c>
      <c r="I408" s="10">
        <v>660</v>
      </c>
      <c r="J408" s="7">
        <v>1</v>
      </c>
      <c r="K408" s="16">
        <v>13</v>
      </c>
      <c r="L408" s="16">
        <v>91</v>
      </c>
      <c r="M408" s="96" t="s">
        <v>556</v>
      </c>
      <c r="N408" s="96" t="s">
        <v>576</v>
      </c>
      <c r="O408" s="96" t="s">
        <v>237</v>
      </c>
      <c r="P408" s="6">
        <v>120</v>
      </c>
      <c r="Q408" s="216">
        <v>323.9</v>
      </c>
      <c r="R408" s="216"/>
      <c r="S408" s="216"/>
    </row>
    <row r="409" spans="1:19" ht="24.75" customHeight="1">
      <c r="A409" s="99"/>
      <c r="B409" s="98"/>
      <c r="C409" s="103"/>
      <c r="D409" s="107"/>
      <c r="E409" s="104"/>
      <c r="F409" s="104"/>
      <c r="G409" s="105"/>
      <c r="H409" s="11" t="s">
        <v>712</v>
      </c>
      <c r="I409" s="10">
        <v>660</v>
      </c>
      <c r="J409" s="7">
        <v>1</v>
      </c>
      <c r="K409" s="16">
        <v>13</v>
      </c>
      <c r="L409" s="16">
        <v>91</v>
      </c>
      <c r="M409" s="96" t="s">
        <v>556</v>
      </c>
      <c r="N409" s="96" t="s">
        <v>576</v>
      </c>
      <c r="O409" s="96" t="s">
        <v>237</v>
      </c>
      <c r="P409" s="6">
        <v>240</v>
      </c>
      <c r="Q409" s="214">
        <v>0.9</v>
      </c>
      <c r="R409" s="214"/>
      <c r="S409" s="214"/>
    </row>
    <row r="410" spans="1:19" s="319" customFormat="1" ht="26.25" customHeight="1">
      <c r="A410" s="158"/>
      <c r="B410" s="159"/>
      <c r="C410" s="160"/>
      <c r="D410" s="168"/>
      <c r="E410" s="169"/>
      <c r="F410" s="169"/>
      <c r="G410" s="163">
        <v>321</v>
      </c>
      <c r="H410" s="33" t="s">
        <v>367</v>
      </c>
      <c r="I410" s="14">
        <v>661</v>
      </c>
      <c r="J410" s="15" t="s">
        <v>527</v>
      </c>
      <c r="K410" s="15" t="s">
        <v>527</v>
      </c>
      <c r="L410" s="133" t="s">
        <v>527</v>
      </c>
      <c r="M410" s="134" t="s">
        <v>527</v>
      </c>
      <c r="N410" s="134"/>
      <c r="O410" s="134" t="s">
        <v>527</v>
      </c>
      <c r="P410" s="28" t="s">
        <v>527</v>
      </c>
      <c r="Q410" s="220">
        <f>Q411+Q448+Q455</f>
        <v>41903.9</v>
      </c>
      <c r="R410" s="220">
        <f>R411+R448+R455</f>
        <v>37991</v>
      </c>
      <c r="S410" s="220">
        <f>S411+S448+S455</f>
        <v>38084</v>
      </c>
    </row>
    <row r="411" spans="1:19" s="179" customFormat="1" ht="18.75" customHeight="1">
      <c r="A411" s="142"/>
      <c r="B411" s="143"/>
      <c r="C411" s="142"/>
      <c r="D411" s="385">
        <v>5200000</v>
      </c>
      <c r="E411" s="386"/>
      <c r="F411" s="386"/>
      <c r="G411" s="136">
        <v>530</v>
      </c>
      <c r="H411" s="137" t="s">
        <v>529</v>
      </c>
      <c r="I411" s="138">
        <v>661</v>
      </c>
      <c r="J411" s="139">
        <v>1</v>
      </c>
      <c r="K411" s="139" t="s">
        <v>614</v>
      </c>
      <c r="L411" s="140" t="s">
        <v>527</v>
      </c>
      <c r="M411" s="141" t="s">
        <v>527</v>
      </c>
      <c r="N411" s="141"/>
      <c r="O411" s="141" t="s">
        <v>527</v>
      </c>
      <c r="P411" s="146" t="s">
        <v>527</v>
      </c>
      <c r="Q411" s="217">
        <f>Q412+Q434</f>
        <v>22720.2</v>
      </c>
      <c r="R411" s="217">
        <f>R412+R434</f>
        <v>20167.2</v>
      </c>
      <c r="S411" s="217">
        <f>S412+S434</f>
        <v>20167.2</v>
      </c>
    </row>
    <row r="412" spans="1:19" s="179" customFormat="1" ht="36.75" customHeight="1">
      <c r="A412" s="142"/>
      <c r="B412" s="143"/>
      <c r="C412" s="153"/>
      <c r="D412" s="150"/>
      <c r="E412" s="384">
        <v>5201000</v>
      </c>
      <c r="F412" s="384"/>
      <c r="G412" s="136">
        <v>530</v>
      </c>
      <c r="H412" s="137" t="s">
        <v>364</v>
      </c>
      <c r="I412" s="138">
        <v>661</v>
      </c>
      <c r="J412" s="139">
        <v>1</v>
      </c>
      <c r="K412" s="139">
        <v>6</v>
      </c>
      <c r="L412" s="140" t="s">
        <v>527</v>
      </c>
      <c r="M412" s="141" t="s">
        <v>527</v>
      </c>
      <c r="N412" s="141"/>
      <c r="O412" s="141" t="s">
        <v>527</v>
      </c>
      <c r="P412" s="146" t="s">
        <v>527</v>
      </c>
      <c r="Q412" s="217">
        <f>Q413</f>
        <v>6941.3</v>
      </c>
      <c r="R412" s="217">
        <f>R413</f>
        <v>6771.8</v>
      </c>
      <c r="S412" s="217">
        <f>S413</f>
        <v>6771.8</v>
      </c>
    </row>
    <row r="413" spans="1:19" ht="36.75" customHeight="1">
      <c r="A413" s="97"/>
      <c r="B413" s="98"/>
      <c r="C413" s="103"/>
      <c r="D413" s="101"/>
      <c r="E413" s="104"/>
      <c r="F413" s="104"/>
      <c r="G413" s="89"/>
      <c r="H413" s="11" t="s">
        <v>35</v>
      </c>
      <c r="I413" s="10">
        <v>661</v>
      </c>
      <c r="J413" s="16">
        <v>1</v>
      </c>
      <c r="K413" s="16">
        <v>6</v>
      </c>
      <c r="L413" s="95" t="s">
        <v>589</v>
      </c>
      <c r="M413" s="96" t="s">
        <v>556</v>
      </c>
      <c r="N413" s="96" t="s">
        <v>576</v>
      </c>
      <c r="O413" s="96" t="s">
        <v>613</v>
      </c>
      <c r="P413" s="6"/>
      <c r="Q413" s="216">
        <f>Q414+Q418</f>
        <v>6941.3</v>
      </c>
      <c r="R413" s="216">
        <f>R414+R418</f>
        <v>6771.8</v>
      </c>
      <c r="S413" s="216">
        <f>S414+S418</f>
        <v>6771.8</v>
      </c>
    </row>
    <row r="414" spans="1:19" ht="36.75" customHeight="1">
      <c r="A414" s="97"/>
      <c r="B414" s="98"/>
      <c r="C414" s="114"/>
      <c r="D414" s="107"/>
      <c r="E414" s="104"/>
      <c r="F414" s="104"/>
      <c r="G414" s="89"/>
      <c r="H414" s="11" t="s">
        <v>378</v>
      </c>
      <c r="I414" s="10">
        <v>661</v>
      </c>
      <c r="J414" s="16">
        <v>1</v>
      </c>
      <c r="K414" s="16">
        <v>6</v>
      </c>
      <c r="L414" s="95" t="s">
        <v>589</v>
      </c>
      <c r="M414" s="96" t="s">
        <v>558</v>
      </c>
      <c r="N414" s="96" t="s">
        <v>576</v>
      </c>
      <c r="O414" s="96" t="s">
        <v>613</v>
      </c>
      <c r="P414" s="6"/>
      <c r="Q414" s="216">
        <f>Q415</f>
        <v>50</v>
      </c>
      <c r="R414" s="216">
        <f aca="true" t="shared" si="31" ref="R414:S416">R415</f>
        <v>50</v>
      </c>
      <c r="S414" s="216">
        <f t="shared" si="31"/>
        <v>50</v>
      </c>
    </row>
    <row r="415" spans="1:19" ht="36.75" customHeight="1">
      <c r="A415" s="97"/>
      <c r="B415" s="98"/>
      <c r="C415" s="114"/>
      <c r="D415" s="107"/>
      <c r="E415" s="104"/>
      <c r="F415" s="104"/>
      <c r="G415" s="89"/>
      <c r="H415" s="11" t="s">
        <v>37</v>
      </c>
      <c r="I415" s="10">
        <v>661</v>
      </c>
      <c r="J415" s="16">
        <v>1</v>
      </c>
      <c r="K415" s="16">
        <v>6</v>
      </c>
      <c r="L415" s="95" t="s">
        <v>589</v>
      </c>
      <c r="M415" s="96" t="s">
        <v>558</v>
      </c>
      <c r="N415" s="96" t="s">
        <v>557</v>
      </c>
      <c r="O415" s="96" t="s">
        <v>613</v>
      </c>
      <c r="P415" s="6"/>
      <c r="Q415" s="216">
        <f>Q416</f>
        <v>50</v>
      </c>
      <c r="R415" s="216">
        <f t="shared" si="31"/>
        <v>50</v>
      </c>
      <c r="S415" s="216">
        <f t="shared" si="31"/>
        <v>50</v>
      </c>
    </row>
    <row r="416" spans="1:19" ht="21.75" customHeight="1">
      <c r="A416" s="97"/>
      <c r="B416" s="98"/>
      <c r="C416" s="114"/>
      <c r="D416" s="107"/>
      <c r="E416" s="104"/>
      <c r="F416" s="104"/>
      <c r="G416" s="89"/>
      <c r="H416" s="11" t="s">
        <v>335</v>
      </c>
      <c r="I416" s="10">
        <v>661</v>
      </c>
      <c r="J416" s="16">
        <v>1</v>
      </c>
      <c r="K416" s="16">
        <v>6</v>
      </c>
      <c r="L416" s="95" t="s">
        <v>589</v>
      </c>
      <c r="M416" s="96" t="s">
        <v>558</v>
      </c>
      <c r="N416" s="96" t="s">
        <v>557</v>
      </c>
      <c r="O416" s="96" t="s">
        <v>641</v>
      </c>
      <c r="P416" s="6"/>
      <c r="Q416" s="216">
        <f>Q417</f>
        <v>50</v>
      </c>
      <c r="R416" s="216">
        <f t="shared" si="31"/>
        <v>50</v>
      </c>
      <c r="S416" s="216">
        <f t="shared" si="31"/>
        <v>50</v>
      </c>
    </row>
    <row r="417" spans="1:19" ht="28.5" customHeight="1">
      <c r="A417" s="97"/>
      <c r="B417" s="98"/>
      <c r="C417" s="114"/>
      <c r="D417" s="107"/>
      <c r="E417" s="104"/>
      <c r="F417" s="104"/>
      <c r="G417" s="89"/>
      <c r="H417" s="11" t="s">
        <v>712</v>
      </c>
      <c r="I417" s="10">
        <v>661</v>
      </c>
      <c r="J417" s="16">
        <v>1</v>
      </c>
      <c r="K417" s="16">
        <v>6</v>
      </c>
      <c r="L417" s="95" t="s">
        <v>589</v>
      </c>
      <c r="M417" s="96" t="s">
        <v>558</v>
      </c>
      <c r="N417" s="96" t="s">
        <v>557</v>
      </c>
      <c r="O417" s="96" t="s">
        <v>641</v>
      </c>
      <c r="P417" s="6">
        <v>240</v>
      </c>
      <c r="Q417" s="216">
        <v>50</v>
      </c>
      <c r="R417" s="216">
        <v>50</v>
      </c>
      <c r="S417" s="216">
        <v>50</v>
      </c>
    </row>
    <row r="418" spans="1:19" ht="38.25" customHeight="1">
      <c r="A418" s="97"/>
      <c r="B418" s="98"/>
      <c r="C418" s="114"/>
      <c r="D418" s="94"/>
      <c r="E418" s="94"/>
      <c r="F418" s="94"/>
      <c r="G418" s="89"/>
      <c r="H418" s="11" t="s">
        <v>34</v>
      </c>
      <c r="I418" s="10">
        <v>661</v>
      </c>
      <c r="J418" s="16">
        <v>1</v>
      </c>
      <c r="K418" s="16">
        <v>6</v>
      </c>
      <c r="L418" s="95" t="s">
        <v>589</v>
      </c>
      <c r="M418" s="96" t="s">
        <v>553</v>
      </c>
      <c r="N418" s="96" t="s">
        <v>576</v>
      </c>
      <c r="O418" s="96" t="s">
        <v>613</v>
      </c>
      <c r="P418" s="10"/>
      <c r="Q418" s="214">
        <f>Q419</f>
        <v>6891.3</v>
      </c>
      <c r="R418" s="214">
        <f>R419</f>
        <v>6721.8</v>
      </c>
      <c r="S418" s="214">
        <f>S419</f>
        <v>6721.8</v>
      </c>
    </row>
    <row r="419" spans="1:19" ht="62.25" customHeight="1">
      <c r="A419" s="97"/>
      <c r="B419" s="98"/>
      <c r="C419" s="114"/>
      <c r="D419" s="111"/>
      <c r="E419" s="114"/>
      <c r="F419" s="114"/>
      <c r="G419" s="89"/>
      <c r="H419" s="11" t="s">
        <v>33</v>
      </c>
      <c r="I419" s="10">
        <v>661</v>
      </c>
      <c r="J419" s="16">
        <v>1</v>
      </c>
      <c r="K419" s="16">
        <v>6</v>
      </c>
      <c r="L419" s="95" t="s">
        <v>589</v>
      </c>
      <c r="M419" s="96" t="s">
        <v>553</v>
      </c>
      <c r="N419" s="96" t="s">
        <v>557</v>
      </c>
      <c r="O419" s="96" t="s">
        <v>613</v>
      </c>
      <c r="P419" s="6"/>
      <c r="Q419" s="216">
        <f>Q420+Q428+Q431+Q426+Q424</f>
        <v>6891.3</v>
      </c>
      <c r="R419" s="216">
        <f>R420+R428+R431</f>
        <v>6721.8</v>
      </c>
      <c r="S419" s="216">
        <f>S420+S428+S431</f>
        <v>6721.8</v>
      </c>
    </row>
    <row r="420" spans="1:19" ht="33.75" customHeight="1">
      <c r="A420" s="99"/>
      <c r="B420" s="98"/>
      <c r="C420" s="103"/>
      <c r="D420" s="101"/>
      <c r="E420" s="104"/>
      <c r="F420" s="104"/>
      <c r="G420" s="105">
        <v>530</v>
      </c>
      <c r="H420" s="11" t="s">
        <v>335</v>
      </c>
      <c r="I420" s="10">
        <v>661</v>
      </c>
      <c r="J420" s="16">
        <v>1</v>
      </c>
      <c r="K420" s="16">
        <v>6</v>
      </c>
      <c r="L420" s="16">
        <v>11</v>
      </c>
      <c r="M420" s="96" t="s">
        <v>553</v>
      </c>
      <c r="N420" s="96" t="s">
        <v>557</v>
      </c>
      <c r="O420" s="96" t="s">
        <v>641</v>
      </c>
      <c r="P420" s="6" t="s">
        <v>527</v>
      </c>
      <c r="Q420" s="216">
        <f>SUM(Q421:Q423)</f>
        <v>4738.1</v>
      </c>
      <c r="R420" s="216">
        <f>SUM(R421:R423)</f>
        <v>6721.8</v>
      </c>
      <c r="S420" s="216">
        <f>SUM(S421:S423)</f>
        <v>6721.8</v>
      </c>
    </row>
    <row r="421" spans="1:19" ht="22.5" customHeight="1">
      <c r="A421" s="110"/>
      <c r="B421" s="111"/>
      <c r="C421" s="106"/>
      <c r="D421" s="107"/>
      <c r="E421" s="104"/>
      <c r="F421" s="104"/>
      <c r="G421" s="89"/>
      <c r="H421" s="11" t="s">
        <v>526</v>
      </c>
      <c r="I421" s="6">
        <v>661</v>
      </c>
      <c r="J421" s="19">
        <v>1</v>
      </c>
      <c r="K421" s="16">
        <v>6</v>
      </c>
      <c r="L421" s="16">
        <v>11</v>
      </c>
      <c r="M421" s="96" t="s">
        <v>553</v>
      </c>
      <c r="N421" s="96" t="s">
        <v>557</v>
      </c>
      <c r="O421" s="96" t="s">
        <v>641</v>
      </c>
      <c r="P421" s="6">
        <v>120</v>
      </c>
      <c r="Q421" s="216">
        <f>3765.6+69.7+25+169.8-30.9+30</f>
        <v>4029.2</v>
      </c>
      <c r="R421" s="216">
        <v>3954</v>
      </c>
      <c r="S421" s="216">
        <v>3954</v>
      </c>
    </row>
    <row r="422" spans="1:19" ht="21.75" customHeight="1">
      <c r="A422" s="110"/>
      <c r="B422" s="112"/>
      <c r="C422" s="106"/>
      <c r="D422" s="109"/>
      <c r="E422" s="104"/>
      <c r="F422" s="104"/>
      <c r="G422" s="89"/>
      <c r="H422" s="5" t="s">
        <v>712</v>
      </c>
      <c r="I422" s="6">
        <v>661</v>
      </c>
      <c r="J422" s="21">
        <v>1</v>
      </c>
      <c r="K422" s="16">
        <v>6</v>
      </c>
      <c r="L422" s="16">
        <v>11</v>
      </c>
      <c r="M422" s="96" t="s">
        <v>553</v>
      </c>
      <c r="N422" s="96" t="s">
        <v>557</v>
      </c>
      <c r="O422" s="96" t="s">
        <v>641</v>
      </c>
      <c r="P422" s="6">
        <v>240</v>
      </c>
      <c r="Q422" s="214">
        <f>1929-977.2-25-100-118.5</f>
        <v>708.3</v>
      </c>
      <c r="R422" s="214">
        <v>2744.8</v>
      </c>
      <c r="S422" s="214">
        <v>2744.8</v>
      </c>
    </row>
    <row r="423" spans="1:19" ht="21.75" customHeight="1">
      <c r="A423" s="97"/>
      <c r="B423" s="98"/>
      <c r="C423" s="94"/>
      <c r="D423" s="94"/>
      <c r="E423" s="94"/>
      <c r="F423" s="94"/>
      <c r="G423" s="89"/>
      <c r="H423" s="11" t="s">
        <v>713</v>
      </c>
      <c r="I423" s="10">
        <v>661</v>
      </c>
      <c r="J423" s="16">
        <v>1</v>
      </c>
      <c r="K423" s="16">
        <v>6</v>
      </c>
      <c r="L423" s="95" t="s">
        <v>589</v>
      </c>
      <c r="M423" s="96" t="s">
        <v>553</v>
      </c>
      <c r="N423" s="96" t="s">
        <v>557</v>
      </c>
      <c r="O423" s="96" t="s">
        <v>641</v>
      </c>
      <c r="P423" s="10">
        <v>850</v>
      </c>
      <c r="Q423" s="214">
        <f>23-3-19.4</f>
        <v>0.6000000000000014</v>
      </c>
      <c r="R423" s="214">
        <v>23</v>
      </c>
      <c r="S423" s="214">
        <v>23</v>
      </c>
    </row>
    <row r="424" spans="1:19" ht="51.75" customHeight="1" hidden="1">
      <c r="A424" s="97"/>
      <c r="B424" s="98"/>
      <c r="C424" s="94"/>
      <c r="D424" s="94"/>
      <c r="E424" s="94"/>
      <c r="F424" s="94"/>
      <c r="G424" s="89"/>
      <c r="H424" s="108" t="s">
        <v>864</v>
      </c>
      <c r="I424" s="10">
        <v>661</v>
      </c>
      <c r="J424" s="16">
        <v>1</v>
      </c>
      <c r="K424" s="16">
        <v>6</v>
      </c>
      <c r="L424" s="95" t="s">
        <v>589</v>
      </c>
      <c r="M424" s="96" t="s">
        <v>553</v>
      </c>
      <c r="N424" s="96" t="s">
        <v>557</v>
      </c>
      <c r="O424" s="96" t="s">
        <v>863</v>
      </c>
      <c r="P424" s="10"/>
      <c r="Q424" s="214">
        <f>Q425</f>
        <v>0</v>
      </c>
      <c r="R424" s="214"/>
      <c r="S424" s="214"/>
    </row>
    <row r="425" spans="1:19" ht="21.75" customHeight="1" hidden="1">
      <c r="A425" s="97"/>
      <c r="B425" s="98"/>
      <c r="C425" s="94"/>
      <c r="D425" s="94"/>
      <c r="E425" s="94"/>
      <c r="F425" s="94"/>
      <c r="G425" s="89"/>
      <c r="H425" s="11" t="s">
        <v>526</v>
      </c>
      <c r="I425" s="10">
        <v>661</v>
      </c>
      <c r="J425" s="16">
        <v>1</v>
      </c>
      <c r="K425" s="16">
        <v>6</v>
      </c>
      <c r="L425" s="95" t="s">
        <v>589</v>
      </c>
      <c r="M425" s="96" t="s">
        <v>553</v>
      </c>
      <c r="N425" s="96" t="s">
        <v>557</v>
      </c>
      <c r="O425" s="96" t="s">
        <v>863</v>
      </c>
      <c r="P425" s="10">
        <v>120</v>
      </c>
      <c r="Q425" s="214">
        <v>0</v>
      </c>
      <c r="R425" s="214"/>
      <c r="S425" s="214"/>
    </row>
    <row r="426" spans="1:19" ht="31.5" customHeight="1">
      <c r="A426" s="97"/>
      <c r="B426" s="98"/>
      <c r="C426" s="94"/>
      <c r="D426" s="94"/>
      <c r="E426" s="94"/>
      <c r="F426" s="94"/>
      <c r="G426" s="89"/>
      <c r="H426" s="11" t="s">
        <v>61</v>
      </c>
      <c r="I426" s="10">
        <v>661</v>
      </c>
      <c r="J426" s="16">
        <v>1</v>
      </c>
      <c r="K426" s="16">
        <v>6</v>
      </c>
      <c r="L426" s="95" t="s">
        <v>589</v>
      </c>
      <c r="M426" s="96" t="s">
        <v>553</v>
      </c>
      <c r="N426" s="96" t="s">
        <v>557</v>
      </c>
      <c r="O426" s="96" t="s">
        <v>60</v>
      </c>
      <c r="P426" s="10"/>
      <c r="Q426" s="214">
        <f>Q427</f>
        <v>722</v>
      </c>
      <c r="R426" s="214"/>
      <c r="S426" s="214"/>
    </row>
    <row r="427" spans="1:19" ht="21.75" customHeight="1">
      <c r="A427" s="97"/>
      <c r="B427" s="98"/>
      <c r="C427" s="94"/>
      <c r="D427" s="94"/>
      <c r="E427" s="94"/>
      <c r="F427" s="94"/>
      <c r="G427" s="89"/>
      <c r="H427" s="11" t="s">
        <v>526</v>
      </c>
      <c r="I427" s="10">
        <v>661</v>
      </c>
      <c r="J427" s="16">
        <v>1</v>
      </c>
      <c r="K427" s="16">
        <v>6</v>
      </c>
      <c r="L427" s="95" t="s">
        <v>589</v>
      </c>
      <c r="M427" s="96" t="s">
        <v>553</v>
      </c>
      <c r="N427" s="96" t="s">
        <v>557</v>
      </c>
      <c r="O427" s="96" t="s">
        <v>60</v>
      </c>
      <c r="P427" s="10">
        <v>120</v>
      </c>
      <c r="Q427" s="214">
        <v>722</v>
      </c>
      <c r="R427" s="214"/>
      <c r="S427" s="214"/>
    </row>
    <row r="428" spans="1:19" ht="24" customHeight="1">
      <c r="A428" s="97"/>
      <c r="B428" s="98"/>
      <c r="C428" s="94"/>
      <c r="D428" s="94"/>
      <c r="E428" s="94"/>
      <c r="F428" s="94"/>
      <c r="G428" s="89"/>
      <c r="H428" s="11" t="s">
        <v>241</v>
      </c>
      <c r="I428" s="10">
        <v>661</v>
      </c>
      <c r="J428" s="16">
        <v>1</v>
      </c>
      <c r="K428" s="16">
        <v>6</v>
      </c>
      <c r="L428" s="95" t="s">
        <v>589</v>
      </c>
      <c r="M428" s="96" t="s">
        <v>553</v>
      </c>
      <c r="N428" s="96" t="s">
        <v>557</v>
      </c>
      <c r="O428" s="96" t="s">
        <v>239</v>
      </c>
      <c r="P428" s="10"/>
      <c r="Q428" s="221">
        <f>SUM(Q429:Q430)</f>
        <v>372.9</v>
      </c>
      <c r="R428" s="221"/>
      <c r="S428" s="221"/>
    </row>
    <row r="429" spans="1:19" ht="24" customHeight="1">
      <c r="A429" s="97"/>
      <c r="B429" s="98"/>
      <c r="C429" s="94"/>
      <c r="D429" s="94"/>
      <c r="E429" s="94"/>
      <c r="F429" s="94"/>
      <c r="G429" s="89"/>
      <c r="H429" s="11" t="s">
        <v>526</v>
      </c>
      <c r="I429" s="10">
        <v>661</v>
      </c>
      <c r="J429" s="16">
        <v>1</v>
      </c>
      <c r="K429" s="16">
        <v>6</v>
      </c>
      <c r="L429" s="95" t="s">
        <v>589</v>
      </c>
      <c r="M429" s="96" t="s">
        <v>553</v>
      </c>
      <c r="N429" s="96" t="s">
        <v>557</v>
      </c>
      <c r="O429" s="96" t="s">
        <v>239</v>
      </c>
      <c r="P429" s="10">
        <v>120</v>
      </c>
      <c r="Q429" s="221">
        <f>304+67.9</f>
        <v>371.9</v>
      </c>
      <c r="R429" s="221"/>
      <c r="S429" s="221"/>
    </row>
    <row r="430" spans="1:19" ht="29.25" customHeight="1">
      <c r="A430" s="97"/>
      <c r="B430" s="98"/>
      <c r="C430" s="94"/>
      <c r="D430" s="94"/>
      <c r="E430" s="94"/>
      <c r="F430" s="94"/>
      <c r="G430" s="89"/>
      <c r="H430" s="11" t="s">
        <v>712</v>
      </c>
      <c r="I430" s="10">
        <v>661</v>
      </c>
      <c r="J430" s="16">
        <v>1</v>
      </c>
      <c r="K430" s="16">
        <v>6</v>
      </c>
      <c r="L430" s="95" t="s">
        <v>589</v>
      </c>
      <c r="M430" s="96" t="s">
        <v>553</v>
      </c>
      <c r="N430" s="96" t="s">
        <v>557</v>
      </c>
      <c r="O430" s="96" t="s">
        <v>239</v>
      </c>
      <c r="P430" s="10">
        <v>240</v>
      </c>
      <c r="Q430" s="214">
        <v>1</v>
      </c>
      <c r="R430" s="221"/>
      <c r="S430" s="221"/>
    </row>
    <row r="431" spans="1:19" ht="31.5" customHeight="1">
      <c r="A431" s="97"/>
      <c r="B431" s="98"/>
      <c r="C431" s="94"/>
      <c r="D431" s="94"/>
      <c r="E431" s="94"/>
      <c r="F431" s="94"/>
      <c r="G431" s="89"/>
      <c r="H431" s="11" t="s">
        <v>242</v>
      </c>
      <c r="I431" s="10">
        <v>661</v>
      </c>
      <c r="J431" s="16">
        <v>1</v>
      </c>
      <c r="K431" s="16">
        <v>6</v>
      </c>
      <c r="L431" s="95" t="s">
        <v>589</v>
      </c>
      <c r="M431" s="96" t="s">
        <v>553</v>
      </c>
      <c r="N431" s="96" t="s">
        <v>557</v>
      </c>
      <c r="O431" s="96" t="s">
        <v>240</v>
      </c>
      <c r="P431" s="10"/>
      <c r="Q431" s="221">
        <f>SUM(Q432:Q433)</f>
        <v>1058.3</v>
      </c>
      <c r="R431" s="221"/>
      <c r="S431" s="221"/>
    </row>
    <row r="432" spans="1:19" ht="22.5" customHeight="1">
      <c r="A432" s="97"/>
      <c r="B432" s="98"/>
      <c r="C432" s="94"/>
      <c r="D432" s="94"/>
      <c r="E432" s="94"/>
      <c r="F432" s="94"/>
      <c r="G432" s="89"/>
      <c r="H432" s="11" t="s">
        <v>526</v>
      </c>
      <c r="I432" s="10">
        <v>661</v>
      </c>
      <c r="J432" s="16">
        <v>1</v>
      </c>
      <c r="K432" s="16">
        <v>6</v>
      </c>
      <c r="L432" s="95" t="s">
        <v>589</v>
      </c>
      <c r="M432" s="96" t="s">
        <v>553</v>
      </c>
      <c r="N432" s="96" t="s">
        <v>557</v>
      </c>
      <c r="O432" s="96" t="s">
        <v>240</v>
      </c>
      <c r="P432" s="10">
        <v>120</v>
      </c>
      <c r="Q432" s="221">
        <f>850.6+148.5</f>
        <v>999.1</v>
      </c>
      <c r="R432" s="221"/>
      <c r="S432" s="221"/>
    </row>
    <row r="433" spans="1:19" ht="24" customHeight="1">
      <c r="A433" s="97"/>
      <c r="B433" s="98"/>
      <c r="C433" s="106"/>
      <c r="D433" s="111"/>
      <c r="E433" s="114"/>
      <c r="F433" s="114"/>
      <c r="G433" s="89"/>
      <c r="H433" s="11" t="s">
        <v>712</v>
      </c>
      <c r="I433" s="6">
        <v>661</v>
      </c>
      <c r="J433" s="16">
        <v>1</v>
      </c>
      <c r="K433" s="16">
        <v>6</v>
      </c>
      <c r="L433" s="95" t="s">
        <v>589</v>
      </c>
      <c r="M433" s="96" t="s">
        <v>553</v>
      </c>
      <c r="N433" s="96" t="s">
        <v>557</v>
      </c>
      <c r="O433" s="96" t="s">
        <v>240</v>
      </c>
      <c r="P433" s="10">
        <v>240</v>
      </c>
      <c r="Q433" s="214">
        <v>59.2</v>
      </c>
      <c r="R433" s="214"/>
      <c r="S433" s="214"/>
    </row>
    <row r="434" spans="1:19" s="179" customFormat="1" ht="18.75" customHeight="1">
      <c r="A434" s="142"/>
      <c r="B434" s="143"/>
      <c r="C434" s="135"/>
      <c r="D434" s="135"/>
      <c r="E434" s="135"/>
      <c r="F434" s="135"/>
      <c r="G434" s="136"/>
      <c r="H434" s="137" t="s">
        <v>528</v>
      </c>
      <c r="I434" s="138">
        <v>661</v>
      </c>
      <c r="J434" s="139">
        <v>1</v>
      </c>
      <c r="K434" s="139">
        <v>13</v>
      </c>
      <c r="L434" s="140"/>
      <c r="M434" s="141"/>
      <c r="N434" s="141"/>
      <c r="O434" s="141"/>
      <c r="P434" s="138"/>
      <c r="Q434" s="213">
        <f>Q435</f>
        <v>15778.900000000001</v>
      </c>
      <c r="R434" s="213">
        <f aca="true" t="shared" si="32" ref="R434:S436">R435</f>
        <v>13395.400000000001</v>
      </c>
      <c r="S434" s="213">
        <f t="shared" si="32"/>
        <v>13395.400000000001</v>
      </c>
    </row>
    <row r="435" spans="1:19" ht="36.75" customHeight="1">
      <c r="A435" s="97"/>
      <c r="B435" s="98"/>
      <c r="C435" s="103"/>
      <c r="D435" s="101"/>
      <c r="E435" s="104"/>
      <c r="F435" s="104"/>
      <c r="G435" s="89"/>
      <c r="H435" s="11" t="s">
        <v>35</v>
      </c>
      <c r="I435" s="10">
        <v>661</v>
      </c>
      <c r="J435" s="16">
        <v>1</v>
      </c>
      <c r="K435" s="16">
        <v>13</v>
      </c>
      <c r="L435" s="95" t="s">
        <v>589</v>
      </c>
      <c r="M435" s="96" t="s">
        <v>556</v>
      </c>
      <c r="N435" s="96" t="s">
        <v>576</v>
      </c>
      <c r="O435" s="96" t="s">
        <v>613</v>
      </c>
      <c r="P435" s="6"/>
      <c r="Q435" s="216">
        <f>Q436</f>
        <v>15778.900000000001</v>
      </c>
      <c r="R435" s="216">
        <f t="shared" si="32"/>
        <v>13395.400000000001</v>
      </c>
      <c r="S435" s="216">
        <f t="shared" si="32"/>
        <v>13395.400000000001</v>
      </c>
    </row>
    <row r="436" spans="1:19" ht="38.25" customHeight="1">
      <c r="A436" s="97"/>
      <c r="B436" s="98"/>
      <c r="C436" s="114"/>
      <c r="D436" s="94"/>
      <c r="E436" s="94"/>
      <c r="F436" s="94"/>
      <c r="G436" s="89"/>
      <c r="H436" s="11" t="s">
        <v>34</v>
      </c>
      <c r="I436" s="10">
        <v>661</v>
      </c>
      <c r="J436" s="16">
        <v>1</v>
      </c>
      <c r="K436" s="16">
        <v>13</v>
      </c>
      <c r="L436" s="95" t="s">
        <v>589</v>
      </c>
      <c r="M436" s="96" t="s">
        <v>553</v>
      </c>
      <c r="N436" s="96" t="s">
        <v>576</v>
      </c>
      <c r="O436" s="96" t="s">
        <v>613</v>
      </c>
      <c r="P436" s="10"/>
      <c r="Q436" s="214">
        <f>Q437</f>
        <v>15778.900000000001</v>
      </c>
      <c r="R436" s="214">
        <f t="shared" si="32"/>
        <v>13395.400000000001</v>
      </c>
      <c r="S436" s="214">
        <f t="shared" si="32"/>
        <v>13395.400000000001</v>
      </c>
    </row>
    <row r="437" spans="1:19" ht="36" customHeight="1">
      <c r="A437" s="97"/>
      <c r="B437" s="98"/>
      <c r="C437" s="106"/>
      <c r="D437" s="111"/>
      <c r="E437" s="114"/>
      <c r="F437" s="114"/>
      <c r="G437" s="89"/>
      <c r="H437" s="11" t="s">
        <v>708</v>
      </c>
      <c r="I437" s="10">
        <v>661</v>
      </c>
      <c r="J437" s="16">
        <v>1</v>
      </c>
      <c r="K437" s="16">
        <v>13</v>
      </c>
      <c r="L437" s="95" t="s">
        <v>589</v>
      </c>
      <c r="M437" s="96" t="s">
        <v>553</v>
      </c>
      <c r="N437" s="96" t="s">
        <v>585</v>
      </c>
      <c r="O437" s="96" t="s">
        <v>613</v>
      </c>
      <c r="P437" s="10"/>
      <c r="Q437" s="214">
        <f>Q438+Q445+Q443</f>
        <v>15778.900000000001</v>
      </c>
      <c r="R437" s="214">
        <f>R438+R445</f>
        <v>13395.400000000001</v>
      </c>
      <c r="S437" s="214">
        <f>S438+S445</f>
        <v>13395.400000000001</v>
      </c>
    </row>
    <row r="438" spans="1:19" ht="33.75" customHeight="1">
      <c r="A438" s="97"/>
      <c r="B438" s="98"/>
      <c r="C438" s="106"/>
      <c r="D438" s="111"/>
      <c r="E438" s="114"/>
      <c r="F438" s="114"/>
      <c r="G438" s="89"/>
      <c r="H438" s="11" t="s">
        <v>337</v>
      </c>
      <c r="I438" s="10">
        <v>661</v>
      </c>
      <c r="J438" s="16">
        <v>1</v>
      </c>
      <c r="K438" s="16">
        <v>13</v>
      </c>
      <c r="L438" s="95" t="s">
        <v>589</v>
      </c>
      <c r="M438" s="96" t="s">
        <v>553</v>
      </c>
      <c r="N438" s="96" t="s">
        <v>585</v>
      </c>
      <c r="O438" s="96" t="s">
        <v>338</v>
      </c>
      <c r="P438" s="10"/>
      <c r="Q438" s="221">
        <f>SUM(Q439:Q442)</f>
        <v>11336.600000000002</v>
      </c>
      <c r="R438" s="221">
        <f>SUM(R439:R442)</f>
        <v>13395.400000000001</v>
      </c>
      <c r="S438" s="221">
        <f>SUM(S439:S442)</f>
        <v>13395.400000000001</v>
      </c>
    </row>
    <row r="439" spans="1:19" ht="30" customHeight="1">
      <c r="A439" s="97"/>
      <c r="B439" s="98"/>
      <c r="C439" s="106"/>
      <c r="D439" s="111"/>
      <c r="E439" s="114"/>
      <c r="F439" s="114"/>
      <c r="G439" s="89"/>
      <c r="H439" s="11" t="s">
        <v>781</v>
      </c>
      <c r="I439" s="10">
        <v>661</v>
      </c>
      <c r="J439" s="16">
        <v>1</v>
      </c>
      <c r="K439" s="16">
        <v>13</v>
      </c>
      <c r="L439" s="95" t="s">
        <v>589</v>
      </c>
      <c r="M439" s="96" t="s">
        <v>553</v>
      </c>
      <c r="N439" s="96" t="s">
        <v>585</v>
      </c>
      <c r="O439" s="96" t="s">
        <v>338</v>
      </c>
      <c r="P439" s="10">
        <v>110</v>
      </c>
      <c r="Q439" s="214">
        <f>11244.7-0.1-68+3.7-620+1-29.5</f>
        <v>10531.800000000001</v>
      </c>
      <c r="R439" s="240">
        <v>11244.7</v>
      </c>
      <c r="S439" s="240">
        <v>11244.7</v>
      </c>
    </row>
    <row r="440" spans="1:19" ht="30" customHeight="1">
      <c r="A440" s="97"/>
      <c r="B440" s="98"/>
      <c r="C440" s="106"/>
      <c r="D440" s="111"/>
      <c r="E440" s="114"/>
      <c r="F440" s="114"/>
      <c r="G440" s="89"/>
      <c r="H440" s="11" t="s">
        <v>712</v>
      </c>
      <c r="I440" s="10">
        <v>661</v>
      </c>
      <c r="J440" s="16">
        <v>1</v>
      </c>
      <c r="K440" s="16">
        <v>13</v>
      </c>
      <c r="L440" s="95" t="s">
        <v>589</v>
      </c>
      <c r="M440" s="96" t="s">
        <v>553</v>
      </c>
      <c r="N440" s="96" t="s">
        <v>585</v>
      </c>
      <c r="O440" s="96" t="s">
        <v>338</v>
      </c>
      <c r="P440" s="10">
        <v>240</v>
      </c>
      <c r="Q440" s="214">
        <f>1149.7-3.7-409.3</f>
        <v>736.7</v>
      </c>
      <c r="R440" s="240">
        <v>2149.7</v>
      </c>
      <c r="S440" s="240">
        <v>2149.7</v>
      </c>
    </row>
    <row r="441" spans="1:19" ht="30" customHeight="1">
      <c r="A441" s="97"/>
      <c r="B441" s="98"/>
      <c r="C441" s="106"/>
      <c r="D441" s="111"/>
      <c r="E441" s="114"/>
      <c r="F441" s="114"/>
      <c r="G441" s="89"/>
      <c r="H441" s="11" t="s">
        <v>717</v>
      </c>
      <c r="I441" s="10">
        <v>661</v>
      </c>
      <c r="J441" s="16">
        <v>1</v>
      </c>
      <c r="K441" s="16">
        <v>13</v>
      </c>
      <c r="L441" s="95" t="s">
        <v>589</v>
      </c>
      <c r="M441" s="96" t="s">
        <v>553</v>
      </c>
      <c r="N441" s="96" t="s">
        <v>585</v>
      </c>
      <c r="O441" s="96" t="s">
        <v>338</v>
      </c>
      <c r="P441" s="10">
        <v>320</v>
      </c>
      <c r="Q441" s="214">
        <v>68</v>
      </c>
      <c r="R441" s="240"/>
      <c r="S441" s="240"/>
    </row>
    <row r="442" spans="1:19" ht="30" customHeight="1">
      <c r="A442" s="97"/>
      <c r="B442" s="98"/>
      <c r="C442" s="106"/>
      <c r="D442" s="111"/>
      <c r="E442" s="114"/>
      <c r="F442" s="114"/>
      <c r="G442" s="89"/>
      <c r="H442" s="11" t="s">
        <v>713</v>
      </c>
      <c r="I442" s="10">
        <v>661</v>
      </c>
      <c r="J442" s="16">
        <v>1</v>
      </c>
      <c r="K442" s="16">
        <v>13</v>
      </c>
      <c r="L442" s="95" t="s">
        <v>589</v>
      </c>
      <c r="M442" s="96" t="s">
        <v>553</v>
      </c>
      <c r="N442" s="96" t="s">
        <v>585</v>
      </c>
      <c r="O442" s="96" t="s">
        <v>338</v>
      </c>
      <c r="P442" s="10">
        <v>850</v>
      </c>
      <c r="Q442" s="214">
        <f>1+0.1-1</f>
        <v>0.10000000000000009</v>
      </c>
      <c r="R442" s="240">
        <v>1</v>
      </c>
      <c r="S442" s="240">
        <v>1</v>
      </c>
    </row>
    <row r="443" spans="1:19" ht="30" customHeight="1">
      <c r="A443" s="97"/>
      <c r="B443" s="98"/>
      <c r="C443" s="106"/>
      <c r="D443" s="111"/>
      <c r="E443" s="114"/>
      <c r="F443" s="114"/>
      <c r="G443" s="89"/>
      <c r="H443" s="11" t="s">
        <v>61</v>
      </c>
      <c r="I443" s="10">
        <v>661</v>
      </c>
      <c r="J443" s="16">
        <v>1</v>
      </c>
      <c r="K443" s="16">
        <v>13</v>
      </c>
      <c r="L443" s="95" t="s">
        <v>589</v>
      </c>
      <c r="M443" s="96" t="s">
        <v>553</v>
      </c>
      <c r="N443" s="96" t="s">
        <v>585</v>
      </c>
      <c r="O443" s="96" t="s">
        <v>60</v>
      </c>
      <c r="P443" s="10"/>
      <c r="Q443" s="214">
        <f>Q444</f>
        <v>2235.2</v>
      </c>
      <c r="R443" s="240"/>
      <c r="S443" s="240"/>
    </row>
    <row r="444" spans="1:19" ht="30" customHeight="1">
      <c r="A444" s="97"/>
      <c r="B444" s="98"/>
      <c r="C444" s="106"/>
      <c r="D444" s="111"/>
      <c r="E444" s="114"/>
      <c r="F444" s="114"/>
      <c r="G444" s="89"/>
      <c r="H444" s="11" t="s">
        <v>781</v>
      </c>
      <c r="I444" s="10">
        <v>661</v>
      </c>
      <c r="J444" s="16">
        <v>1</v>
      </c>
      <c r="K444" s="16">
        <v>13</v>
      </c>
      <c r="L444" s="95" t="s">
        <v>589</v>
      </c>
      <c r="M444" s="96" t="s">
        <v>553</v>
      </c>
      <c r="N444" s="96" t="s">
        <v>585</v>
      </c>
      <c r="O444" s="96" t="s">
        <v>60</v>
      </c>
      <c r="P444" s="10">
        <v>110</v>
      </c>
      <c r="Q444" s="214">
        <v>2235.2</v>
      </c>
      <c r="R444" s="240"/>
      <c r="S444" s="240"/>
    </row>
    <row r="445" spans="1:19" ht="33.75" customHeight="1">
      <c r="A445" s="97"/>
      <c r="B445" s="98"/>
      <c r="C445" s="106"/>
      <c r="D445" s="111"/>
      <c r="E445" s="114"/>
      <c r="F445" s="114"/>
      <c r="G445" s="89"/>
      <c r="H445" s="11" t="s">
        <v>752</v>
      </c>
      <c r="I445" s="10">
        <v>661</v>
      </c>
      <c r="J445" s="16">
        <v>1</v>
      </c>
      <c r="K445" s="16">
        <v>13</v>
      </c>
      <c r="L445" s="95" t="s">
        <v>589</v>
      </c>
      <c r="M445" s="96" t="s">
        <v>553</v>
      </c>
      <c r="N445" s="96" t="s">
        <v>585</v>
      </c>
      <c r="O445" s="96" t="s">
        <v>751</v>
      </c>
      <c r="P445" s="10"/>
      <c r="Q445" s="214">
        <f>SUM(Q446:Q447)</f>
        <v>2207.0999999999995</v>
      </c>
      <c r="R445" s="214">
        <f>SUM(R446:R447)</f>
        <v>0</v>
      </c>
      <c r="S445" s="214">
        <f>SUM(S446:S447)</f>
        <v>0</v>
      </c>
    </row>
    <row r="446" spans="1:19" ht="33.75" customHeight="1">
      <c r="A446" s="97"/>
      <c r="B446" s="98"/>
      <c r="C446" s="106"/>
      <c r="D446" s="111"/>
      <c r="E446" s="114"/>
      <c r="F446" s="114"/>
      <c r="G446" s="89"/>
      <c r="H446" s="11" t="s">
        <v>715</v>
      </c>
      <c r="I446" s="10">
        <v>661</v>
      </c>
      <c r="J446" s="16">
        <v>1</v>
      </c>
      <c r="K446" s="16">
        <v>13</v>
      </c>
      <c r="L446" s="95" t="s">
        <v>589</v>
      </c>
      <c r="M446" s="96" t="s">
        <v>553</v>
      </c>
      <c r="N446" s="96" t="s">
        <v>585</v>
      </c>
      <c r="O446" s="96" t="s">
        <v>751</v>
      </c>
      <c r="P446" s="10">
        <v>110</v>
      </c>
      <c r="Q446" s="214">
        <f>1924.1+30.3+141+0.1</f>
        <v>2095.4999999999995</v>
      </c>
      <c r="R446" s="214"/>
      <c r="S446" s="214"/>
    </row>
    <row r="447" spans="1:19" ht="33.75" customHeight="1">
      <c r="A447" s="97"/>
      <c r="B447" s="98"/>
      <c r="C447" s="106"/>
      <c r="D447" s="111"/>
      <c r="E447" s="114"/>
      <c r="F447" s="114"/>
      <c r="G447" s="89"/>
      <c r="H447" s="11" t="s">
        <v>712</v>
      </c>
      <c r="I447" s="10">
        <v>661</v>
      </c>
      <c r="J447" s="16">
        <v>1</v>
      </c>
      <c r="K447" s="16">
        <v>13</v>
      </c>
      <c r="L447" s="95" t="s">
        <v>589</v>
      </c>
      <c r="M447" s="96" t="s">
        <v>553</v>
      </c>
      <c r="N447" s="96" t="s">
        <v>585</v>
      </c>
      <c r="O447" s="96" t="s">
        <v>751</v>
      </c>
      <c r="P447" s="10">
        <v>240</v>
      </c>
      <c r="Q447" s="214">
        <f>30+81.6</f>
        <v>111.6</v>
      </c>
      <c r="R447" s="214"/>
      <c r="S447" s="214"/>
    </row>
    <row r="448" spans="1:19" s="179" customFormat="1" ht="24" customHeight="1">
      <c r="A448" s="142"/>
      <c r="B448" s="143"/>
      <c r="C448" s="157"/>
      <c r="D448" s="170"/>
      <c r="E448" s="145"/>
      <c r="F448" s="145"/>
      <c r="G448" s="155"/>
      <c r="H448" s="137" t="s">
        <v>546</v>
      </c>
      <c r="I448" s="138">
        <v>661</v>
      </c>
      <c r="J448" s="139">
        <v>13</v>
      </c>
      <c r="K448" s="139" t="s">
        <v>614</v>
      </c>
      <c r="L448" s="140" t="s">
        <v>527</v>
      </c>
      <c r="M448" s="141" t="s">
        <v>527</v>
      </c>
      <c r="N448" s="141"/>
      <c r="O448" s="141" t="s">
        <v>527</v>
      </c>
      <c r="P448" s="146" t="s">
        <v>527</v>
      </c>
      <c r="Q448" s="217">
        <f aca="true" t="shared" si="33" ref="Q448:Q453">Q449</f>
        <v>68.9</v>
      </c>
      <c r="R448" s="217"/>
      <c r="S448" s="217"/>
    </row>
    <row r="449" spans="1:19" s="179" customFormat="1" ht="24" customHeight="1">
      <c r="A449" s="142"/>
      <c r="B449" s="143"/>
      <c r="C449" s="157"/>
      <c r="D449" s="170"/>
      <c r="E449" s="145"/>
      <c r="F449" s="145"/>
      <c r="G449" s="155"/>
      <c r="H449" s="137" t="s">
        <v>547</v>
      </c>
      <c r="I449" s="138">
        <v>661</v>
      </c>
      <c r="J449" s="139">
        <v>13</v>
      </c>
      <c r="K449" s="139">
        <v>1</v>
      </c>
      <c r="L449" s="140" t="s">
        <v>527</v>
      </c>
      <c r="M449" s="141" t="s">
        <v>527</v>
      </c>
      <c r="N449" s="141"/>
      <c r="O449" s="141" t="s">
        <v>527</v>
      </c>
      <c r="P449" s="146" t="s">
        <v>527</v>
      </c>
      <c r="Q449" s="217">
        <f t="shared" si="33"/>
        <v>68.9</v>
      </c>
      <c r="R449" s="217"/>
      <c r="S449" s="217"/>
    </row>
    <row r="450" spans="1:19" ht="36.75" customHeight="1">
      <c r="A450" s="97"/>
      <c r="B450" s="98"/>
      <c r="C450" s="103"/>
      <c r="D450" s="101"/>
      <c r="E450" s="104"/>
      <c r="F450" s="104"/>
      <c r="G450" s="89"/>
      <c r="H450" s="11" t="s">
        <v>35</v>
      </c>
      <c r="I450" s="10">
        <v>661</v>
      </c>
      <c r="J450" s="16">
        <v>13</v>
      </c>
      <c r="K450" s="16">
        <v>1</v>
      </c>
      <c r="L450" s="95" t="s">
        <v>589</v>
      </c>
      <c r="M450" s="96" t="s">
        <v>556</v>
      </c>
      <c r="N450" s="96" t="s">
        <v>576</v>
      </c>
      <c r="O450" s="96" t="s">
        <v>613</v>
      </c>
      <c r="P450" s="6"/>
      <c r="Q450" s="216">
        <f t="shared" si="33"/>
        <v>68.9</v>
      </c>
      <c r="R450" s="216"/>
      <c r="S450" s="216"/>
    </row>
    <row r="451" spans="1:19" ht="24" customHeight="1">
      <c r="A451" s="97"/>
      <c r="B451" s="98"/>
      <c r="C451" s="106"/>
      <c r="D451" s="107"/>
      <c r="E451" s="104"/>
      <c r="F451" s="104"/>
      <c r="G451" s="105"/>
      <c r="H451" s="11" t="s">
        <v>40</v>
      </c>
      <c r="I451" s="10">
        <v>661</v>
      </c>
      <c r="J451" s="16">
        <v>13</v>
      </c>
      <c r="K451" s="16">
        <v>1</v>
      </c>
      <c r="L451" s="95" t="s">
        <v>589</v>
      </c>
      <c r="M451" s="96" t="s">
        <v>38</v>
      </c>
      <c r="N451" s="96" t="s">
        <v>576</v>
      </c>
      <c r="O451" s="96" t="s">
        <v>613</v>
      </c>
      <c r="P451" s="6"/>
      <c r="Q451" s="216">
        <f t="shared" si="33"/>
        <v>68.9</v>
      </c>
      <c r="R451" s="216"/>
      <c r="S451" s="216"/>
    </row>
    <row r="452" spans="1:19" ht="24" customHeight="1">
      <c r="A452" s="97"/>
      <c r="B452" s="98"/>
      <c r="C452" s="106"/>
      <c r="D452" s="107"/>
      <c r="E452" s="104"/>
      <c r="F452" s="104"/>
      <c r="G452" s="105"/>
      <c r="H452" s="11" t="s">
        <v>39</v>
      </c>
      <c r="I452" s="10">
        <v>661</v>
      </c>
      <c r="J452" s="16">
        <v>13</v>
      </c>
      <c r="K452" s="16">
        <v>1</v>
      </c>
      <c r="L452" s="95" t="s">
        <v>589</v>
      </c>
      <c r="M452" s="96" t="s">
        <v>38</v>
      </c>
      <c r="N452" s="96" t="s">
        <v>557</v>
      </c>
      <c r="O452" s="96" t="s">
        <v>613</v>
      </c>
      <c r="P452" s="6"/>
      <c r="Q452" s="216">
        <f t="shared" si="33"/>
        <v>68.9</v>
      </c>
      <c r="R452" s="216"/>
      <c r="S452" s="216"/>
    </row>
    <row r="453" spans="1:19" ht="27" customHeight="1">
      <c r="A453" s="99"/>
      <c r="B453" s="98"/>
      <c r="C453" s="106"/>
      <c r="D453" s="107"/>
      <c r="E453" s="104"/>
      <c r="F453" s="104"/>
      <c r="G453" s="105"/>
      <c r="H453" s="11" t="s">
        <v>310</v>
      </c>
      <c r="I453" s="10">
        <v>661</v>
      </c>
      <c r="J453" s="16">
        <v>13</v>
      </c>
      <c r="K453" s="16">
        <v>1</v>
      </c>
      <c r="L453" s="95" t="s">
        <v>589</v>
      </c>
      <c r="M453" s="96" t="s">
        <v>38</v>
      </c>
      <c r="N453" s="96" t="s">
        <v>557</v>
      </c>
      <c r="O453" s="96" t="s">
        <v>309</v>
      </c>
      <c r="P453" s="6" t="s">
        <v>527</v>
      </c>
      <c r="Q453" s="216">
        <f t="shared" si="33"/>
        <v>68.9</v>
      </c>
      <c r="R453" s="216"/>
      <c r="S453" s="216"/>
    </row>
    <row r="454" spans="1:19" ht="28.5" customHeight="1">
      <c r="A454" s="99"/>
      <c r="B454" s="98"/>
      <c r="C454" s="106"/>
      <c r="D454" s="107"/>
      <c r="E454" s="104"/>
      <c r="F454" s="104"/>
      <c r="G454" s="105"/>
      <c r="H454" s="5" t="s">
        <v>607</v>
      </c>
      <c r="I454" s="8">
        <v>661</v>
      </c>
      <c r="J454" s="21">
        <v>13</v>
      </c>
      <c r="K454" s="16">
        <v>1</v>
      </c>
      <c r="L454" s="95" t="s">
        <v>589</v>
      </c>
      <c r="M454" s="96" t="s">
        <v>38</v>
      </c>
      <c r="N454" s="96" t="s">
        <v>557</v>
      </c>
      <c r="O454" s="96" t="s">
        <v>309</v>
      </c>
      <c r="P454" s="6">
        <v>730</v>
      </c>
      <c r="Q454" s="214">
        <f>96.9-28</f>
        <v>68.9</v>
      </c>
      <c r="R454" s="216"/>
      <c r="S454" s="216"/>
    </row>
    <row r="455" spans="1:19" s="179" customFormat="1" ht="30.75" customHeight="1">
      <c r="A455" s="142"/>
      <c r="B455" s="143"/>
      <c r="C455" s="157"/>
      <c r="D455" s="170"/>
      <c r="E455" s="145"/>
      <c r="F455" s="145"/>
      <c r="G455" s="155"/>
      <c r="H455" s="137" t="s">
        <v>333</v>
      </c>
      <c r="I455" s="146">
        <v>661</v>
      </c>
      <c r="J455" s="139">
        <v>14</v>
      </c>
      <c r="K455" s="139" t="s">
        <v>527</v>
      </c>
      <c r="L455" s="139" t="s">
        <v>527</v>
      </c>
      <c r="M455" s="141" t="s">
        <v>527</v>
      </c>
      <c r="N455" s="141"/>
      <c r="O455" s="141" t="s">
        <v>527</v>
      </c>
      <c r="P455" s="146" t="s">
        <v>527</v>
      </c>
      <c r="Q455" s="217">
        <f>Q456+Q464</f>
        <v>19114.8</v>
      </c>
      <c r="R455" s="217">
        <f>R456+R464</f>
        <v>17823.8</v>
      </c>
      <c r="S455" s="217">
        <f>S456+S464</f>
        <v>17916.8</v>
      </c>
    </row>
    <row r="456" spans="1:19" s="179" customFormat="1" ht="30.75" customHeight="1">
      <c r="A456" s="142"/>
      <c r="B456" s="143"/>
      <c r="C456" s="157"/>
      <c r="D456" s="170"/>
      <c r="E456" s="145"/>
      <c r="F456" s="145"/>
      <c r="G456" s="155"/>
      <c r="H456" s="137" t="s">
        <v>580</v>
      </c>
      <c r="I456" s="146">
        <v>661</v>
      </c>
      <c r="J456" s="139">
        <v>14</v>
      </c>
      <c r="K456" s="139">
        <v>1</v>
      </c>
      <c r="L456" s="139" t="s">
        <v>527</v>
      </c>
      <c r="M456" s="141" t="s">
        <v>527</v>
      </c>
      <c r="N456" s="141"/>
      <c r="O456" s="141" t="s">
        <v>527</v>
      </c>
      <c r="P456" s="146" t="s">
        <v>527</v>
      </c>
      <c r="Q456" s="217">
        <f>Q457</f>
        <v>5032.799999999999</v>
      </c>
      <c r="R456" s="217">
        <f aca="true" t="shared" si="34" ref="R456:S458">R457</f>
        <v>5252.3</v>
      </c>
      <c r="S456" s="217">
        <f t="shared" si="34"/>
        <v>5735.7</v>
      </c>
    </row>
    <row r="457" spans="1:19" ht="36.75" customHeight="1">
      <c r="A457" s="97"/>
      <c r="B457" s="98"/>
      <c r="C457" s="103"/>
      <c r="D457" s="101"/>
      <c r="E457" s="104"/>
      <c r="F457" s="104"/>
      <c r="G457" s="89"/>
      <c r="H457" s="11" t="s">
        <v>35</v>
      </c>
      <c r="I457" s="10">
        <v>661</v>
      </c>
      <c r="J457" s="16">
        <v>14</v>
      </c>
      <c r="K457" s="16">
        <v>1</v>
      </c>
      <c r="L457" s="95" t="s">
        <v>589</v>
      </c>
      <c r="M457" s="96" t="s">
        <v>556</v>
      </c>
      <c r="N457" s="96" t="s">
        <v>576</v>
      </c>
      <c r="O457" s="96" t="s">
        <v>613</v>
      </c>
      <c r="P457" s="6"/>
      <c r="Q457" s="216">
        <f>Q458</f>
        <v>5032.799999999999</v>
      </c>
      <c r="R457" s="216">
        <f t="shared" si="34"/>
        <v>5252.3</v>
      </c>
      <c r="S457" s="216">
        <f t="shared" si="34"/>
        <v>5735.7</v>
      </c>
    </row>
    <row r="458" spans="1:19" ht="36.75" customHeight="1">
      <c r="A458" s="97"/>
      <c r="B458" s="98"/>
      <c r="C458" s="106"/>
      <c r="D458" s="107"/>
      <c r="E458" s="104"/>
      <c r="F458" s="104"/>
      <c r="G458" s="89"/>
      <c r="H458" s="11" t="s">
        <v>43</v>
      </c>
      <c r="I458" s="10">
        <v>661</v>
      </c>
      <c r="J458" s="16">
        <v>14</v>
      </c>
      <c r="K458" s="16">
        <v>1</v>
      </c>
      <c r="L458" s="95" t="s">
        <v>589</v>
      </c>
      <c r="M458" s="96" t="s">
        <v>552</v>
      </c>
      <c r="N458" s="96" t="s">
        <v>576</v>
      </c>
      <c r="O458" s="96" t="s">
        <v>613</v>
      </c>
      <c r="P458" s="6"/>
      <c r="Q458" s="216">
        <f>Q459</f>
        <v>5032.799999999999</v>
      </c>
      <c r="R458" s="216">
        <f t="shared" si="34"/>
        <v>5252.3</v>
      </c>
      <c r="S458" s="216">
        <f t="shared" si="34"/>
        <v>5735.7</v>
      </c>
    </row>
    <row r="459" spans="1:19" ht="22.5" customHeight="1">
      <c r="A459" s="99"/>
      <c r="B459" s="98"/>
      <c r="C459" s="106"/>
      <c r="D459" s="107"/>
      <c r="E459" s="104"/>
      <c r="F459" s="104"/>
      <c r="G459" s="105"/>
      <c r="H459" s="11" t="s">
        <v>41</v>
      </c>
      <c r="I459" s="6">
        <v>661</v>
      </c>
      <c r="J459" s="16">
        <v>14</v>
      </c>
      <c r="K459" s="16">
        <v>1</v>
      </c>
      <c r="L459" s="16">
        <v>11</v>
      </c>
      <c r="M459" s="96" t="s">
        <v>552</v>
      </c>
      <c r="N459" s="96" t="s">
        <v>557</v>
      </c>
      <c r="O459" s="96" t="s">
        <v>613</v>
      </c>
      <c r="P459" s="6" t="s">
        <v>527</v>
      </c>
      <c r="Q459" s="216">
        <f>Q460+Q462</f>
        <v>5032.799999999999</v>
      </c>
      <c r="R459" s="216">
        <f>R460+R462</f>
        <v>5252.3</v>
      </c>
      <c r="S459" s="216">
        <f>S460+S462</f>
        <v>5735.7</v>
      </c>
    </row>
    <row r="460" spans="1:19" ht="67.5" customHeight="1">
      <c r="A460" s="99"/>
      <c r="B460" s="98"/>
      <c r="C460" s="106"/>
      <c r="D460" s="107"/>
      <c r="E460" s="104"/>
      <c r="F460" s="104"/>
      <c r="G460" s="105"/>
      <c r="H460" s="11" t="s">
        <v>53</v>
      </c>
      <c r="I460" s="6">
        <v>661</v>
      </c>
      <c r="J460" s="19">
        <v>14</v>
      </c>
      <c r="K460" s="16">
        <v>1</v>
      </c>
      <c r="L460" s="16">
        <v>11</v>
      </c>
      <c r="M460" s="96" t="s">
        <v>552</v>
      </c>
      <c r="N460" s="96" t="s">
        <v>557</v>
      </c>
      <c r="O460" s="96" t="s">
        <v>646</v>
      </c>
      <c r="P460" s="6"/>
      <c r="Q460" s="214">
        <f>Q461</f>
        <v>2865.2</v>
      </c>
      <c r="R460" s="214">
        <f>R461</f>
        <v>2747.9</v>
      </c>
      <c r="S460" s="214">
        <f>S461</f>
        <v>2974.6</v>
      </c>
    </row>
    <row r="461" spans="1:19" ht="24.75" customHeight="1">
      <c r="A461" s="99"/>
      <c r="B461" s="98"/>
      <c r="C461" s="106"/>
      <c r="D461" s="107"/>
      <c r="E461" s="104"/>
      <c r="F461" s="104"/>
      <c r="G461" s="105"/>
      <c r="H461" s="11" t="s">
        <v>718</v>
      </c>
      <c r="I461" s="6">
        <v>661</v>
      </c>
      <c r="J461" s="19">
        <v>14</v>
      </c>
      <c r="K461" s="16">
        <v>1</v>
      </c>
      <c r="L461" s="16">
        <v>11</v>
      </c>
      <c r="M461" s="96" t="s">
        <v>552</v>
      </c>
      <c r="N461" s="96" t="s">
        <v>557</v>
      </c>
      <c r="O461" s="96" t="s">
        <v>646</v>
      </c>
      <c r="P461" s="6">
        <v>510</v>
      </c>
      <c r="Q461" s="214">
        <v>2865.2</v>
      </c>
      <c r="R461" s="214">
        <v>2747.9</v>
      </c>
      <c r="S461" s="214">
        <v>2974.6</v>
      </c>
    </row>
    <row r="462" spans="1:19" ht="21" customHeight="1">
      <c r="A462" s="99"/>
      <c r="B462" s="98"/>
      <c r="C462" s="106"/>
      <c r="D462" s="107"/>
      <c r="E462" s="104"/>
      <c r="F462" s="104"/>
      <c r="G462" s="105"/>
      <c r="H462" s="11" t="s">
        <v>55</v>
      </c>
      <c r="I462" s="6">
        <v>661</v>
      </c>
      <c r="J462" s="16">
        <v>14</v>
      </c>
      <c r="K462" s="16">
        <v>1</v>
      </c>
      <c r="L462" s="16">
        <v>11</v>
      </c>
      <c r="M462" s="96" t="s">
        <v>552</v>
      </c>
      <c r="N462" s="96" t="s">
        <v>557</v>
      </c>
      <c r="O462" s="96" t="s">
        <v>85</v>
      </c>
      <c r="P462" s="6" t="s">
        <v>527</v>
      </c>
      <c r="Q462" s="216">
        <f>Q463</f>
        <v>2167.6</v>
      </c>
      <c r="R462" s="216">
        <f>R463</f>
        <v>2504.4</v>
      </c>
      <c r="S462" s="216">
        <f>S463</f>
        <v>2761.1</v>
      </c>
    </row>
    <row r="463" spans="1:19" ht="23.25" customHeight="1">
      <c r="A463" s="99"/>
      <c r="B463" s="98"/>
      <c r="C463" s="106"/>
      <c r="D463" s="107"/>
      <c r="E463" s="104"/>
      <c r="F463" s="104"/>
      <c r="G463" s="105"/>
      <c r="H463" s="11" t="s">
        <v>718</v>
      </c>
      <c r="I463" s="6">
        <v>661</v>
      </c>
      <c r="J463" s="19">
        <v>14</v>
      </c>
      <c r="K463" s="16">
        <v>1</v>
      </c>
      <c r="L463" s="16">
        <v>11</v>
      </c>
      <c r="M463" s="96" t="s">
        <v>552</v>
      </c>
      <c r="N463" s="96" t="s">
        <v>557</v>
      </c>
      <c r="O463" s="96" t="s">
        <v>85</v>
      </c>
      <c r="P463" s="6">
        <v>510</v>
      </c>
      <c r="Q463" s="216">
        <v>2167.6</v>
      </c>
      <c r="R463" s="216">
        <v>2504.4</v>
      </c>
      <c r="S463" s="216">
        <v>2761.1</v>
      </c>
    </row>
    <row r="464" spans="1:19" s="179" customFormat="1" ht="22.5" customHeight="1">
      <c r="A464" s="142"/>
      <c r="B464" s="143"/>
      <c r="C464" s="157"/>
      <c r="D464" s="170"/>
      <c r="E464" s="145"/>
      <c r="F464" s="145"/>
      <c r="G464" s="155"/>
      <c r="H464" s="137" t="s">
        <v>638</v>
      </c>
      <c r="I464" s="146">
        <v>661</v>
      </c>
      <c r="J464" s="139">
        <v>14</v>
      </c>
      <c r="K464" s="139">
        <v>2</v>
      </c>
      <c r="L464" s="139" t="s">
        <v>527</v>
      </c>
      <c r="M464" s="141" t="s">
        <v>527</v>
      </c>
      <c r="N464" s="141"/>
      <c r="O464" s="141" t="s">
        <v>527</v>
      </c>
      <c r="P464" s="146" t="s">
        <v>527</v>
      </c>
      <c r="Q464" s="217">
        <f>Q465</f>
        <v>14082</v>
      </c>
      <c r="R464" s="217">
        <f aca="true" t="shared" si="35" ref="R464:S467">R465</f>
        <v>12571.5</v>
      </c>
      <c r="S464" s="217">
        <f t="shared" si="35"/>
        <v>12181.1</v>
      </c>
    </row>
    <row r="465" spans="1:19" ht="36.75" customHeight="1">
      <c r="A465" s="97"/>
      <c r="B465" s="98"/>
      <c r="C465" s="103"/>
      <c r="D465" s="101"/>
      <c r="E465" s="104"/>
      <c r="F465" s="104"/>
      <c r="G465" s="89"/>
      <c r="H465" s="11" t="s">
        <v>35</v>
      </c>
      <c r="I465" s="10">
        <v>661</v>
      </c>
      <c r="J465" s="16">
        <v>14</v>
      </c>
      <c r="K465" s="16">
        <v>2</v>
      </c>
      <c r="L465" s="95" t="s">
        <v>589</v>
      </c>
      <c r="M465" s="96" t="s">
        <v>556</v>
      </c>
      <c r="N465" s="96" t="s">
        <v>576</v>
      </c>
      <c r="O465" s="96" t="s">
        <v>613</v>
      </c>
      <c r="P465" s="6"/>
      <c r="Q465" s="216">
        <f>Q466</f>
        <v>14082</v>
      </c>
      <c r="R465" s="216">
        <f t="shared" si="35"/>
        <v>12571.5</v>
      </c>
      <c r="S465" s="216">
        <f t="shared" si="35"/>
        <v>12181.1</v>
      </c>
    </row>
    <row r="466" spans="1:19" ht="36.75" customHeight="1">
      <c r="A466" s="97"/>
      <c r="B466" s="98"/>
      <c r="C466" s="106"/>
      <c r="D466" s="107"/>
      <c r="E466" s="104"/>
      <c r="F466" s="104"/>
      <c r="G466" s="89"/>
      <c r="H466" s="11" t="s">
        <v>43</v>
      </c>
      <c r="I466" s="10">
        <v>661</v>
      </c>
      <c r="J466" s="16">
        <v>14</v>
      </c>
      <c r="K466" s="16">
        <v>2</v>
      </c>
      <c r="L466" s="95" t="s">
        <v>589</v>
      </c>
      <c r="M466" s="96" t="s">
        <v>552</v>
      </c>
      <c r="N466" s="96" t="s">
        <v>576</v>
      </c>
      <c r="O466" s="96" t="s">
        <v>613</v>
      </c>
      <c r="P466" s="6"/>
      <c r="Q466" s="216">
        <f>Q467</f>
        <v>14082</v>
      </c>
      <c r="R466" s="216">
        <f t="shared" si="35"/>
        <v>12571.5</v>
      </c>
      <c r="S466" s="216">
        <f t="shared" si="35"/>
        <v>12181.1</v>
      </c>
    </row>
    <row r="467" spans="1:19" ht="18.75" customHeight="1">
      <c r="A467" s="97"/>
      <c r="B467" s="98"/>
      <c r="C467" s="106"/>
      <c r="D467" s="107"/>
      <c r="E467" s="104"/>
      <c r="F467" s="104"/>
      <c r="G467" s="105"/>
      <c r="H467" s="11" t="s">
        <v>44</v>
      </c>
      <c r="I467" s="6">
        <v>661</v>
      </c>
      <c r="J467" s="16">
        <v>14</v>
      </c>
      <c r="K467" s="16">
        <v>2</v>
      </c>
      <c r="L467" s="16">
        <v>11</v>
      </c>
      <c r="M467" s="96" t="s">
        <v>552</v>
      </c>
      <c r="N467" s="96" t="s">
        <v>585</v>
      </c>
      <c r="O467" s="96" t="s">
        <v>613</v>
      </c>
      <c r="P467" s="6"/>
      <c r="Q467" s="216">
        <f>Q468+Q470</f>
        <v>14082</v>
      </c>
      <c r="R467" s="216">
        <f t="shared" si="35"/>
        <v>12571.5</v>
      </c>
      <c r="S467" s="216">
        <f t="shared" si="35"/>
        <v>12181.1</v>
      </c>
    </row>
    <row r="468" spans="1:19" ht="23.25" customHeight="1">
      <c r="A468" s="99"/>
      <c r="B468" s="98"/>
      <c r="C468" s="106"/>
      <c r="D468" s="107"/>
      <c r="E468" s="104"/>
      <c r="F468" s="104"/>
      <c r="G468" s="105"/>
      <c r="H468" s="11" t="s">
        <v>42</v>
      </c>
      <c r="I468" s="6">
        <v>661</v>
      </c>
      <c r="J468" s="16">
        <v>14</v>
      </c>
      <c r="K468" s="16">
        <v>2</v>
      </c>
      <c r="L468" s="16">
        <v>11</v>
      </c>
      <c r="M468" s="96" t="s">
        <v>552</v>
      </c>
      <c r="N468" s="96" t="s">
        <v>585</v>
      </c>
      <c r="O468" s="96" t="s">
        <v>86</v>
      </c>
      <c r="P468" s="6" t="s">
        <v>527</v>
      </c>
      <c r="Q468" s="216">
        <f>Q469</f>
        <v>10961.9</v>
      </c>
      <c r="R468" s="216">
        <f>R469</f>
        <v>12571.5</v>
      </c>
      <c r="S468" s="216">
        <f>S469</f>
        <v>12181.1</v>
      </c>
    </row>
    <row r="469" spans="1:19" ht="20.25" customHeight="1">
      <c r="A469" s="99"/>
      <c r="B469" s="98"/>
      <c r="C469" s="106"/>
      <c r="D469" s="107"/>
      <c r="E469" s="104"/>
      <c r="F469" s="104"/>
      <c r="G469" s="105"/>
      <c r="H469" s="11" t="s">
        <v>718</v>
      </c>
      <c r="I469" s="6">
        <v>661</v>
      </c>
      <c r="J469" s="19">
        <v>14</v>
      </c>
      <c r="K469" s="16">
        <v>2</v>
      </c>
      <c r="L469" s="16">
        <v>11</v>
      </c>
      <c r="M469" s="96" t="s">
        <v>552</v>
      </c>
      <c r="N469" s="96" t="s">
        <v>585</v>
      </c>
      <c r="O469" s="96" t="s">
        <v>86</v>
      </c>
      <c r="P469" s="6">
        <v>510</v>
      </c>
      <c r="Q469" s="216">
        <f>7064+971.5+200+2600+52.4+74</f>
        <v>10961.9</v>
      </c>
      <c r="R469" s="216">
        <v>12571.5</v>
      </c>
      <c r="S469" s="216">
        <v>12181.1</v>
      </c>
    </row>
    <row r="470" spans="1:19" ht="32.25" customHeight="1">
      <c r="A470" s="99"/>
      <c r="B470" s="98"/>
      <c r="C470" s="106"/>
      <c r="D470" s="107"/>
      <c r="E470" s="104"/>
      <c r="F470" s="104"/>
      <c r="G470" s="105"/>
      <c r="H470" s="11" t="s">
        <v>61</v>
      </c>
      <c r="I470" s="10">
        <v>661</v>
      </c>
      <c r="J470" s="7">
        <v>14</v>
      </c>
      <c r="K470" s="16">
        <v>2</v>
      </c>
      <c r="L470" s="16">
        <v>11</v>
      </c>
      <c r="M470" s="96" t="s">
        <v>552</v>
      </c>
      <c r="N470" s="96" t="s">
        <v>585</v>
      </c>
      <c r="O470" s="96" t="s">
        <v>60</v>
      </c>
      <c r="P470" s="6"/>
      <c r="Q470" s="216">
        <f>Q471</f>
        <v>3120.1</v>
      </c>
      <c r="R470" s="216"/>
      <c r="S470" s="216"/>
    </row>
    <row r="471" spans="1:19" ht="20.25" customHeight="1">
      <c r="A471" s="99"/>
      <c r="B471" s="98"/>
      <c r="C471" s="106"/>
      <c r="D471" s="107"/>
      <c r="E471" s="104"/>
      <c r="F471" s="104"/>
      <c r="G471" s="105"/>
      <c r="H471" s="11" t="s">
        <v>718</v>
      </c>
      <c r="I471" s="10">
        <v>661</v>
      </c>
      <c r="J471" s="7">
        <v>14</v>
      </c>
      <c r="K471" s="16">
        <v>2</v>
      </c>
      <c r="L471" s="16">
        <v>11</v>
      </c>
      <c r="M471" s="96" t="s">
        <v>552</v>
      </c>
      <c r="N471" s="96" t="s">
        <v>585</v>
      </c>
      <c r="O471" s="96" t="s">
        <v>60</v>
      </c>
      <c r="P471" s="6">
        <v>510</v>
      </c>
      <c r="Q471" s="216">
        <f>2862.2+257.9</f>
        <v>3120.1</v>
      </c>
      <c r="R471" s="216"/>
      <c r="S471" s="216"/>
    </row>
    <row r="472" spans="1:19" s="319" customFormat="1" ht="28.5" customHeight="1">
      <c r="A472" s="158"/>
      <c r="B472" s="159"/>
      <c r="C472" s="160"/>
      <c r="D472" s="168"/>
      <c r="E472" s="169"/>
      <c r="F472" s="169"/>
      <c r="G472" s="163">
        <v>521</v>
      </c>
      <c r="H472" s="33" t="s">
        <v>368</v>
      </c>
      <c r="I472" s="14">
        <v>663</v>
      </c>
      <c r="J472" s="15" t="s">
        <v>527</v>
      </c>
      <c r="K472" s="15" t="s">
        <v>527</v>
      </c>
      <c r="L472" s="133" t="s">
        <v>527</v>
      </c>
      <c r="M472" s="134" t="s">
        <v>527</v>
      </c>
      <c r="N472" s="134"/>
      <c r="O472" s="134" t="s">
        <v>527</v>
      </c>
      <c r="P472" s="171"/>
      <c r="Q472" s="220">
        <f>Q473+Q651</f>
        <v>278673.49999999994</v>
      </c>
      <c r="R472" s="220" t="e">
        <f>R473+R651</f>
        <v>#REF!</v>
      </c>
      <c r="S472" s="220" t="e">
        <f>S473+S651</f>
        <v>#REF!</v>
      </c>
    </row>
    <row r="473" spans="1:19" s="179" customFormat="1" ht="18" customHeight="1">
      <c r="A473" s="142"/>
      <c r="B473" s="143"/>
      <c r="C473" s="142"/>
      <c r="D473" s="385">
        <v>5550000</v>
      </c>
      <c r="E473" s="386"/>
      <c r="F473" s="386"/>
      <c r="G473" s="136">
        <v>314</v>
      </c>
      <c r="H473" s="137" t="s">
        <v>538</v>
      </c>
      <c r="I473" s="138">
        <v>663</v>
      </c>
      <c r="J473" s="139">
        <v>7</v>
      </c>
      <c r="K473" s="139" t="s">
        <v>614</v>
      </c>
      <c r="L473" s="140" t="s">
        <v>527</v>
      </c>
      <c r="M473" s="141" t="s">
        <v>527</v>
      </c>
      <c r="N473" s="141"/>
      <c r="O473" s="141" t="s">
        <v>527</v>
      </c>
      <c r="P473" s="138"/>
      <c r="Q473" s="213">
        <f>Q474+Q501+Q559+Q574</f>
        <v>275968.49999999994</v>
      </c>
      <c r="R473" s="213" t="e">
        <f>R474+R501+R559+R574</f>
        <v>#REF!</v>
      </c>
      <c r="S473" s="213" t="e">
        <f>S474+S501+S559+S574</f>
        <v>#REF!</v>
      </c>
    </row>
    <row r="474" spans="1:19" s="179" customFormat="1" ht="18.75" customHeight="1">
      <c r="A474" s="142"/>
      <c r="B474" s="143"/>
      <c r="C474" s="153"/>
      <c r="D474" s="150"/>
      <c r="E474" s="384">
        <v>5551700</v>
      </c>
      <c r="F474" s="384"/>
      <c r="G474" s="136">
        <v>314</v>
      </c>
      <c r="H474" s="137" t="s">
        <v>369</v>
      </c>
      <c r="I474" s="138">
        <v>663</v>
      </c>
      <c r="J474" s="139">
        <v>7</v>
      </c>
      <c r="K474" s="139">
        <v>1</v>
      </c>
      <c r="L474" s="140" t="s">
        <v>527</v>
      </c>
      <c r="M474" s="141" t="s">
        <v>527</v>
      </c>
      <c r="N474" s="141"/>
      <c r="O474" s="141" t="s">
        <v>527</v>
      </c>
      <c r="P474" s="138"/>
      <c r="Q474" s="213">
        <f>Q475+Q486+Q496</f>
        <v>74088.7</v>
      </c>
      <c r="R474" s="213">
        <f>R475+R486+R496</f>
        <v>78520.2</v>
      </c>
      <c r="S474" s="213">
        <f>S475+S486+S496</f>
        <v>81322.4</v>
      </c>
    </row>
    <row r="475" spans="1:19" ht="41.25" customHeight="1">
      <c r="A475" s="99"/>
      <c r="B475" s="98"/>
      <c r="C475" s="103"/>
      <c r="D475" s="101"/>
      <c r="E475" s="104"/>
      <c r="F475" s="104"/>
      <c r="G475" s="89"/>
      <c r="H475" s="253" t="s">
        <v>264</v>
      </c>
      <c r="I475" s="10">
        <v>663</v>
      </c>
      <c r="J475" s="16">
        <v>7</v>
      </c>
      <c r="K475" s="16">
        <v>1</v>
      </c>
      <c r="L475" s="95" t="s">
        <v>588</v>
      </c>
      <c r="M475" s="96" t="s">
        <v>556</v>
      </c>
      <c r="N475" s="96" t="s">
        <v>576</v>
      </c>
      <c r="O475" s="96" t="s">
        <v>613</v>
      </c>
      <c r="P475" s="10"/>
      <c r="Q475" s="214">
        <f>Q476+Q483</f>
        <v>74088.7</v>
      </c>
      <c r="R475" s="214"/>
      <c r="S475" s="214"/>
    </row>
    <row r="476" spans="1:19" ht="27" customHeight="1">
      <c r="A476" s="99"/>
      <c r="B476" s="98"/>
      <c r="C476" s="103"/>
      <c r="D476" s="101"/>
      <c r="E476" s="104"/>
      <c r="F476" s="104"/>
      <c r="G476" s="89"/>
      <c r="H476" s="254" t="s">
        <v>649</v>
      </c>
      <c r="I476" s="10">
        <v>663</v>
      </c>
      <c r="J476" s="16">
        <v>7</v>
      </c>
      <c r="K476" s="16">
        <v>1</v>
      </c>
      <c r="L476" s="95" t="s">
        <v>588</v>
      </c>
      <c r="M476" s="96" t="s">
        <v>556</v>
      </c>
      <c r="N476" s="96" t="s">
        <v>557</v>
      </c>
      <c r="O476" s="96" t="s">
        <v>613</v>
      </c>
      <c r="P476" s="10"/>
      <c r="Q476" s="214">
        <f>Q477+Q481+Q479</f>
        <v>73926.2</v>
      </c>
      <c r="R476" s="214"/>
      <c r="S476" s="214"/>
    </row>
    <row r="477" spans="1:19" ht="24.75" customHeight="1">
      <c r="A477" s="99"/>
      <c r="B477" s="98"/>
      <c r="C477" s="103"/>
      <c r="D477" s="101"/>
      <c r="E477" s="104"/>
      <c r="F477" s="104"/>
      <c r="G477" s="89"/>
      <c r="H477" s="3" t="s">
        <v>324</v>
      </c>
      <c r="I477" s="10">
        <v>663</v>
      </c>
      <c r="J477" s="16">
        <v>7</v>
      </c>
      <c r="K477" s="16">
        <v>1</v>
      </c>
      <c r="L477" s="95" t="s">
        <v>588</v>
      </c>
      <c r="M477" s="96" t="s">
        <v>556</v>
      </c>
      <c r="N477" s="96" t="s">
        <v>557</v>
      </c>
      <c r="O477" s="96" t="s">
        <v>314</v>
      </c>
      <c r="P477" s="10"/>
      <c r="Q477" s="214">
        <f>Q478</f>
        <v>13505.800000000001</v>
      </c>
      <c r="R477" s="214"/>
      <c r="S477" s="214"/>
    </row>
    <row r="478" spans="1:19" ht="25.5" customHeight="1">
      <c r="A478" s="99"/>
      <c r="B478" s="98"/>
      <c r="C478" s="103"/>
      <c r="D478" s="101"/>
      <c r="E478" s="104"/>
      <c r="F478" s="104"/>
      <c r="G478" s="89"/>
      <c r="H478" s="3" t="s">
        <v>714</v>
      </c>
      <c r="I478" s="10">
        <v>663</v>
      </c>
      <c r="J478" s="16">
        <v>7</v>
      </c>
      <c r="K478" s="16">
        <v>1</v>
      </c>
      <c r="L478" s="95" t="s">
        <v>588</v>
      </c>
      <c r="M478" s="96" t="s">
        <v>556</v>
      </c>
      <c r="N478" s="96" t="s">
        <v>557</v>
      </c>
      <c r="O478" s="96" t="s">
        <v>314</v>
      </c>
      <c r="P478" s="10">
        <v>610</v>
      </c>
      <c r="Q478" s="214">
        <f>13014.2-46-52.7+384.6-49.3+184.1+29.9+40.9+0.1</f>
        <v>13505.800000000001</v>
      </c>
      <c r="R478" s="214"/>
      <c r="S478" s="214"/>
    </row>
    <row r="479" spans="1:19" ht="36.75" customHeight="1">
      <c r="A479" s="99"/>
      <c r="B479" s="98"/>
      <c r="C479" s="103"/>
      <c r="D479" s="101"/>
      <c r="E479" s="104"/>
      <c r="F479" s="104"/>
      <c r="G479" s="89"/>
      <c r="H479" s="306" t="s">
        <v>61</v>
      </c>
      <c r="I479" s="10">
        <v>663</v>
      </c>
      <c r="J479" s="16">
        <v>7</v>
      </c>
      <c r="K479" s="16">
        <v>1</v>
      </c>
      <c r="L479" s="95" t="s">
        <v>588</v>
      </c>
      <c r="M479" s="96" t="s">
        <v>556</v>
      </c>
      <c r="N479" s="96" t="s">
        <v>557</v>
      </c>
      <c r="O479" s="96" t="s">
        <v>60</v>
      </c>
      <c r="P479" s="10"/>
      <c r="Q479" s="214">
        <f>Q480</f>
        <v>4478</v>
      </c>
      <c r="R479" s="214"/>
      <c r="S479" s="214"/>
    </row>
    <row r="480" spans="1:19" ht="25.5" customHeight="1">
      <c r="A480" s="99"/>
      <c r="B480" s="98"/>
      <c r="C480" s="103"/>
      <c r="D480" s="101"/>
      <c r="E480" s="104"/>
      <c r="F480" s="104"/>
      <c r="G480" s="89"/>
      <c r="H480" s="3" t="s">
        <v>714</v>
      </c>
      <c r="I480" s="10">
        <v>663</v>
      </c>
      <c r="J480" s="16">
        <v>7</v>
      </c>
      <c r="K480" s="16">
        <v>1</v>
      </c>
      <c r="L480" s="95" t="s">
        <v>588</v>
      </c>
      <c r="M480" s="96" t="s">
        <v>556</v>
      </c>
      <c r="N480" s="96" t="s">
        <v>557</v>
      </c>
      <c r="O480" s="96" t="s">
        <v>60</v>
      </c>
      <c r="P480" s="10">
        <v>610</v>
      </c>
      <c r="Q480" s="214">
        <f>3304+1173.9+0.1</f>
        <v>4478</v>
      </c>
      <c r="R480" s="214"/>
      <c r="S480" s="214"/>
    </row>
    <row r="481" spans="1:19" ht="39" customHeight="1">
      <c r="A481" s="99"/>
      <c r="B481" s="98"/>
      <c r="C481" s="103"/>
      <c r="D481" s="101"/>
      <c r="E481" s="104"/>
      <c r="F481" s="104"/>
      <c r="G481" s="89"/>
      <c r="H481" s="255" t="s">
        <v>326</v>
      </c>
      <c r="I481" s="10">
        <v>663</v>
      </c>
      <c r="J481" s="16">
        <v>7</v>
      </c>
      <c r="K481" s="16">
        <v>1</v>
      </c>
      <c r="L481" s="95" t="s">
        <v>588</v>
      </c>
      <c r="M481" s="96" t="s">
        <v>556</v>
      </c>
      <c r="N481" s="96" t="s">
        <v>557</v>
      </c>
      <c r="O481" s="96" t="s">
        <v>325</v>
      </c>
      <c r="P481" s="10"/>
      <c r="Q481" s="214">
        <f>Q482</f>
        <v>55942.4</v>
      </c>
      <c r="R481" s="214"/>
      <c r="S481" s="214"/>
    </row>
    <row r="482" spans="1:19" ht="23.25" customHeight="1">
      <c r="A482" s="99"/>
      <c r="B482" s="98"/>
      <c r="C482" s="103"/>
      <c r="D482" s="101"/>
      <c r="E482" s="104"/>
      <c r="F482" s="104"/>
      <c r="G482" s="89"/>
      <c r="H482" s="255" t="s">
        <v>714</v>
      </c>
      <c r="I482" s="10">
        <v>663</v>
      </c>
      <c r="J482" s="16">
        <v>7</v>
      </c>
      <c r="K482" s="16">
        <v>1</v>
      </c>
      <c r="L482" s="95" t="s">
        <v>588</v>
      </c>
      <c r="M482" s="96" t="s">
        <v>556</v>
      </c>
      <c r="N482" s="96" t="s">
        <v>557</v>
      </c>
      <c r="O482" s="96" t="s">
        <v>325</v>
      </c>
      <c r="P482" s="10">
        <v>610</v>
      </c>
      <c r="Q482" s="214">
        <f>57402.5-995.1-465</f>
        <v>55942.4</v>
      </c>
      <c r="R482" s="214"/>
      <c r="S482" s="214"/>
    </row>
    <row r="483" spans="1:19" ht="23.25" customHeight="1">
      <c r="A483" s="99"/>
      <c r="B483" s="98"/>
      <c r="C483" s="103"/>
      <c r="D483" s="101"/>
      <c r="E483" s="104"/>
      <c r="F483" s="104"/>
      <c r="G483" s="89"/>
      <c r="H483" s="3" t="s">
        <v>785</v>
      </c>
      <c r="I483" s="10">
        <v>663</v>
      </c>
      <c r="J483" s="16">
        <v>7</v>
      </c>
      <c r="K483" s="16">
        <v>1</v>
      </c>
      <c r="L483" s="95" t="s">
        <v>588</v>
      </c>
      <c r="M483" s="96" t="s">
        <v>556</v>
      </c>
      <c r="N483" s="96" t="s">
        <v>559</v>
      </c>
      <c r="O483" s="96" t="s">
        <v>613</v>
      </c>
      <c r="P483" s="10"/>
      <c r="Q483" s="214">
        <f>Q484</f>
        <v>162.5</v>
      </c>
      <c r="R483" s="214"/>
      <c r="S483" s="214"/>
    </row>
    <row r="484" spans="1:19" ht="30.75" customHeight="1">
      <c r="A484" s="99"/>
      <c r="B484" s="98"/>
      <c r="C484" s="103"/>
      <c r="D484" s="101"/>
      <c r="E484" s="104"/>
      <c r="F484" s="104"/>
      <c r="G484" s="89"/>
      <c r="H484" s="3" t="s">
        <v>324</v>
      </c>
      <c r="I484" s="10">
        <v>663</v>
      </c>
      <c r="J484" s="16">
        <v>7</v>
      </c>
      <c r="K484" s="16">
        <v>1</v>
      </c>
      <c r="L484" s="95" t="s">
        <v>588</v>
      </c>
      <c r="M484" s="96" t="s">
        <v>556</v>
      </c>
      <c r="N484" s="96" t="s">
        <v>559</v>
      </c>
      <c r="O484" s="96" t="s">
        <v>314</v>
      </c>
      <c r="P484" s="10"/>
      <c r="Q484" s="214">
        <f>Q485</f>
        <v>162.5</v>
      </c>
      <c r="R484" s="214"/>
      <c r="S484" s="214"/>
    </row>
    <row r="485" spans="1:19" ht="27.75" customHeight="1">
      <c r="A485" s="99"/>
      <c r="B485" s="98"/>
      <c r="C485" s="103"/>
      <c r="D485" s="101"/>
      <c r="E485" s="104"/>
      <c r="F485" s="104"/>
      <c r="G485" s="89"/>
      <c r="H485" s="3" t="s">
        <v>714</v>
      </c>
      <c r="I485" s="10">
        <v>663</v>
      </c>
      <c r="J485" s="16">
        <v>7</v>
      </c>
      <c r="K485" s="16">
        <v>1</v>
      </c>
      <c r="L485" s="95" t="s">
        <v>588</v>
      </c>
      <c r="M485" s="96" t="s">
        <v>556</v>
      </c>
      <c r="N485" s="96" t="s">
        <v>559</v>
      </c>
      <c r="O485" s="96" t="s">
        <v>314</v>
      </c>
      <c r="P485" s="10">
        <v>610</v>
      </c>
      <c r="Q485" s="214">
        <f>355+100-372.5+80</f>
        <v>162.5</v>
      </c>
      <c r="R485" s="214"/>
      <c r="S485" s="214"/>
    </row>
    <row r="486" spans="1:19" ht="33" customHeight="1" hidden="1">
      <c r="A486" s="99"/>
      <c r="B486" s="98"/>
      <c r="C486" s="103"/>
      <c r="D486" s="101"/>
      <c r="E486" s="104"/>
      <c r="F486" s="104"/>
      <c r="G486" s="89"/>
      <c r="H486" s="5" t="s">
        <v>680</v>
      </c>
      <c r="I486" s="10">
        <v>663</v>
      </c>
      <c r="J486" s="16">
        <v>7</v>
      </c>
      <c r="K486" s="16">
        <v>1</v>
      </c>
      <c r="L486" s="95" t="s">
        <v>681</v>
      </c>
      <c r="M486" s="96" t="s">
        <v>556</v>
      </c>
      <c r="N486" s="96" t="s">
        <v>576</v>
      </c>
      <c r="O486" s="96" t="s">
        <v>613</v>
      </c>
      <c r="P486" s="10"/>
      <c r="Q486" s="214">
        <f>Q487+Q490+Q493</f>
        <v>0</v>
      </c>
      <c r="R486" s="214">
        <f>R487+R490+R493</f>
        <v>149</v>
      </c>
      <c r="S486" s="214">
        <f>S487+S490+S493</f>
        <v>149</v>
      </c>
    </row>
    <row r="487" spans="1:19" ht="33" customHeight="1" hidden="1">
      <c r="A487" s="99"/>
      <c r="B487" s="98"/>
      <c r="C487" s="103"/>
      <c r="D487" s="101"/>
      <c r="E487" s="104"/>
      <c r="F487" s="104"/>
      <c r="G487" s="89"/>
      <c r="H487" s="5" t="s">
        <v>317</v>
      </c>
      <c r="I487" s="10">
        <v>663</v>
      </c>
      <c r="J487" s="16">
        <v>7</v>
      </c>
      <c r="K487" s="16">
        <v>1</v>
      </c>
      <c r="L487" s="95" t="s">
        <v>681</v>
      </c>
      <c r="M487" s="96" t="s">
        <v>556</v>
      </c>
      <c r="N487" s="96" t="s">
        <v>585</v>
      </c>
      <c r="O487" s="96" t="s">
        <v>613</v>
      </c>
      <c r="P487" s="10"/>
      <c r="Q487" s="214">
        <f aca="true" t="shared" si="36" ref="Q487:S488">Q488</f>
        <v>0</v>
      </c>
      <c r="R487" s="214">
        <f t="shared" si="36"/>
        <v>131</v>
      </c>
      <c r="S487" s="214">
        <f t="shared" si="36"/>
        <v>131</v>
      </c>
    </row>
    <row r="488" spans="1:19" ht="24" customHeight="1" hidden="1">
      <c r="A488" s="99"/>
      <c r="B488" s="98"/>
      <c r="C488" s="103"/>
      <c r="D488" s="101"/>
      <c r="E488" s="104"/>
      <c r="F488" s="104"/>
      <c r="G488" s="89"/>
      <c r="H488" s="5" t="s">
        <v>324</v>
      </c>
      <c r="I488" s="10">
        <v>663</v>
      </c>
      <c r="J488" s="16">
        <v>7</v>
      </c>
      <c r="K488" s="16">
        <v>1</v>
      </c>
      <c r="L488" s="95" t="s">
        <v>681</v>
      </c>
      <c r="M488" s="96" t="s">
        <v>556</v>
      </c>
      <c r="N488" s="96" t="s">
        <v>585</v>
      </c>
      <c r="O488" s="96" t="s">
        <v>314</v>
      </c>
      <c r="P488" s="10"/>
      <c r="Q488" s="214">
        <f t="shared" si="36"/>
        <v>0</v>
      </c>
      <c r="R488" s="214">
        <f t="shared" si="36"/>
        <v>131</v>
      </c>
      <c r="S488" s="214">
        <f t="shared" si="36"/>
        <v>131</v>
      </c>
    </row>
    <row r="489" spans="1:19" ht="24" customHeight="1" hidden="1">
      <c r="A489" s="99"/>
      <c r="B489" s="98"/>
      <c r="C489" s="103"/>
      <c r="D489" s="101"/>
      <c r="E489" s="104"/>
      <c r="F489" s="104"/>
      <c r="G489" s="89"/>
      <c r="H489" s="5" t="s">
        <v>714</v>
      </c>
      <c r="I489" s="10">
        <v>663</v>
      </c>
      <c r="J489" s="16">
        <v>7</v>
      </c>
      <c r="K489" s="16">
        <v>1</v>
      </c>
      <c r="L489" s="95" t="s">
        <v>681</v>
      </c>
      <c r="M489" s="96" t="s">
        <v>556</v>
      </c>
      <c r="N489" s="96" t="s">
        <v>585</v>
      </c>
      <c r="O489" s="96" t="s">
        <v>314</v>
      </c>
      <c r="P489" s="10">
        <v>610</v>
      </c>
      <c r="Q489" s="214">
        <f>131-131</f>
        <v>0</v>
      </c>
      <c r="R489" s="214">
        <v>131</v>
      </c>
      <c r="S489" s="214">
        <v>131</v>
      </c>
    </row>
    <row r="490" spans="1:19" ht="26.25" customHeight="1" hidden="1">
      <c r="A490" s="99"/>
      <c r="B490" s="98"/>
      <c r="C490" s="103"/>
      <c r="D490" s="101"/>
      <c r="E490" s="104"/>
      <c r="F490" s="104"/>
      <c r="G490" s="89"/>
      <c r="H490" s="200" t="s">
        <v>313</v>
      </c>
      <c r="I490" s="10">
        <v>663</v>
      </c>
      <c r="J490" s="16">
        <v>7</v>
      </c>
      <c r="K490" s="16">
        <v>1</v>
      </c>
      <c r="L490" s="95" t="s">
        <v>681</v>
      </c>
      <c r="M490" s="96" t="s">
        <v>556</v>
      </c>
      <c r="N490" s="96" t="s">
        <v>586</v>
      </c>
      <c r="O490" s="96" t="s">
        <v>613</v>
      </c>
      <c r="P490" s="10"/>
      <c r="Q490" s="214">
        <f aca="true" t="shared" si="37" ref="Q490:S491">Q491</f>
        <v>0</v>
      </c>
      <c r="R490" s="214">
        <f t="shared" si="37"/>
        <v>9</v>
      </c>
      <c r="S490" s="214">
        <f t="shared" si="37"/>
        <v>9</v>
      </c>
    </row>
    <row r="491" spans="1:19" ht="22.5" customHeight="1" hidden="1">
      <c r="A491" s="99"/>
      <c r="B491" s="98"/>
      <c r="C491" s="103"/>
      <c r="D491" s="101"/>
      <c r="E491" s="104"/>
      <c r="F491" s="104"/>
      <c r="G491" s="89"/>
      <c r="H491" s="18" t="s">
        <v>315</v>
      </c>
      <c r="I491" s="10">
        <v>663</v>
      </c>
      <c r="J491" s="16">
        <v>7</v>
      </c>
      <c r="K491" s="16">
        <v>1</v>
      </c>
      <c r="L491" s="95" t="s">
        <v>681</v>
      </c>
      <c r="M491" s="96" t="s">
        <v>556</v>
      </c>
      <c r="N491" s="96" t="s">
        <v>586</v>
      </c>
      <c r="O491" s="96" t="s">
        <v>314</v>
      </c>
      <c r="P491" s="10"/>
      <c r="Q491" s="214">
        <f t="shared" si="37"/>
        <v>0</v>
      </c>
      <c r="R491" s="214">
        <f t="shared" si="37"/>
        <v>9</v>
      </c>
      <c r="S491" s="214">
        <f t="shared" si="37"/>
        <v>9</v>
      </c>
    </row>
    <row r="492" spans="1:19" ht="22.5" customHeight="1" hidden="1">
      <c r="A492" s="99"/>
      <c r="B492" s="98"/>
      <c r="C492" s="103"/>
      <c r="D492" s="101"/>
      <c r="E492" s="104"/>
      <c r="F492" s="104"/>
      <c r="G492" s="89"/>
      <c r="H492" s="18" t="s">
        <v>714</v>
      </c>
      <c r="I492" s="10">
        <v>663</v>
      </c>
      <c r="J492" s="16">
        <v>7</v>
      </c>
      <c r="K492" s="16">
        <v>1</v>
      </c>
      <c r="L492" s="95" t="s">
        <v>681</v>
      </c>
      <c r="M492" s="96" t="s">
        <v>556</v>
      </c>
      <c r="N492" s="96" t="s">
        <v>586</v>
      </c>
      <c r="O492" s="96" t="s">
        <v>314</v>
      </c>
      <c r="P492" s="10">
        <v>610</v>
      </c>
      <c r="Q492" s="214">
        <f>9-5-4</f>
        <v>0</v>
      </c>
      <c r="R492" s="214">
        <v>9</v>
      </c>
      <c r="S492" s="214">
        <v>9</v>
      </c>
    </row>
    <row r="493" spans="1:19" ht="44.25" customHeight="1" hidden="1">
      <c r="A493" s="99"/>
      <c r="B493" s="98"/>
      <c r="C493" s="103"/>
      <c r="D493" s="101"/>
      <c r="E493" s="104"/>
      <c r="F493" s="104"/>
      <c r="G493" s="89"/>
      <c r="H493" s="18" t="s">
        <v>679</v>
      </c>
      <c r="I493" s="10">
        <v>663</v>
      </c>
      <c r="J493" s="16">
        <v>7</v>
      </c>
      <c r="K493" s="16">
        <v>1</v>
      </c>
      <c r="L493" s="95" t="s">
        <v>681</v>
      </c>
      <c r="M493" s="96" t="s">
        <v>556</v>
      </c>
      <c r="N493" s="96" t="s">
        <v>581</v>
      </c>
      <c r="O493" s="96" t="s">
        <v>613</v>
      </c>
      <c r="P493" s="10"/>
      <c r="Q493" s="214">
        <f aca="true" t="shared" si="38" ref="Q493:S494">Q494</f>
        <v>0</v>
      </c>
      <c r="R493" s="214">
        <f t="shared" si="38"/>
        <v>9</v>
      </c>
      <c r="S493" s="214">
        <f t="shared" si="38"/>
        <v>9</v>
      </c>
    </row>
    <row r="494" spans="1:19" ht="29.25" customHeight="1" hidden="1">
      <c r="A494" s="99"/>
      <c r="B494" s="98"/>
      <c r="C494" s="103"/>
      <c r="D494" s="101"/>
      <c r="E494" s="104"/>
      <c r="F494" s="104"/>
      <c r="G494" s="89"/>
      <c r="H494" s="18" t="s">
        <v>324</v>
      </c>
      <c r="I494" s="10">
        <v>663</v>
      </c>
      <c r="J494" s="16">
        <v>7</v>
      </c>
      <c r="K494" s="16">
        <v>1</v>
      </c>
      <c r="L494" s="95" t="s">
        <v>681</v>
      </c>
      <c r="M494" s="96" t="s">
        <v>556</v>
      </c>
      <c r="N494" s="96" t="s">
        <v>581</v>
      </c>
      <c r="O494" s="96" t="s">
        <v>314</v>
      </c>
      <c r="P494" s="10"/>
      <c r="Q494" s="214">
        <f t="shared" si="38"/>
        <v>0</v>
      </c>
      <c r="R494" s="214">
        <f t="shared" si="38"/>
        <v>9</v>
      </c>
      <c r="S494" s="214">
        <f t="shared" si="38"/>
        <v>9</v>
      </c>
    </row>
    <row r="495" spans="1:19" ht="32.25" customHeight="1" hidden="1">
      <c r="A495" s="99"/>
      <c r="B495" s="98"/>
      <c r="C495" s="103"/>
      <c r="D495" s="101"/>
      <c r="E495" s="104"/>
      <c r="F495" s="104"/>
      <c r="G495" s="89"/>
      <c r="H495" s="18" t="s">
        <v>714</v>
      </c>
      <c r="I495" s="10">
        <v>663</v>
      </c>
      <c r="J495" s="16">
        <v>7</v>
      </c>
      <c r="K495" s="16">
        <v>1</v>
      </c>
      <c r="L495" s="95" t="s">
        <v>681</v>
      </c>
      <c r="M495" s="96" t="s">
        <v>556</v>
      </c>
      <c r="N495" s="96" t="s">
        <v>581</v>
      </c>
      <c r="O495" s="96" t="s">
        <v>314</v>
      </c>
      <c r="P495" s="10">
        <v>610</v>
      </c>
      <c r="Q495" s="214">
        <f>9-9</f>
        <v>0</v>
      </c>
      <c r="R495" s="214">
        <v>9</v>
      </c>
      <c r="S495" s="214">
        <v>9</v>
      </c>
    </row>
    <row r="496" spans="1:19" ht="30" customHeight="1" hidden="1">
      <c r="A496" s="99"/>
      <c r="B496" s="98"/>
      <c r="C496" s="103"/>
      <c r="D496" s="101"/>
      <c r="E496" s="104"/>
      <c r="F496" s="104"/>
      <c r="G496" s="89"/>
      <c r="H496" s="3" t="s">
        <v>292</v>
      </c>
      <c r="I496" s="10">
        <v>663</v>
      </c>
      <c r="J496" s="16">
        <v>7</v>
      </c>
      <c r="K496" s="16">
        <v>1</v>
      </c>
      <c r="L496" s="95" t="s">
        <v>573</v>
      </c>
      <c r="M496" s="96" t="s">
        <v>556</v>
      </c>
      <c r="N496" s="96" t="s">
        <v>576</v>
      </c>
      <c r="O496" s="96" t="s">
        <v>613</v>
      </c>
      <c r="P496" s="10"/>
      <c r="Q496" s="241">
        <f>Q497+Q499</f>
        <v>0</v>
      </c>
      <c r="R496" s="241">
        <f>R497+R499</f>
        <v>78371.2</v>
      </c>
      <c r="S496" s="241">
        <f>S497+S499</f>
        <v>81173.4</v>
      </c>
    </row>
    <row r="497" spans="1:19" ht="30" customHeight="1" hidden="1">
      <c r="A497" s="99"/>
      <c r="B497" s="98"/>
      <c r="C497" s="103"/>
      <c r="D497" s="101"/>
      <c r="E497" s="104"/>
      <c r="F497" s="104"/>
      <c r="G497" s="89"/>
      <c r="H497" s="3" t="s">
        <v>324</v>
      </c>
      <c r="I497" s="10">
        <v>663</v>
      </c>
      <c r="J497" s="16">
        <v>7</v>
      </c>
      <c r="K497" s="16">
        <v>1</v>
      </c>
      <c r="L497" s="95" t="s">
        <v>573</v>
      </c>
      <c r="M497" s="96" t="s">
        <v>556</v>
      </c>
      <c r="N497" s="96" t="s">
        <v>576</v>
      </c>
      <c r="O497" s="96" t="s">
        <v>314</v>
      </c>
      <c r="P497" s="10"/>
      <c r="Q497" s="241">
        <f>Q498</f>
        <v>0</v>
      </c>
      <c r="R497" s="241">
        <f>R498</f>
        <v>18343.5</v>
      </c>
      <c r="S497" s="241">
        <f>S498</f>
        <v>18343.5</v>
      </c>
    </row>
    <row r="498" spans="1:19" ht="30" customHeight="1" hidden="1">
      <c r="A498" s="99"/>
      <c r="B498" s="98"/>
      <c r="C498" s="103"/>
      <c r="D498" s="101"/>
      <c r="E498" s="104"/>
      <c r="F498" s="104"/>
      <c r="G498" s="89"/>
      <c r="H498" s="3" t="s">
        <v>714</v>
      </c>
      <c r="I498" s="10">
        <v>663</v>
      </c>
      <c r="J498" s="16">
        <v>7</v>
      </c>
      <c r="K498" s="16">
        <v>1</v>
      </c>
      <c r="L498" s="95" t="s">
        <v>573</v>
      </c>
      <c r="M498" s="96" t="s">
        <v>556</v>
      </c>
      <c r="N498" s="96" t="s">
        <v>576</v>
      </c>
      <c r="O498" s="96" t="s">
        <v>314</v>
      </c>
      <c r="P498" s="10">
        <v>610</v>
      </c>
      <c r="Q498" s="241">
        <v>0</v>
      </c>
      <c r="R498" s="214">
        <v>18343.5</v>
      </c>
      <c r="S498" s="214">
        <v>18343.5</v>
      </c>
    </row>
    <row r="499" spans="1:19" ht="36.75" customHeight="1" hidden="1">
      <c r="A499" s="99"/>
      <c r="B499" s="98"/>
      <c r="C499" s="103"/>
      <c r="D499" s="101"/>
      <c r="E499" s="104"/>
      <c r="F499" s="104"/>
      <c r="G499" s="89"/>
      <c r="H499" s="3" t="s">
        <v>326</v>
      </c>
      <c r="I499" s="10">
        <v>663</v>
      </c>
      <c r="J499" s="16">
        <v>7</v>
      </c>
      <c r="K499" s="16">
        <v>1</v>
      </c>
      <c r="L499" s="95" t="s">
        <v>573</v>
      </c>
      <c r="M499" s="96" t="s">
        <v>556</v>
      </c>
      <c r="N499" s="96" t="s">
        <v>576</v>
      </c>
      <c r="O499" s="96" t="s">
        <v>325</v>
      </c>
      <c r="P499" s="10"/>
      <c r="Q499" s="241">
        <f>Q500</f>
        <v>0</v>
      </c>
      <c r="R499" s="241">
        <f>R500</f>
        <v>60027.7</v>
      </c>
      <c r="S499" s="241">
        <f>S500</f>
        <v>62829.9</v>
      </c>
    </row>
    <row r="500" spans="1:19" ht="30" customHeight="1" hidden="1">
      <c r="A500" s="99"/>
      <c r="B500" s="98"/>
      <c r="C500" s="103"/>
      <c r="D500" s="101"/>
      <c r="E500" s="104"/>
      <c r="F500" s="104"/>
      <c r="G500" s="89"/>
      <c r="H500" s="3" t="s">
        <v>714</v>
      </c>
      <c r="I500" s="10">
        <v>663</v>
      </c>
      <c r="J500" s="16">
        <v>7</v>
      </c>
      <c r="K500" s="16">
        <v>1</v>
      </c>
      <c r="L500" s="95" t="s">
        <v>573</v>
      </c>
      <c r="M500" s="96" t="s">
        <v>556</v>
      </c>
      <c r="N500" s="96" t="s">
        <v>576</v>
      </c>
      <c r="O500" s="96" t="s">
        <v>325</v>
      </c>
      <c r="P500" s="10">
        <v>610</v>
      </c>
      <c r="Q500" s="241">
        <v>0</v>
      </c>
      <c r="R500" s="214">
        <v>60027.7</v>
      </c>
      <c r="S500" s="214">
        <v>62829.9</v>
      </c>
    </row>
    <row r="501" spans="1:19" s="179" customFormat="1" ht="27" customHeight="1">
      <c r="A501" s="142"/>
      <c r="B501" s="143"/>
      <c r="C501" s="153"/>
      <c r="D501" s="150"/>
      <c r="E501" s="145"/>
      <c r="F501" s="145"/>
      <c r="G501" s="136"/>
      <c r="H501" s="149" t="s">
        <v>537</v>
      </c>
      <c r="I501" s="138">
        <v>663</v>
      </c>
      <c r="J501" s="139">
        <v>7</v>
      </c>
      <c r="K501" s="139">
        <v>2</v>
      </c>
      <c r="L501" s="139"/>
      <c r="M501" s="141" t="s">
        <v>614</v>
      </c>
      <c r="N501" s="141"/>
      <c r="O501" s="141"/>
      <c r="P501" s="138"/>
      <c r="Q501" s="256">
        <f>Q502+Q540+Q553+Q533</f>
        <v>184184.59999999998</v>
      </c>
      <c r="R501" s="256">
        <f>R502+R540+R553</f>
        <v>148990.7</v>
      </c>
      <c r="S501" s="256">
        <f>S502+S540+S553</f>
        <v>155260.7</v>
      </c>
    </row>
    <row r="502" spans="1:19" ht="30" customHeight="1">
      <c r="A502" s="99"/>
      <c r="B502" s="98"/>
      <c r="C502" s="103"/>
      <c r="D502" s="101"/>
      <c r="E502" s="104"/>
      <c r="F502" s="104"/>
      <c r="G502" s="89"/>
      <c r="H502" s="253" t="s">
        <v>264</v>
      </c>
      <c r="I502" s="10">
        <v>663</v>
      </c>
      <c r="J502" s="16">
        <v>7</v>
      </c>
      <c r="K502" s="16">
        <v>2</v>
      </c>
      <c r="L502" s="95" t="s">
        <v>588</v>
      </c>
      <c r="M502" s="96" t="s">
        <v>556</v>
      </c>
      <c r="N502" s="96" t="s">
        <v>576</v>
      </c>
      <c r="O502" s="96" t="s">
        <v>613</v>
      </c>
      <c r="P502" s="10"/>
      <c r="Q502" s="214">
        <f>Q503+Q506+Q518+Q521+Q530</f>
        <v>184126.8</v>
      </c>
      <c r="R502" s="214"/>
      <c r="S502" s="214"/>
    </row>
    <row r="503" spans="1:19" ht="30" customHeight="1">
      <c r="A503" s="99"/>
      <c r="B503" s="98"/>
      <c r="C503" s="103"/>
      <c r="D503" s="101"/>
      <c r="E503" s="104"/>
      <c r="F503" s="104"/>
      <c r="G503" s="89"/>
      <c r="H503" s="55" t="s">
        <v>649</v>
      </c>
      <c r="I503" s="10">
        <v>663</v>
      </c>
      <c r="J503" s="16">
        <v>7</v>
      </c>
      <c r="K503" s="16">
        <v>2</v>
      </c>
      <c r="L503" s="95" t="s">
        <v>588</v>
      </c>
      <c r="M503" s="96" t="s">
        <v>556</v>
      </c>
      <c r="N503" s="96" t="s">
        <v>557</v>
      </c>
      <c r="O503" s="96" t="s">
        <v>613</v>
      </c>
      <c r="P503" s="10"/>
      <c r="Q503" s="214">
        <f>Q504</f>
        <v>92.5</v>
      </c>
      <c r="R503" s="214"/>
      <c r="S503" s="214"/>
    </row>
    <row r="504" spans="1:19" ht="24.75" customHeight="1">
      <c r="A504" s="99"/>
      <c r="B504" s="98"/>
      <c r="C504" s="103"/>
      <c r="D504" s="101"/>
      <c r="E504" s="104"/>
      <c r="F504" s="104"/>
      <c r="G504" s="89"/>
      <c r="H504" s="254" t="s">
        <v>327</v>
      </c>
      <c r="I504" s="10">
        <v>663</v>
      </c>
      <c r="J504" s="16">
        <v>7</v>
      </c>
      <c r="K504" s="16">
        <v>2</v>
      </c>
      <c r="L504" s="95" t="s">
        <v>588</v>
      </c>
      <c r="M504" s="96" t="s">
        <v>556</v>
      </c>
      <c r="N504" s="96" t="s">
        <v>557</v>
      </c>
      <c r="O504" s="96" t="s">
        <v>316</v>
      </c>
      <c r="P504" s="10"/>
      <c r="Q504" s="214">
        <f>Q505</f>
        <v>92.5</v>
      </c>
      <c r="R504" s="214"/>
      <c r="S504" s="214"/>
    </row>
    <row r="505" spans="1:19" ht="24.75" customHeight="1">
      <c r="A505" s="99"/>
      <c r="B505" s="98"/>
      <c r="C505" s="103"/>
      <c r="D505" s="101"/>
      <c r="E505" s="104"/>
      <c r="F505" s="104"/>
      <c r="G505" s="89"/>
      <c r="H505" s="254" t="s">
        <v>714</v>
      </c>
      <c r="I505" s="10">
        <v>663</v>
      </c>
      <c r="J505" s="16">
        <v>7</v>
      </c>
      <c r="K505" s="16">
        <v>2</v>
      </c>
      <c r="L505" s="95" t="s">
        <v>588</v>
      </c>
      <c r="M505" s="96" t="s">
        <v>556</v>
      </c>
      <c r="N505" s="96" t="s">
        <v>557</v>
      </c>
      <c r="O505" s="96" t="s">
        <v>316</v>
      </c>
      <c r="P505" s="10">
        <v>610</v>
      </c>
      <c r="Q505" s="214">
        <f>172.5-80</f>
        <v>92.5</v>
      </c>
      <c r="R505" s="214"/>
      <c r="S505" s="214"/>
    </row>
    <row r="506" spans="1:19" ht="27" customHeight="1">
      <c r="A506" s="99"/>
      <c r="B506" s="98"/>
      <c r="C506" s="103"/>
      <c r="D506" s="101"/>
      <c r="E506" s="104"/>
      <c r="F506" s="104"/>
      <c r="G506" s="89"/>
      <c r="H506" s="18" t="s">
        <v>650</v>
      </c>
      <c r="I506" s="6">
        <v>663</v>
      </c>
      <c r="J506" s="19">
        <v>7</v>
      </c>
      <c r="K506" s="16">
        <v>2</v>
      </c>
      <c r="L506" s="95" t="s">
        <v>588</v>
      </c>
      <c r="M506" s="96" t="s">
        <v>556</v>
      </c>
      <c r="N506" s="96" t="s">
        <v>585</v>
      </c>
      <c r="O506" s="96" t="s">
        <v>613</v>
      </c>
      <c r="P506" s="6"/>
      <c r="Q506" s="216">
        <f>Q507+Q514+Q512+Q510+Q516</f>
        <v>152055.1</v>
      </c>
      <c r="R506" s="216"/>
      <c r="S506" s="216"/>
    </row>
    <row r="507" spans="1:19" ht="27" customHeight="1">
      <c r="A507" s="99"/>
      <c r="B507" s="98"/>
      <c r="C507" s="103"/>
      <c r="D507" s="101"/>
      <c r="E507" s="104"/>
      <c r="F507" s="104"/>
      <c r="G507" s="89"/>
      <c r="H507" s="20" t="s">
        <v>327</v>
      </c>
      <c r="I507" s="6">
        <v>663</v>
      </c>
      <c r="J507" s="19">
        <v>7</v>
      </c>
      <c r="K507" s="16">
        <v>2</v>
      </c>
      <c r="L507" s="95" t="s">
        <v>588</v>
      </c>
      <c r="M507" s="96" t="s">
        <v>556</v>
      </c>
      <c r="N507" s="96" t="s">
        <v>585</v>
      </c>
      <c r="O507" s="96" t="s">
        <v>316</v>
      </c>
      <c r="P507" s="6"/>
      <c r="Q507" s="216">
        <f>SUM(Q508:Q509)</f>
        <v>36332.90000000001</v>
      </c>
      <c r="R507" s="216"/>
      <c r="S507" s="216"/>
    </row>
    <row r="508" spans="1:19" ht="27" customHeight="1" hidden="1">
      <c r="A508" s="99"/>
      <c r="B508" s="98"/>
      <c r="C508" s="103"/>
      <c r="D508" s="101"/>
      <c r="E508" s="104"/>
      <c r="F508" s="104"/>
      <c r="G508" s="89"/>
      <c r="H508" s="5" t="s">
        <v>712</v>
      </c>
      <c r="I508" s="6">
        <v>663</v>
      </c>
      <c r="J508" s="19">
        <v>7</v>
      </c>
      <c r="K508" s="16">
        <v>2</v>
      </c>
      <c r="L508" s="95" t="s">
        <v>588</v>
      </c>
      <c r="M508" s="96" t="s">
        <v>556</v>
      </c>
      <c r="N508" s="96" t="s">
        <v>585</v>
      </c>
      <c r="O508" s="96" t="s">
        <v>316</v>
      </c>
      <c r="P508" s="6">
        <v>240</v>
      </c>
      <c r="Q508" s="216">
        <f>13.5-13.5</f>
        <v>0</v>
      </c>
      <c r="R508" s="216"/>
      <c r="S508" s="216"/>
    </row>
    <row r="509" spans="1:19" ht="27" customHeight="1">
      <c r="A509" s="99"/>
      <c r="B509" s="98"/>
      <c r="C509" s="103"/>
      <c r="D509" s="101"/>
      <c r="E509" s="104"/>
      <c r="F509" s="104"/>
      <c r="G509" s="89"/>
      <c r="H509" s="20" t="s">
        <v>714</v>
      </c>
      <c r="I509" s="6">
        <v>663</v>
      </c>
      <c r="J509" s="19">
        <v>7</v>
      </c>
      <c r="K509" s="16">
        <v>2</v>
      </c>
      <c r="L509" s="95" t="s">
        <v>588</v>
      </c>
      <c r="M509" s="96" t="s">
        <v>556</v>
      </c>
      <c r="N509" s="96" t="s">
        <v>585</v>
      </c>
      <c r="O509" s="96" t="s">
        <v>316</v>
      </c>
      <c r="P509" s="6">
        <v>610</v>
      </c>
      <c r="Q509" s="216">
        <f>32087.6-5.5+14.5-0.5+344.7-83.8-20.7+1825.5+1775.9+0.8-6.2+394.4+6.2</f>
        <v>36332.90000000001</v>
      </c>
      <c r="R509" s="216"/>
      <c r="S509" s="216"/>
    </row>
    <row r="510" spans="1:19" ht="81" customHeight="1">
      <c r="A510" s="99"/>
      <c r="B510" s="98"/>
      <c r="C510" s="103"/>
      <c r="D510" s="101"/>
      <c r="E510" s="104"/>
      <c r="F510" s="104"/>
      <c r="G510" s="89"/>
      <c r="H510" s="20" t="s">
        <v>221</v>
      </c>
      <c r="I510" s="6">
        <v>663</v>
      </c>
      <c r="J510" s="19">
        <v>7</v>
      </c>
      <c r="K510" s="16">
        <v>2</v>
      </c>
      <c r="L510" s="95" t="s">
        <v>588</v>
      </c>
      <c r="M510" s="96" t="s">
        <v>556</v>
      </c>
      <c r="N510" s="96" t="s">
        <v>585</v>
      </c>
      <c r="O510" s="96" t="s">
        <v>220</v>
      </c>
      <c r="P510" s="6"/>
      <c r="Q510" s="216">
        <f>Q511</f>
        <v>3114.4</v>
      </c>
      <c r="R510" s="216"/>
      <c r="S510" s="216"/>
    </row>
    <row r="511" spans="1:19" ht="27" customHeight="1">
      <c r="A511" s="99"/>
      <c r="B511" s="98"/>
      <c r="C511" s="103"/>
      <c r="D511" s="101"/>
      <c r="E511" s="104"/>
      <c r="F511" s="104"/>
      <c r="G511" s="89"/>
      <c r="H511" s="20" t="s">
        <v>714</v>
      </c>
      <c r="I511" s="6">
        <v>663</v>
      </c>
      <c r="J511" s="19">
        <v>7</v>
      </c>
      <c r="K511" s="16">
        <v>2</v>
      </c>
      <c r="L511" s="95" t="s">
        <v>588</v>
      </c>
      <c r="M511" s="96" t="s">
        <v>556</v>
      </c>
      <c r="N511" s="96" t="s">
        <v>585</v>
      </c>
      <c r="O511" s="96" t="s">
        <v>220</v>
      </c>
      <c r="P511" s="6">
        <v>610</v>
      </c>
      <c r="Q511" s="216">
        <v>3114.4</v>
      </c>
      <c r="R511" s="216"/>
      <c r="S511" s="216"/>
    </row>
    <row r="512" spans="1:19" ht="33" customHeight="1">
      <c r="A512" s="99"/>
      <c r="B512" s="98"/>
      <c r="C512" s="103"/>
      <c r="D512" s="101"/>
      <c r="E512" s="104"/>
      <c r="F512" s="104"/>
      <c r="G512" s="89"/>
      <c r="H512" s="20" t="s">
        <v>61</v>
      </c>
      <c r="I512" s="6">
        <v>663</v>
      </c>
      <c r="J512" s="19">
        <v>7</v>
      </c>
      <c r="K512" s="16">
        <v>2</v>
      </c>
      <c r="L512" s="95" t="s">
        <v>588</v>
      </c>
      <c r="M512" s="96" t="s">
        <v>556</v>
      </c>
      <c r="N512" s="96" t="s">
        <v>585</v>
      </c>
      <c r="O512" s="96" t="s">
        <v>60</v>
      </c>
      <c r="P512" s="6"/>
      <c r="Q512" s="216">
        <f>Q513</f>
        <v>10448.9</v>
      </c>
      <c r="R512" s="216"/>
      <c r="S512" s="216"/>
    </row>
    <row r="513" spans="1:19" ht="27" customHeight="1">
      <c r="A513" s="99"/>
      <c r="B513" s="98"/>
      <c r="C513" s="103"/>
      <c r="D513" s="101"/>
      <c r="E513" s="104"/>
      <c r="F513" s="104"/>
      <c r="G513" s="89"/>
      <c r="H513" s="20" t="s">
        <v>714</v>
      </c>
      <c r="I513" s="6">
        <v>663</v>
      </c>
      <c r="J513" s="19">
        <v>7</v>
      </c>
      <c r="K513" s="16">
        <v>2</v>
      </c>
      <c r="L513" s="95" t="s">
        <v>588</v>
      </c>
      <c r="M513" s="96" t="s">
        <v>556</v>
      </c>
      <c r="N513" s="96" t="s">
        <v>585</v>
      </c>
      <c r="O513" s="96" t="s">
        <v>60</v>
      </c>
      <c r="P513" s="6">
        <v>610</v>
      </c>
      <c r="Q513" s="216">
        <f>7879.7+2569.2</f>
        <v>10448.9</v>
      </c>
      <c r="R513" s="216"/>
      <c r="S513" s="216"/>
    </row>
    <row r="514" spans="1:19" ht="40.5" customHeight="1">
      <c r="A514" s="99"/>
      <c r="B514" s="98"/>
      <c r="C514" s="103"/>
      <c r="D514" s="101"/>
      <c r="E514" s="104"/>
      <c r="F514" s="104"/>
      <c r="G514" s="89"/>
      <c r="H514" s="20" t="s">
        <v>326</v>
      </c>
      <c r="I514" s="6">
        <v>663</v>
      </c>
      <c r="J514" s="19">
        <v>7</v>
      </c>
      <c r="K514" s="16">
        <v>2</v>
      </c>
      <c r="L514" s="95" t="s">
        <v>588</v>
      </c>
      <c r="M514" s="96" t="s">
        <v>556</v>
      </c>
      <c r="N514" s="96" t="s">
        <v>585</v>
      </c>
      <c r="O514" s="96" t="s">
        <v>325</v>
      </c>
      <c r="P514" s="6"/>
      <c r="Q514" s="216">
        <f>Q515</f>
        <v>98985.8</v>
      </c>
      <c r="R514" s="216"/>
      <c r="S514" s="216"/>
    </row>
    <row r="515" spans="1:19" ht="27" customHeight="1">
      <c r="A515" s="99"/>
      <c r="B515" s="98"/>
      <c r="C515" s="103"/>
      <c r="D515" s="101"/>
      <c r="E515" s="104"/>
      <c r="F515" s="104"/>
      <c r="G515" s="89"/>
      <c r="H515" s="20" t="s">
        <v>714</v>
      </c>
      <c r="I515" s="6">
        <v>663</v>
      </c>
      <c r="J515" s="19">
        <v>7</v>
      </c>
      <c r="K515" s="16">
        <v>2</v>
      </c>
      <c r="L515" s="95" t="s">
        <v>588</v>
      </c>
      <c r="M515" s="96" t="s">
        <v>556</v>
      </c>
      <c r="N515" s="96" t="s">
        <v>585</v>
      </c>
      <c r="O515" s="96" t="s">
        <v>325</v>
      </c>
      <c r="P515" s="6">
        <v>610</v>
      </c>
      <c r="Q515" s="216">
        <f>100300.7+2897.2-219.7-3437.4+26.1-581.1</f>
        <v>98985.8</v>
      </c>
      <c r="R515" s="216"/>
      <c r="S515" s="216"/>
    </row>
    <row r="516" spans="1:19" ht="33" customHeight="1">
      <c r="A516" s="99"/>
      <c r="B516" s="98"/>
      <c r="C516" s="103"/>
      <c r="D516" s="101"/>
      <c r="E516" s="104"/>
      <c r="F516" s="104"/>
      <c r="G516" s="89"/>
      <c r="H516" s="20" t="s">
        <v>223</v>
      </c>
      <c r="I516" s="8">
        <v>663</v>
      </c>
      <c r="J516" s="19">
        <v>7</v>
      </c>
      <c r="K516" s="16">
        <v>2</v>
      </c>
      <c r="L516" s="95" t="s">
        <v>588</v>
      </c>
      <c r="M516" s="96" t="s">
        <v>556</v>
      </c>
      <c r="N516" s="96" t="s">
        <v>585</v>
      </c>
      <c r="O516" s="96" t="s">
        <v>851</v>
      </c>
      <c r="P516" s="6"/>
      <c r="Q516" s="216">
        <f>Q517</f>
        <v>3173.1000000000004</v>
      </c>
      <c r="R516" s="216"/>
      <c r="S516" s="216"/>
    </row>
    <row r="517" spans="1:19" ht="27" customHeight="1">
      <c r="A517" s="99"/>
      <c r="B517" s="98"/>
      <c r="C517" s="103"/>
      <c r="D517" s="101"/>
      <c r="E517" s="104"/>
      <c r="F517" s="104"/>
      <c r="G517" s="89"/>
      <c r="H517" s="20" t="s">
        <v>714</v>
      </c>
      <c r="I517" s="8">
        <v>663</v>
      </c>
      <c r="J517" s="19">
        <v>7</v>
      </c>
      <c r="K517" s="16">
        <v>2</v>
      </c>
      <c r="L517" s="95" t="s">
        <v>588</v>
      </c>
      <c r="M517" s="96" t="s">
        <v>556</v>
      </c>
      <c r="N517" s="96" t="s">
        <v>585</v>
      </c>
      <c r="O517" s="96" t="s">
        <v>851</v>
      </c>
      <c r="P517" s="6">
        <v>610</v>
      </c>
      <c r="Q517" s="216">
        <f>888.5+17.8+2203.3+62.2+1.3</f>
        <v>3173.1000000000004</v>
      </c>
      <c r="R517" s="216"/>
      <c r="S517" s="216"/>
    </row>
    <row r="518" spans="1:19" ht="24" customHeight="1">
      <c r="A518" s="99"/>
      <c r="B518" s="98"/>
      <c r="C518" s="103"/>
      <c r="D518" s="101"/>
      <c r="E518" s="104"/>
      <c r="F518" s="104"/>
      <c r="G518" s="89"/>
      <c r="H518" s="3" t="s">
        <v>784</v>
      </c>
      <c r="I518" s="8">
        <v>663</v>
      </c>
      <c r="J518" s="19">
        <v>7</v>
      </c>
      <c r="K518" s="16">
        <v>2</v>
      </c>
      <c r="L518" s="95" t="s">
        <v>588</v>
      </c>
      <c r="M518" s="96" t="s">
        <v>556</v>
      </c>
      <c r="N518" s="96" t="s">
        <v>586</v>
      </c>
      <c r="O518" s="96" t="s">
        <v>613</v>
      </c>
      <c r="P518" s="6"/>
      <c r="Q518" s="216">
        <f>Q519</f>
        <v>18.9</v>
      </c>
      <c r="R518" s="216"/>
      <c r="S518" s="216"/>
    </row>
    <row r="519" spans="1:19" ht="24" customHeight="1">
      <c r="A519" s="99"/>
      <c r="B519" s="98"/>
      <c r="C519" s="103"/>
      <c r="D519" s="101"/>
      <c r="E519" s="104"/>
      <c r="F519" s="104"/>
      <c r="G519" s="89"/>
      <c r="H519" s="3" t="s">
        <v>327</v>
      </c>
      <c r="I519" s="8">
        <v>663</v>
      </c>
      <c r="J519" s="19">
        <v>7</v>
      </c>
      <c r="K519" s="16">
        <v>2</v>
      </c>
      <c r="L519" s="95" t="s">
        <v>588</v>
      </c>
      <c r="M519" s="96" t="s">
        <v>556</v>
      </c>
      <c r="N519" s="96" t="s">
        <v>586</v>
      </c>
      <c r="O519" s="96" t="s">
        <v>316</v>
      </c>
      <c r="P519" s="6"/>
      <c r="Q519" s="216">
        <f>Q520</f>
        <v>18.9</v>
      </c>
      <c r="R519" s="216"/>
      <c r="S519" s="216"/>
    </row>
    <row r="520" spans="1:19" ht="24" customHeight="1">
      <c r="A520" s="99"/>
      <c r="B520" s="98"/>
      <c r="C520" s="103"/>
      <c r="D520" s="101"/>
      <c r="E520" s="104"/>
      <c r="F520" s="104"/>
      <c r="G520" s="89"/>
      <c r="H520" s="3" t="s">
        <v>714</v>
      </c>
      <c r="I520" s="8">
        <v>663</v>
      </c>
      <c r="J520" s="19">
        <v>7</v>
      </c>
      <c r="K520" s="16">
        <v>2</v>
      </c>
      <c r="L520" s="95" t="s">
        <v>588</v>
      </c>
      <c r="M520" s="96" t="s">
        <v>556</v>
      </c>
      <c r="N520" s="96" t="s">
        <v>586</v>
      </c>
      <c r="O520" s="96" t="s">
        <v>316</v>
      </c>
      <c r="P520" s="6">
        <v>610</v>
      </c>
      <c r="Q520" s="216">
        <f>122-35-63.2-4.9</f>
        <v>18.9</v>
      </c>
      <c r="R520" s="216"/>
      <c r="S520" s="216"/>
    </row>
    <row r="521" spans="1:19" ht="29.25" customHeight="1">
      <c r="A521" s="99"/>
      <c r="B521" s="98"/>
      <c r="C521" s="103"/>
      <c r="D521" s="101"/>
      <c r="E521" s="104"/>
      <c r="F521" s="104"/>
      <c r="G521" s="89"/>
      <c r="H521" s="3" t="s">
        <v>785</v>
      </c>
      <c r="I521" s="8">
        <v>663</v>
      </c>
      <c r="J521" s="19">
        <v>7</v>
      </c>
      <c r="K521" s="16">
        <v>2</v>
      </c>
      <c r="L521" s="95" t="s">
        <v>588</v>
      </c>
      <c r="M521" s="96" t="s">
        <v>556</v>
      </c>
      <c r="N521" s="96" t="s">
        <v>559</v>
      </c>
      <c r="O521" s="96" t="s">
        <v>613</v>
      </c>
      <c r="P521" s="6"/>
      <c r="Q521" s="216">
        <f>Q522+Q526+Q528+Q524</f>
        <v>28936.3</v>
      </c>
      <c r="R521" s="216"/>
      <c r="S521" s="216"/>
    </row>
    <row r="522" spans="1:19" ht="22.5" customHeight="1">
      <c r="A522" s="99"/>
      <c r="B522" s="98"/>
      <c r="C522" s="103"/>
      <c r="D522" s="101"/>
      <c r="E522" s="104"/>
      <c r="F522" s="104"/>
      <c r="G522" s="89"/>
      <c r="H522" s="3" t="s">
        <v>327</v>
      </c>
      <c r="I522" s="8">
        <v>663</v>
      </c>
      <c r="J522" s="19">
        <v>7</v>
      </c>
      <c r="K522" s="16">
        <v>2</v>
      </c>
      <c r="L522" s="95" t="s">
        <v>588</v>
      </c>
      <c r="M522" s="96" t="s">
        <v>556</v>
      </c>
      <c r="N522" s="96" t="s">
        <v>559</v>
      </c>
      <c r="O522" s="96" t="s">
        <v>316</v>
      </c>
      <c r="P522" s="6"/>
      <c r="Q522" s="216">
        <f>Q523</f>
        <v>2196.9</v>
      </c>
      <c r="R522" s="216"/>
      <c r="S522" s="216"/>
    </row>
    <row r="523" spans="1:19" ht="27.75" customHeight="1">
      <c r="A523" s="99"/>
      <c r="B523" s="98"/>
      <c r="C523" s="103"/>
      <c r="D523" s="101"/>
      <c r="E523" s="104"/>
      <c r="F523" s="104"/>
      <c r="G523" s="89"/>
      <c r="H523" s="3" t="s">
        <v>714</v>
      </c>
      <c r="I523" s="8">
        <v>663</v>
      </c>
      <c r="J523" s="19">
        <v>7</v>
      </c>
      <c r="K523" s="16">
        <v>2</v>
      </c>
      <c r="L523" s="95" t="s">
        <v>588</v>
      </c>
      <c r="M523" s="96" t="s">
        <v>556</v>
      </c>
      <c r="N523" s="96" t="s">
        <v>559</v>
      </c>
      <c r="O523" s="96" t="s">
        <v>316</v>
      </c>
      <c r="P523" s="10">
        <v>610</v>
      </c>
      <c r="Q523" s="214">
        <f>465+79.8+1200-172.2-217.9+183-175.8+32+27.3+752.4+23.3</f>
        <v>2196.9</v>
      </c>
      <c r="R523" s="214"/>
      <c r="S523" s="214"/>
    </row>
    <row r="524" spans="1:19" ht="43.5" customHeight="1">
      <c r="A524" s="99"/>
      <c r="B524" s="98"/>
      <c r="C524" s="103"/>
      <c r="D524" s="101"/>
      <c r="E524" s="104"/>
      <c r="F524" s="104"/>
      <c r="G524" s="89"/>
      <c r="H524" s="3" t="s">
        <v>847</v>
      </c>
      <c r="I524" s="8">
        <v>663</v>
      </c>
      <c r="J524" s="19">
        <v>7</v>
      </c>
      <c r="K524" s="16">
        <v>2</v>
      </c>
      <c r="L524" s="95" t="s">
        <v>588</v>
      </c>
      <c r="M524" s="96" t="s">
        <v>556</v>
      </c>
      <c r="N524" s="96" t="s">
        <v>559</v>
      </c>
      <c r="O524" s="96" t="s">
        <v>846</v>
      </c>
      <c r="P524" s="10"/>
      <c r="Q524" s="214">
        <f>Q525</f>
        <v>1809.1000000000001</v>
      </c>
      <c r="R524" s="214"/>
      <c r="S524" s="214"/>
    </row>
    <row r="525" spans="1:19" ht="27.75" customHeight="1">
      <c r="A525" s="99"/>
      <c r="B525" s="98"/>
      <c r="C525" s="103"/>
      <c r="D525" s="101"/>
      <c r="E525" s="104"/>
      <c r="F525" s="104"/>
      <c r="G525" s="89"/>
      <c r="H525" s="3" t="s">
        <v>714</v>
      </c>
      <c r="I525" s="8">
        <v>663</v>
      </c>
      <c r="J525" s="19">
        <v>7</v>
      </c>
      <c r="K525" s="16">
        <v>2</v>
      </c>
      <c r="L525" s="95" t="s">
        <v>588</v>
      </c>
      <c r="M525" s="96" t="s">
        <v>556</v>
      </c>
      <c r="N525" s="96" t="s">
        <v>559</v>
      </c>
      <c r="O525" s="96" t="s">
        <v>846</v>
      </c>
      <c r="P525" s="10">
        <v>610</v>
      </c>
      <c r="Q525" s="214">
        <f>1808.4+0.7</f>
        <v>1809.1000000000001</v>
      </c>
      <c r="R525" s="214"/>
      <c r="S525" s="214"/>
    </row>
    <row r="526" spans="1:19" ht="36" customHeight="1">
      <c r="A526" s="99"/>
      <c r="B526" s="98"/>
      <c r="C526" s="103"/>
      <c r="D526" s="101"/>
      <c r="E526" s="113"/>
      <c r="F526" s="113"/>
      <c r="G526" s="89"/>
      <c r="H526" s="5" t="s">
        <v>287</v>
      </c>
      <c r="I526" s="8">
        <v>663</v>
      </c>
      <c r="J526" s="21">
        <v>7</v>
      </c>
      <c r="K526" s="16">
        <v>2</v>
      </c>
      <c r="L526" s="16">
        <v>6</v>
      </c>
      <c r="M526" s="96" t="s">
        <v>556</v>
      </c>
      <c r="N526" s="96" t="s">
        <v>559</v>
      </c>
      <c r="O526" s="96" t="s">
        <v>288</v>
      </c>
      <c r="P526" s="10"/>
      <c r="Q526" s="214">
        <f>Q527</f>
        <v>24027</v>
      </c>
      <c r="R526" s="214"/>
      <c r="S526" s="214"/>
    </row>
    <row r="527" spans="1:19" ht="24.75" customHeight="1">
      <c r="A527" s="99"/>
      <c r="B527" s="98"/>
      <c r="C527" s="103"/>
      <c r="D527" s="101"/>
      <c r="E527" s="113"/>
      <c r="F527" s="113"/>
      <c r="G527" s="89"/>
      <c r="H527" s="5" t="s">
        <v>714</v>
      </c>
      <c r="I527" s="8">
        <v>663</v>
      </c>
      <c r="J527" s="21">
        <v>7</v>
      </c>
      <c r="K527" s="16">
        <v>2</v>
      </c>
      <c r="L527" s="16">
        <v>6</v>
      </c>
      <c r="M527" s="96" t="s">
        <v>556</v>
      </c>
      <c r="N527" s="96" t="s">
        <v>559</v>
      </c>
      <c r="O527" s="96" t="s">
        <v>288</v>
      </c>
      <c r="P527" s="10">
        <v>610</v>
      </c>
      <c r="Q527" s="214">
        <f>24190-110+750-27.3-752.4-23.3</f>
        <v>24027</v>
      </c>
      <c r="R527" s="214"/>
      <c r="S527" s="214"/>
    </row>
    <row r="528" spans="1:19" ht="24.75" customHeight="1">
      <c r="A528" s="99"/>
      <c r="B528" s="98"/>
      <c r="C528" s="97"/>
      <c r="D528" s="101"/>
      <c r="E528" s="113"/>
      <c r="F528" s="113"/>
      <c r="G528" s="89"/>
      <c r="H528" s="320" t="s">
        <v>207</v>
      </c>
      <c r="I528" s="6">
        <v>663</v>
      </c>
      <c r="J528" s="19">
        <v>7</v>
      </c>
      <c r="K528" s="16">
        <v>2</v>
      </c>
      <c r="L528" s="16">
        <v>6</v>
      </c>
      <c r="M528" s="96" t="s">
        <v>556</v>
      </c>
      <c r="N528" s="96" t="s">
        <v>559</v>
      </c>
      <c r="O528" s="96" t="s">
        <v>206</v>
      </c>
      <c r="P528" s="10"/>
      <c r="Q528" s="214">
        <f>Q529</f>
        <v>903.3000000000001</v>
      </c>
      <c r="R528" s="216"/>
      <c r="S528" s="216"/>
    </row>
    <row r="529" spans="1:19" ht="24.75" customHeight="1">
      <c r="A529" s="99"/>
      <c r="B529" s="98"/>
      <c r="C529" s="97"/>
      <c r="D529" s="101"/>
      <c r="E529" s="113"/>
      <c r="F529" s="113"/>
      <c r="G529" s="89"/>
      <c r="H529" s="5" t="s">
        <v>714</v>
      </c>
      <c r="I529" s="6">
        <v>663</v>
      </c>
      <c r="J529" s="19">
        <v>7</v>
      </c>
      <c r="K529" s="16">
        <v>2</v>
      </c>
      <c r="L529" s="16">
        <v>6</v>
      </c>
      <c r="M529" s="96" t="s">
        <v>556</v>
      </c>
      <c r="N529" s="96" t="s">
        <v>559</v>
      </c>
      <c r="O529" s="96" t="s">
        <v>206</v>
      </c>
      <c r="P529" s="10">
        <v>610</v>
      </c>
      <c r="Q529" s="214">
        <f>903.2+0.1</f>
        <v>903.3000000000001</v>
      </c>
      <c r="R529" s="216"/>
      <c r="S529" s="216"/>
    </row>
    <row r="530" spans="1:19" ht="24.75" customHeight="1">
      <c r="A530" s="99"/>
      <c r="B530" s="98"/>
      <c r="C530" s="97"/>
      <c r="D530" s="101"/>
      <c r="E530" s="113"/>
      <c r="F530" s="113"/>
      <c r="G530" s="89"/>
      <c r="H530" s="259" t="s">
        <v>126</v>
      </c>
      <c r="I530" s="6">
        <v>663</v>
      </c>
      <c r="J530" s="19">
        <v>7</v>
      </c>
      <c r="K530" s="16">
        <v>2</v>
      </c>
      <c r="L530" s="16">
        <v>6</v>
      </c>
      <c r="M530" s="96" t="s">
        <v>556</v>
      </c>
      <c r="N530" s="96" t="s">
        <v>682</v>
      </c>
      <c r="O530" s="96" t="s">
        <v>613</v>
      </c>
      <c r="P530" s="10"/>
      <c r="Q530" s="214">
        <f>Q531</f>
        <v>3024.0000000000005</v>
      </c>
      <c r="R530" s="216"/>
      <c r="S530" s="216"/>
    </row>
    <row r="531" spans="1:19" ht="49.5" customHeight="1">
      <c r="A531" s="99"/>
      <c r="B531" s="98"/>
      <c r="C531" s="97"/>
      <c r="D531" s="101"/>
      <c r="E531" s="113"/>
      <c r="F531" s="113"/>
      <c r="G531" s="89"/>
      <c r="H531" s="259" t="s">
        <v>684</v>
      </c>
      <c r="I531" s="6">
        <v>663</v>
      </c>
      <c r="J531" s="19">
        <v>7</v>
      </c>
      <c r="K531" s="16">
        <v>2</v>
      </c>
      <c r="L531" s="16">
        <v>6</v>
      </c>
      <c r="M531" s="96" t="s">
        <v>556</v>
      </c>
      <c r="N531" s="96" t="s">
        <v>682</v>
      </c>
      <c r="O531" s="96" t="s">
        <v>72</v>
      </c>
      <c r="P531" s="10"/>
      <c r="Q531" s="214">
        <f>Q532</f>
        <v>3024.0000000000005</v>
      </c>
      <c r="R531" s="216"/>
      <c r="S531" s="216"/>
    </row>
    <row r="532" spans="1:19" ht="24.75" customHeight="1">
      <c r="A532" s="99"/>
      <c r="B532" s="98"/>
      <c r="C532" s="97"/>
      <c r="D532" s="101"/>
      <c r="E532" s="113"/>
      <c r="F532" s="113"/>
      <c r="G532" s="89"/>
      <c r="H532" s="11" t="s">
        <v>714</v>
      </c>
      <c r="I532" s="6">
        <v>663</v>
      </c>
      <c r="J532" s="19">
        <v>7</v>
      </c>
      <c r="K532" s="16">
        <v>2</v>
      </c>
      <c r="L532" s="16">
        <v>6</v>
      </c>
      <c r="M532" s="96" t="s">
        <v>556</v>
      </c>
      <c r="N532" s="96" t="s">
        <v>682</v>
      </c>
      <c r="O532" s="96" t="s">
        <v>72</v>
      </c>
      <c r="P532" s="10">
        <v>610</v>
      </c>
      <c r="Q532" s="214">
        <f>2234.4+200+161+217.8+210.8</f>
        <v>3024.0000000000005</v>
      </c>
      <c r="R532" s="216"/>
      <c r="S532" s="216"/>
    </row>
    <row r="533" spans="1:19" ht="39" customHeight="1" hidden="1">
      <c r="A533" s="99"/>
      <c r="B533" s="98"/>
      <c r="C533" s="97"/>
      <c r="D533" s="101"/>
      <c r="E533" s="115"/>
      <c r="F533" s="115"/>
      <c r="G533" s="89"/>
      <c r="H533" s="117" t="s">
        <v>282</v>
      </c>
      <c r="I533" s="6">
        <v>663</v>
      </c>
      <c r="J533" s="19">
        <v>7</v>
      </c>
      <c r="K533" s="16">
        <v>2</v>
      </c>
      <c r="L533" s="95" t="s">
        <v>551</v>
      </c>
      <c r="M533" s="96" t="s">
        <v>556</v>
      </c>
      <c r="N533" s="96" t="s">
        <v>576</v>
      </c>
      <c r="O533" s="96" t="s">
        <v>613</v>
      </c>
      <c r="P533" s="6"/>
      <c r="Q533" s="216">
        <f>Q534+Q537</f>
        <v>0</v>
      </c>
      <c r="R533" s="216">
        <f aca="true" t="shared" si="39" ref="Q533:S538">R534</f>
        <v>30</v>
      </c>
      <c r="S533" s="216">
        <f t="shared" si="39"/>
        <v>0</v>
      </c>
    </row>
    <row r="534" spans="1:19" ht="41.25" customHeight="1" hidden="1">
      <c r="A534" s="99"/>
      <c r="B534" s="98"/>
      <c r="C534" s="97"/>
      <c r="D534" s="101"/>
      <c r="E534" s="115"/>
      <c r="F534" s="115"/>
      <c r="G534" s="89"/>
      <c r="H534" s="5" t="s">
        <v>283</v>
      </c>
      <c r="I534" s="6">
        <v>663</v>
      </c>
      <c r="J534" s="19">
        <v>7</v>
      </c>
      <c r="K534" s="16">
        <v>2</v>
      </c>
      <c r="L534" s="95" t="s">
        <v>551</v>
      </c>
      <c r="M534" s="96" t="s">
        <v>556</v>
      </c>
      <c r="N534" s="96" t="s">
        <v>557</v>
      </c>
      <c r="O534" s="96" t="s">
        <v>613</v>
      </c>
      <c r="P534" s="6"/>
      <c r="Q534" s="216">
        <f t="shared" si="39"/>
        <v>0</v>
      </c>
      <c r="R534" s="216">
        <f t="shared" si="39"/>
        <v>30</v>
      </c>
      <c r="S534" s="216">
        <f t="shared" si="39"/>
        <v>0</v>
      </c>
    </row>
    <row r="535" spans="1:19" ht="30.75" customHeight="1" hidden="1">
      <c r="A535" s="99"/>
      <c r="B535" s="98"/>
      <c r="C535" s="97"/>
      <c r="D535" s="101"/>
      <c r="E535" s="115"/>
      <c r="F535" s="115"/>
      <c r="G535" s="89"/>
      <c r="H535" s="5" t="s">
        <v>285</v>
      </c>
      <c r="I535" s="6">
        <v>663</v>
      </c>
      <c r="J535" s="19">
        <v>7</v>
      </c>
      <c r="K535" s="16">
        <v>2</v>
      </c>
      <c r="L535" s="95" t="s">
        <v>551</v>
      </c>
      <c r="M535" s="96" t="s">
        <v>556</v>
      </c>
      <c r="N535" s="96" t="s">
        <v>557</v>
      </c>
      <c r="O535" s="96" t="s">
        <v>284</v>
      </c>
      <c r="P535" s="6"/>
      <c r="Q535" s="216">
        <f t="shared" si="39"/>
        <v>0</v>
      </c>
      <c r="R535" s="216">
        <f t="shared" si="39"/>
        <v>30</v>
      </c>
      <c r="S535" s="216">
        <f t="shared" si="39"/>
        <v>0</v>
      </c>
    </row>
    <row r="536" spans="1:19" ht="29.25" customHeight="1" hidden="1">
      <c r="A536" s="99"/>
      <c r="B536" s="98"/>
      <c r="C536" s="97"/>
      <c r="D536" s="101"/>
      <c r="E536" s="115"/>
      <c r="F536" s="115"/>
      <c r="G536" s="89"/>
      <c r="H536" s="5" t="s">
        <v>714</v>
      </c>
      <c r="I536" s="6">
        <v>663</v>
      </c>
      <c r="J536" s="19">
        <v>7</v>
      </c>
      <c r="K536" s="16">
        <v>2</v>
      </c>
      <c r="L536" s="95" t="s">
        <v>551</v>
      </c>
      <c r="M536" s="96" t="s">
        <v>556</v>
      </c>
      <c r="N536" s="96" t="s">
        <v>557</v>
      </c>
      <c r="O536" s="96" t="s">
        <v>284</v>
      </c>
      <c r="P536" s="6">
        <v>610</v>
      </c>
      <c r="Q536" s="216">
        <v>0</v>
      </c>
      <c r="R536" s="216">
        <v>30</v>
      </c>
      <c r="S536" s="216">
        <v>0</v>
      </c>
    </row>
    <row r="537" spans="1:19" ht="36.75" customHeight="1" hidden="1">
      <c r="A537" s="99"/>
      <c r="B537" s="98"/>
      <c r="C537" s="97"/>
      <c r="D537" s="101"/>
      <c r="E537" s="115"/>
      <c r="F537" s="115"/>
      <c r="G537" s="89"/>
      <c r="H537" s="5" t="s">
        <v>112</v>
      </c>
      <c r="I537" s="6">
        <v>663</v>
      </c>
      <c r="J537" s="19">
        <v>7</v>
      </c>
      <c r="K537" s="16">
        <v>2</v>
      </c>
      <c r="L537" s="95" t="s">
        <v>551</v>
      </c>
      <c r="M537" s="96" t="s">
        <v>556</v>
      </c>
      <c r="N537" s="96" t="s">
        <v>585</v>
      </c>
      <c r="O537" s="96" t="s">
        <v>613</v>
      </c>
      <c r="P537" s="6"/>
      <c r="Q537" s="216">
        <f t="shared" si="39"/>
        <v>0</v>
      </c>
      <c r="R537" s="216">
        <f t="shared" si="39"/>
        <v>30</v>
      </c>
      <c r="S537" s="216">
        <f t="shared" si="39"/>
        <v>0</v>
      </c>
    </row>
    <row r="538" spans="1:19" ht="30.75" customHeight="1" hidden="1">
      <c r="A538" s="99"/>
      <c r="B538" s="98"/>
      <c r="C538" s="97"/>
      <c r="D538" s="101"/>
      <c r="E538" s="115"/>
      <c r="F538" s="115"/>
      <c r="G538" s="89"/>
      <c r="H538" s="5" t="s">
        <v>285</v>
      </c>
      <c r="I538" s="6">
        <v>663</v>
      </c>
      <c r="J538" s="19">
        <v>7</v>
      </c>
      <c r="K538" s="16">
        <v>2</v>
      </c>
      <c r="L538" s="95" t="s">
        <v>551</v>
      </c>
      <c r="M538" s="96" t="s">
        <v>556</v>
      </c>
      <c r="N538" s="96" t="s">
        <v>585</v>
      </c>
      <c r="O538" s="96" t="s">
        <v>284</v>
      </c>
      <c r="P538" s="6"/>
      <c r="Q538" s="216">
        <f t="shared" si="39"/>
        <v>0</v>
      </c>
      <c r="R538" s="216">
        <f t="shared" si="39"/>
        <v>30</v>
      </c>
      <c r="S538" s="216">
        <f t="shared" si="39"/>
        <v>0</v>
      </c>
    </row>
    <row r="539" spans="1:19" ht="29.25" customHeight="1" hidden="1">
      <c r="A539" s="99"/>
      <c r="B539" s="98"/>
      <c r="C539" s="97"/>
      <c r="D539" s="101"/>
      <c r="E539" s="115"/>
      <c r="F539" s="115"/>
      <c r="G539" s="89"/>
      <c r="H539" s="5" t="s">
        <v>714</v>
      </c>
      <c r="I539" s="6">
        <v>663</v>
      </c>
      <c r="J539" s="19">
        <v>7</v>
      </c>
      <c r="K539" s="16">
        <v>2</v>
      </c>
      <c r="L539" s="95" t="s">
        <v>551</v>
      </c>
      <c r="M539" s="96" t="s">
        <v>556</v>
      </c>
      <c r="N539" s="96" t="s">
        <v>585</v>
      </c>
      <c r="O539" s="96" t="s">
        <v>284</v>
      </c>
      <c r="P539" s="6">
        <v>610</v>
      </c>
      <c r="Q539" s="216">
        <v>0</v>
      </c>
      <c r="R539" s="216">
        <v>30</v>
      </c>
      <c r="S539" s="216">
        <v>0</v>
      </c>
    </row>
    <row r="540" spans="1:19" ht="30.75" customHeight="1">
      <c r="A540" s="99"/>
      <c r="B540" s="98"/>
      <c r="C540" s="103"/>
      <c r="D540" s="101"/>
      <c r="E540" s="104"/>
      <c r="F540" s="104"/>
      <c r="G540" s="89"/>
      <c r="H540" s="5" t="s">
        <v>680</v>
      </c>
      <c r="I540" s="10">
        <v>663</v>
      </c>
      <c r="J540" s="16">
        <v>7</v>
      </c>
      <c r="K540" s="16">
        <v>2</v>
      </c>
      <c r="L540" s="95" t="s">
        <v>681</v>
      </c>
      <c r="M540" s="96" t="s">
        <v>556</v>
      </c>
      <c r="N540" s="96" t="s">
        <v>576</v>
      </c>
      <c r="O540" s="96" t="s">
        <v>613</v>
      </c>
      <c r="P540" s="10"/>
      <c r="Q540" s="214">
        <f>Q541+Q544+Q547+Q550</f>
        <v>57.8</v>
      </c>
      <c r="R540" s="214">
        <f>R541+R544+R547+R550</f>
        <v>239</v>
      </c>
      <c r="S540" s="214">
        <f>S541+S544+S547+S550</f>
        <v>239</v>
      </c>
    </row>
    <row r="541" spans="1:19" ht="34.5" customHeight="1" hidden="1">
      <c r="A541" s="99"/>
      <c r="B541" s="98"/>
      <c r="C541" s="103"/>
      <c r="D541" s="101"/>
      <c r="E541" s="104"/>
      <c r="F541" s="104"/>
      <c r="G541" s="89"/>
      <c r="H541" s="18" t="s">
        <v>317</v>
      </c>
      <c r="I541" s="10">
        <v>663</v>
      </c>
      <c r="J541" s="16">
        <v>7</v>
      </c>
      <c r="K541" s="16">
        <v>2</v>
      </c>
      <c r="L541" s="95" t="s">
        <v>681</v>
      </c>
      <c r="M541" s="96" t="s">
        <v>556</v>
      </c>
      <c r="N541" s="96" t="s">
        <v>585</v>
      </c>
      <c r="O541" s="96" t="s">
        <v>613</v>
      </c>
      <c r="P541" s="10"/>
      <c r="Q541" s="214">
        <f aca="true" t="shared" si="40" ref="Q541:S542">Q542</f>
        <v>0</v>
      </c>
      <c r="R541" s="214">
        <f t="shared" si="40"/>
        <v>9</v>
      </c>
      <c r="S541" s="214">
        <f t="shared" si="40"/>
        <v>9</v>
      </c>
    </row>
    <row r="542" spans="1:19" ht="24.75" customHeight="1" hidden="1">
      <c r="A542" s="99"/>
      <c r="B542" s="98"/>
      <c r="C542" s="103"/>
      <c r="D542" s="101"/>
      <c r="E542" s="104"/>
      <c r="F542" s="104"/>
      <c r="G542" s="89"/>
      <c r="H542" s="18" t="s">
        <v>318</v>
      </c>
      <c r="I542" s="10">
        <v>663</v>
      </c>
      <c r="J542" s="16">
        <v>7</v>
      </c>
      <c r="K542" s="16">
        <v>2</v>
      </c>
      <c r="L542" s="95" t="s">
        <v>681</v>
      </c>
      <c r="M542" s="96" t="s">
        <v>556</v>
      </c>
      <c r="N542" s="96" t="s">
        <v>585</v>
      </c>
      <c r="O542" s="96" t="s">
        <v>316</v>
      </c>
      <c r="P542" s="10"/>
      <c r="Q542" s="214">
        <f t="shared" si="40"/>
        <v>0</v>
      </c>
      <c r="R542" s="214">
        <f t="shared" si="40"/>
        <v>9</v>
      </c>
      <c r="S542" s="214">
        <f t="shared" si="40"/>
        <v>9</v>
      </c>
    </row>
    <row r="543" spans="1:19" ht="24.75" customHeight="1" hidden="1">
      <c r="A543" s="99"/>
      <c r="B543" s="98"/>
      <c r="C543" s="103"/>
      <c r="D543" s="101"/>
      <c r="E543" s="104"/>
      <c r="F543" s="104"/>
      <c r="G543" s="89"/>
      <c r="H543" s="18" t="s">
        <v>714</v>
      </c>
      <c r="I543" s="10">
        <v>663</v>
      </c>
      <c r="J543" s="16">
        <v>7</v>
      </c>
      <c r="K543" s="16">
        <v>2</v>
      </c>
      <c r="L543" s="95" t="s">
        <v>681</v>
      </c>
      <c r="M543" s="96" t="s">
        <v>556</v>
      </c>
      <c r="N543" s="96" t="s">
        <v>585</v>
      </c>
      <c r="O543" s="96" t="s">
        <v>316</v>
      </c>
      <c r="P543" s="10">
        <v>610</v>
      </c>
      <c r="Q543" s="214">
        <f>9-9</f>
        <v>0</v>
      </c>
      <c r="R543" s="214">
        <v>9</v>
      </c>
      <c r="S543" s="214">
        <v>9</v>
      </c>
    </row>
    <row r="544" spans="1:19" ht="30" customHeight="1" hidden="1">
      <c r="A544" s="99"/>
      <c r="B544" s="98"/>
      <c r="C544" s="103"/>
      <c r="D544" s="101"/>
      <c r="E544" s="104"/>
      <c r="F544" s="104"/>
      <c r="G544" s="89"/>
      <c r="H544" s="5" t="s">
        <v>319</v>
      </c>
      <c r="I544" s="10">
        <v>663</v>
      </c>
      <c r="J544" s="16">
        <v>7</v>
      </c>
      <c r="K544" s="16">
        <v>2</v>
      </c>
      <c r="L544" s="95" t="s">
        <v>681</v>
      </c>
      <c r="M544" s="96" t="s">
        <v>556</v>
      </c>
      <c r="N544" s="96" t="s">
        <v>586</v>
      </c>
      <c r="O544" s="96" t="s">
        <v>613</v>
      </c>
      <c r="P544" s="10"/>
      <c r="Q544" s="214">
        <f aca="true" t="shared" si="41" ref="Q544:S545">Q545</f>
        <v>0</v>
      </c>
      <c r="R544" s="214">
        <f t="shared" si="41"/>
        <v>25</v>
      </c>
      <c r="S544" s="214">
        <f t="shared" si="41"/>
        <v>25</v>
      </c>
    </row>
    <row r="545" spans="1:19" ht="30" customHeight="1" hidden="1">
      <c r="A545" s="99"/>
      <c r="B545" s="98"/>
      <c r="C545" s="103"/>
      <c r="D545" s="101"/>
      <c r="E545" s="104"/>
      <c r="F545" s="104"/>
      <c r="G545" s="89"/>
      <c r="H545" s="5" t="s">
        <v>318</v>
      </c>
      <c r="I545" s="10">
        <v>663</v>
      </c>
      <c r="J545" s="16">
        <v>7</v>
      </c>
      <c r="K545" s="16">
        <v>2</v>
      </c>
      <c r="L545" s="95" t="s">
        <v>681</v>
      </c>
      <c r="M545" s="96" t="s">
        <v>556</v>
      </c>
      <c r="N545" s="96" t="s">
        <v>586</v>
      </c>
      <c r="O545" s="96" t="s">
        <v>316</v>
      </c>
      <c r="P545" s="10"/>
      <c r="Q545" s="214">
        <f t="shared" si="41"/>
        <v>0</v>
      </c>
      <c r="R545" s="214">
        <f t="shared" si="41"/>
        <v>25</v>
      </c>
      <c r="S545" s="214">
        <f t="shared" si="41"/>
        <v>25</v>
      </c>
    </row>
    <row r="546" spans="1:19" ht="30" customHeight="1" hidden="1">
      <c r="A546" s="99"/>
      <c r="B546" s="98"/>
      <c r="C546" s="103"/>
      <c r="D546" s="101"/>
      <c r="E546" s="104"/>
      <c r="F546" s="104"/>
      <c r="G546" s="89"/>
      <c r="H546" s="5" t="s">
        <v>714</v>
      </c>
      <c r="I546" s="10">
        <v>663</v>
      </c>
      <c r="J546" s="16">
        <v>7</v>
      </c>
      <c r="K546" s="16">
        <v>2</v>
      </c>
      <c r="L546" s="95" t="s">
        <v>681</v>
      </c>
      <c r="M546" s="96" t="s">
        <v>556</v>
      </c>
      <c r="N546" s="96" t="s">
        <v>586</v>
      </c>
      <c r="O546" s="96" t="s">
        <v>316</v>
      </c>
      <c r="P546" s="10">
        <v>610</v>
      </c>
      <c r="Q546" s="214">
        <f>25-9-16</f>
        <v>0</v>
      </c>
      <c r="R546" s="214">
        <v>25</v>
      </c>
      <c r="S546" s="214">
        <v>25</v>
      </c>
    </row>
    <row r="547" spans="1:19" ht="41.25" customHeight="1" hidden="1">
      <c r="A547" s="99"/>
      <c r="B547" s="98"/>
      <c r="C547" s="103"/>
      <c r="D547" s="101"/>
      <c r="E547" s="104"/>
      <c r="F547" s="104"/>
      <c r="G547" s="89"/>
      <c r="H547" s="5" t="s">
        <v>679</v>
      </c>
      <c r="I547" s="10">
        <v>663</v>
      </c>
      <c r="J547" s="16">
        <v>7</v>
      </c>
      <c r="K547" s="16">
        <v>2</v>
      </c>
      <c r="L547" s="95" t="s">
        <v>681</v>
      </c>
      <c r="M547" s="96" t="s">
        <v>556</v>
      </c>
      <c r="N547" s="96" t="s">
        <v>581</v>
      </c>
      <c r="O547" s="96" t="s">
        <v>613</v>
      </c>
      <c r="P547" s="10"/>
      <c r="Q547" s="214">
        <f aca="true" t="shared" si="42" ref="Q547:S548">Q548</f>
        <v>0</v>
      </c>
      <c r="R547" s="214">
        <f t="shared" si="42"/>
        <v>80</v>
      </c>
      <c r="S547" s="214">
        <f t="shared" si="42"/>
        <v>80</v>
      </c>
    </row>
    <row r="548" spans="1:19" ht="28.5" customHeight="1" hidden="1">
      <c r="A548" s="99"/>
      <c r="B548" s="98"/>
      <c r="C548" s="103"/>
      <c r="D548" s="101"/>
      <c r="E548" s="104"/>
      <c r="F548" s="104"/>
      <c r="G548" s="89"/>
      <c r="H548" s="5" t="s">
        <v>318</v>
      </c>
      <c r="I548" s="10">
        <v>663</v>
      </c>
      <c r="J548" s="16">
        <v>7</v>
      </c>
      <c r="K548" s="16">
        <v>2</v>
      </c>
      <c r="L548" s="95" t="s">
        <v>681</v>
      </c>
      <c r="M548" s="96" t="s">
        <v>556</v>
      </c>
      <c r="N548" s="96" t="s">
        <v>581</v>
      </c>
      <c r="O548" s="96" t="s">
        <v>316</v>
      </c>
      <c r="P548" s="10"/>
      <c r="Q548" s="214">
        <f t="shared" si="42"/>
        <v>0</v>
      </c>
      <c r="R548" s="214">
        <f t="shared" si="42"/>
        <v>80</v>
      </c>
      <c r="S548" s="214">
        <f t="shared" si="42"/>
        <v>80</v>
      </c>
    </row>
    <row r="549" spans="1:19" ht="30" customHeight="1" hidden="1">
      <c r="A549" s="99"/>
      <c r="B549" s="98"/>
      <c r="C549" s="103"/>
      <c r="D549" s="101"/>
      <c r="E549" s="104"/>
      <c r="F549" s="104"/>
      <c r="G549" s="89"/>
      <c r="H549" s="5" t="s">
        <v>714</v>
      </c>
      <c r="I549" s="10">
        <v>663</v>
      </c>
      <c r="J549" s="16">
        <v>7</v>
      </c>
      <c r="K549" s="16">
        <v>2</v>
      </c>
      <c r="L549" s="95" t="s">
        <v>681</v>
      </c>
      <c r="M549" s="96" t="s">
        <v>556</v>
      </c>
      <c r="N549" s="96" t="s">
        <v>581</v>
      </c>
      <c r="O549" s="96" t="s">
        <v>316</v>
      </c>
      <c r="P549" s="10">
        <v>610</v>
      </c>
      <c r="Q549" s="214">
        <f>80-35-5.8-39.2</f>
        <v>0</v>
      </c>
      <c r="R549" s="214">
        <v>80</v>
      </c>
      <c r="S549" s="214">
        <v>80</v>
      </c>
    </row>
    <row r="550" spans="1:19" ht="41.25" customHeight="1">
      <c r="A550" s="99"/>
      <c r="B550" s="98"/>
      <c r="C550" s="103"/>
      <c r="D550" s="101"/>
      <c r="E550" s="104"/>
      <c r="F550" s="104"/>
      <c r="G550" s="89"/>
      <c r="H550" s="117" t="s">
        <v>246</v>
      </c>
      <c r="I550" s="10">
        <v>663</v>
      </c>
      <c r="J550" s="16">
        <v>7</v>
      </c>
      <c r="K550" s="16">
        <v>2</v>
      </c>
      <c r="L550" s="95" t="s">
        <v>681</v>
      </c>
      <c r="M550" s="96" t="s">
        <v>556</v>
      </c>
      <c r="N550" s="96" t="s">
        <v>559</v>
      </c>
      <c r="O550" s="96" t="s">
        <v>613</v>
      </c>
      <c r="P550" s="10"/>
      <c r="Q550" s="214">
        <f aca="true" t="shared" si="43" ref="Q550:S551">Q551</f>
        <v>57.8</v>
      </c>
      <c r="R550" s="214">
        <f t="shared" si="43"/>
        <v>125</v>
      </c>
      <c r="S550" s="214">
        <f t="shared" si="43"/>
        <v>125</v>
      </c>
    </row>
    <row r="551" spans="1:19" ht="25.5" customHeight="1">
      <c r="A551" s="99"/>
      <c r="B551" s="98"/>
      <c r="C551" s="103"/>
      <c r="D551" s="101"/>
      <c r="E551" s="104"/>
      <c r="F551" s="104"/>
      <c r="G551" s="89"/>
      <c r="H551" s="5" t="s">
        <v>318</v>
      </c>
      <c r="I551" s="10">
        <v>663</v>
      </c>
      <c r="J551" s="16">
        <v>7</v>
      </c>
      <c r="K551" s="16">
        <v>2</v>
      </c>
      <c r="L551" s="95" t="s">
        <v>681</v>
      </c>
      <c r="M551" s="96" t="s">
        <v>556</v>
      </c>
      <c r="N551" s="96" t="s">
        <v>559</v>
      </c>
      <c r="O551" s="96" t="s">
        <v>316</v>
      </c>
      <c r="P551" s="10"/>
      <c r="Q551" s="214">
        <f t="shared" si="43"/>
        <v>57.8</v>
      </c>
      <c r="R551" s="214">
        <f t="shared" si="43"/>
        <v>125</v>
      </c>
      <c r="S551" s="214">
        <f t="shared" si="43"/>
        <v>125</v>
      </c>
    </row>
    <row r="552" spans="1:19" ht="27" customHeight="1">
      <c r="A552" s="99"/>
      <c r="B552" s="98"/>
      <c r="C552" s="103"/>
      <c r="D552" s="101"/>
      <c r="E552" s="104"/>
      <c r="F552" s="104"/>
      <c r="G552" s="89"/>
      <c r="H552" s="5" t="s">
        <v>714</v>
      </c>
      <c r="I552" s="10">
        <v>663</v>
      </c>
      <c r="J552" s="16">
        <v>7</v>
      </c>
      <c r="K552" s="16">
        <v>2</v>
      </c>
      <c r="L552" s="95" t="s">
        <v>681</v>
      </c>
      <c r="M552" s="96" t="s">
        <v>556</v>
      </c>
      <c r="N552" s="96" t="s">
        <v>559</v>
      </c>
      <c r="O552" s="96" t="s">
        <v>316</v>
      </c>
      <c r="P552" s="10">
        <v>610</v>
      </c>
      <c r="Q552" s="214">
        <f>125-109+36+5.8</f>
        <v>57.8</v>
      </c>
      <c r="R552" s="214">
        <v>125</v>
      </c>
      <c r="S552" s="214">
        <v>125</v>
      </c>
    </row>
    <row r="553" spans="1:19" ht="33" customHeight="1" hidden="1">
      <c r="A553" s="99"/>
      <c r="B553" s="98"/>
      <c r="C553" s="103"/>
      <c r="D553" s="101"/>
      <c r="E553" s="113"/>
      <c r="F553" s="113"/>
      <c r="G553" s="89"/>
      <c r="H553" s="5" t="s">
        <v>292</v>
      </c>
      <c r="I553" s="8">
        <v>663</v>
      </c>
      <c r="J553" s="21">
        <v>7</v>
      </c>
      <c r="K553" s="16">
        <v>2</v>
      </c>
      <c r="L553" s="16">
        <v>91</v>
      </c>
      <c r="M553" s="96" t="s">
        <v>556</v>
      </c>
      <c r="N553" s="96" t="s">
        <v>576</v>
      </c>
      <c r="O553" s="96" t="s">
        <v>613</v>
      </c>
      <c r="P553" s="10"/>
      <c r="Q553" s="214">
        <f>Q554+Q557</f>
        <v>0</v>
      </c>
      <c r="R553" s="214">
        <f>R554+R557</f>
        <v>148751.7</v>
      </c>
      <c r="S553" s="214">
        <f>S554+S557</f>
        <v>155021.7</v>
      </c>
    </row>
    <row r="554" spans="1:19" ht="33" customHeight="1" hidden="1">
      <c r="A554" s="99"/>
      <c r="B554" s="98"/>
      <c r="C554" s="103"/>
      <c r="D554" s="101"/>
      <c r="E554" s="113"/>
      <c r="F554" s="113"/>
      <c r="G554" s="89"/>
      <c r="H554" s="5" t="s">
        <v>327</v>
      </c>
      <c r="I554" s="8">
        <v>663</v>
      </c>
      <c r="J554" s="21">
        <v>7</v>
      </c>
      <c r="K554" s="16">
        <v>2</v>
      </c>
      <c r="L554" s="16">
        <v>91</v>
      </c>
      <c r="M554" s="96" t="s">
        <v>556</v>
      </c>
      <c r="N554" s="96" t="s">
        <v>576</v>
      </c>
      <c r="O554" s="96" t="s">
        <v>316</v>
      </c>
      <c r="P554" s="10"/>
      <c r="Q554" s="214">
        <f>SUM(Q555:Q556)</f>
        <v>0</v>
      </c>
      <c r="R554" s="214">
        <f>SUM(R555:R556)</f>
        <v>42740.3</v>
      </c>
      <c r="S554" s="214">
        <f>SUM(S555:S556)</f>
        <v>42740.3</v>
      </c>
    </row>
    <row r="555" spans="1:19" ht="33" customHeight="1" hidden="1">
      <c r="A555" s="99"/>
      <c r="B555" s="98"/>
      <c r="C555" s="103"/>
      <c r="D555" s="101"/>
      <c r="E555" s="113"/>
      <c r="F555" s="113"/>
      <c r="G555" s="89"/>
      <c r="H555" s="5" t="s">
        <v>712</v>
      </c>
      <c r="I555" s="8">
        <v>663</v>
      </c>
      <c r="J555" s="21">
        <v>7</v>
      </c>
      <c r="K555" s="16">
        <v>2</v>
      </c>
      <c r="L555" s="16">
        <v>91</v>
      </c>
      <c r="M555" s="96" t="s">
        <v>556</v>
      </c>
      <c r="N555" s="96" t="s">
        <v>576</v>
      </c>
      <c r="O555" s="96" t="s">
        <v>316</v>
      </c>
      <c r="P555" s="10">
        <v>240</v>
      </c>
      <c r="Q555" s="214">
        <v>0</v>
      </c>
      <c r="R555" s="214">
        <v>13.5</v>
      </c>
      <c r="S555" s="214">
        <v>13.5</v>
      </c>
    </row>
    <row r="556" spans="1:19" ht="33" customHeight="1" hidden="1">
      <c r="A556" s="99"/>
      <c r="B556" s="98"/>
      <c r="C556" s="103"/>
      <c r="D556" s="101"/>
      <c r="E556" s="113"/>
      <c r="F556" s="113"/>
      <c r="G556" s="89"/>
      <c r="H556" s="5" t="s">
        <v>714</v>
      </c>
      <c r="I556" s="8">
        <v>663</v>
      </c>
      <c r="J556" s="21">
        <v>7</v>
      </c>
      <c r="K556" s="16">
        <v>2</v>
      </c>
      <c r="L556" s="16">
        <v>91</v>
      </c>
      <c r="M556" s="96" t="s">
        <v>556</v>
      </c>
      <c r="N556" s="96" t="s">
        <v>576</v>
      </c>
      <c r="O556" s="96" t="s">
        <v>316</v>
      </c>
      <c r="P556" s="10">
        <v>610</v>
      </c>
      <c r="Q556" s="214">
        <v>0</v>
      </c>
      <c r="R556" s="214">
        <v>42726.8</v>
      </c>
      <c r="S556" s="214">
        <v>42726.8</v>
      </c>
    </row>
    <row r="557" spans="1:19" ht="33" customHeight="1" hidden="1">
      <c r="A557" s="99"/>
      <c r="B557" s="98"/>
      <c r="C557" s="103"/>
      <c r="D557" s="101"/>
      <c r="E557" s="113"/>
      <c r="F557" s="113"/>
      <c r="G557" s="89"/>
      <c r="H557" s="5" t="s">
        <v>326</v>
      </c>
      <c r="I557" s="8">
        <v>663</v>
      </c>
      <c r="J557" s="21">
        <v>7</v>
      </c>
      <c r="K557" s="16">
        <v>2</v>
      </c>
      <c r="L557" s="16">
        <v>91</v>
      </c>
      <c r="M557" s="96" t="s">
        <v>556</v>
      </c>
      <c r="N557" s="96" t="s">
        <v>576</v>
      </c>
      <c r="O557" s="96" t="s">
        <v>325</v>
      </c>
      <c r="P557" s="10"/>
      <c r="Q557" s="214">
        <f>Q558</f>
        <v>0</v>
      </c>
      <c r="R557" s="214">
        <f>R558</f>
        <v>106011.4</v>
      </c>
      <c r="S557" s="214">
        <f>S558</f>
        <v>112281.4</v>
      </c>
    </row>
    <row r="558" spans="1:19" ht="33" customHeight="1" hidden="1">
      <c r="A558" s="99"/>
      <c r="B558" s="98"/>
      <c r="C558" s="103"/>
      <c r="D558" s="101"/>
      <c r="E558" s="113"/>
      <c r="F558" s="113"/>
      <c r="G558" s="89"/>
      <c r="H558" s="5" t="s">
        <v>714</v>
      </c>
      <c r="I558" s="8">
        <v>663</v>
      </c>
      <c r="J558" s="21">
        <v>7</v>
      </c>
      <c r="K558" s="16">
        <v>2</v>
      </c>
      <c r="L558" s="16">
        <v>91</v>
      </c>
      <c r="M558" s="96" t="s">
        <v>556</v>
      </c>
      <c r="N558" s="96" t="s">
        <v>576</v>
      </c>
      <c r="O558" s="96" t="s">
        <v>325</v>
      </c>
      <c r="P558" s="10">
        <v>610</v>
      </c>
      <c r="Q558" s="214">
        <v>0</v>
      </c>
      <c r="R558" s="214">
        <v>106011.4</v>
      </c>
      <c r="S558" s="214">
        <v>112281.4</v>
      </c>
    </row>
    <row r="559" spans="1:19" s="179" customFormat="1" ht="25.5" customHeight="1">
      <c r="A559" s="142"/>
      <c r="B559" s="143"/>
      <c r="C559" s="153"/>
      <c r="D559" s="150"/>
      <c r="E559" s="154"/>
      <c r="F559" s="154"/>
      <c r="G559" s="136"/>
      <c r="H559" s="149" t="s">
        <v>340</v>
      </c>
      <c r="I559" s="152">
        <v>663</v>
      </c>
      <c r="J559" s="156">
        <v>7</v>
      </c>
      <c r="K559" s="139">
        <v>3</v>
      </c>
      <c r="L559" s="139"/>
      <c r="M559" s="141"/>
      <c r="N559" s="141"/>
      <c r="O559" s="141"/>
      <c r="P559" s="138"/>
      <c r="Q559" s="213">
        <f>Q560</f>
        <v>4340.099999999999</v>
      </c>
      <c r="R559" s="213" t="e">
        <f>R560+#REF!</f>
        <v>#REF!</v>
      </c>
      <c r="S559" s="213" t="e">
        <f>S560+#REF!</f>
        <v>#REF!</v>
      </c>
    </row>
    <row r="560" spans="1:19" ht="30.75" customHeight="1">
      <c r="A560" s="97"/>
      <c r="B560" s="98"/>
      <c r="C560" s="103"/>
      <c r="D560" s="101"/>
      <c r="E560" s="113"/>
      <c r="F560" s="113"/>
      <c r="G560" s="89"/>
      <c r="H560" s="5" t="s">
        <v>264</v>
      </c>
      <c r="I560" s="8">
        <v>663</v>
      </c>
      <c r="J560" s="21">
        <v>7</v>
      </c>
      <c r="K560" s="16">
        <v>3</v>
      </c>
      <c r="L560" s="16">
        <v>6</v>
      </c>
      <c r="M560" s="96" t="s">
        <v>556</v>
      </c>
      <c r="N560" s="96" t="s">
        <v>576</v>
      </c>
      <c r="O560" s="96" t="s">
        <v>613</v>
      </c>
      <c r="P560" s="10"/>
      <c r="Q560" s="214">
        <f>Q561+Q571+Q568</f>
        <v>4340.099999999999</v>
      </c>
      <c r="R560" s="214"/>
      <c r="S560" s="214"/>
    </row>
    <row r="561" spans="1:19" ht="25.5" customHeight="1">
      <c r="A561" s="99"/>
      <c r="B561" s="98"/>
      <c r="C561" s="103"/>
      <c r="D561" s="101"/>
      <c r="E561" s="113"/>
      <c r="F561" s="113"/>
      <c r="G561" s="89"/>
      <c r="H561" s="5" t="s">
        <v>784</v>
      </c>
      <c r="I561" s="8">
        <v>663</v>
      </c>
      <c r="J561" s="21">
        <v>7</v>
      </c>
      <c r="K561" s="16">
        <v>3</v>
      </c>
      <c r="L561" s="16">
        <v>6</v>
      </c>
      <c r="M561" s="96" t="s">
        <v>556</v>
      </c>
      <c r="N561" s="96" t="s">
        <v>586</v>
      </c>
      <c r="O561" s="96" t="s">
        <v>613</v>
      </c>
      <c r="P561" s="10"/>
      <c r="Q561" s="214">
        <f>Q562+Q564+Q566</f>
        <v>3561.2999999999997</v>
      </c>
      <c r="R561" s="214"/>
      <c r="S561" s="214"/>
    </row>
    <row r="562" spans="1:19" ht="25.5" customHeight="1">
      <c r="A562" s="99"/>
      <c r="B562" s="98"/>
      <c r="C562" s="103"/>
      <c r="D562" s="101"/>
      <c r="E562" s="113"/>
      <c r="F562" s="113"/>
      <c r="G562" s="89"/>
      <c r="H562" s="5" t="s">
        <v>328</v>
      </c>
      <c r="I562" s="8">
        <v>663</v>
      </c>
      <c r="J562" s="21">
        <v>7</v>
      </c>
      <c r="K562" s="16">
        <v>3</v>
      </c>
      <c r="L562" s="16">
        <v>6</v>
      </c>
      <c r="M562" s="96" t="s">
        <v>556</v>
      </c>
      <c r="N562" s="96" t="s">
        <v>586</v>
      </c>
      <c r="O562" s="96" t="s">
        <v>263</v>
      </c>
      <c r="P562" s="10"/>
      <c r="Q562" s="214">
        <f>Q563</f>
        <v>2468.2999999999997</v>
      </c>
      <c r="R562" s="214"/>
      <c r="S562" s="214"/>
    </row>
    <row r="563" spans="1:19" ht="25.5" customHeight="1">
      <c r="A563" s="99"/>
      <c r="B563" s="98"/>
      <c r="C563" s="103"/>
      <c r="D563" s="101"/>
      <c r="E563" s="113"/>
      <c r="F563" s="113"/>
      <c r="G563" s="89"/>
      <c r="H563" s="5" t="s">
        <v>714</v>
      </c>
      <c r="I563" s="8">
        <v>663</v>
      </c>
      <c r="J563" s="21">
        <v>7</v>
      </c>
      <c r="K563" s="16">
        <v>3</v>
      </c>
      <c r="L563" s="16">
        <v>6</v>
      </c>
      <c r="M563" s="96" t="s">
        <v>556</v>
      </c>
      <c r="N563" s="96" t="s">
        <v>586</v>
      </c>
      <c r="O563" s="96" t="s">
        <v>263</v>
      </c>
      <c r="P563" s="10">
        <v>610</v>
      </c>
      <c r="Q563" s="214">
        <f>2910.1-231.8-10-200</f>
        <v>2468.2999999999997</v>
      </c>
      <c r="R563" s="214"/>
      <c r="S563" s="214"/>
    </row>
    <row r="564" spans="1:19" ht="39.75" customHeight="1">
      <c r="A564" s="99"/>
      <c r="B564" s="98"/>
      <c r="C564" s="103"/>
      <c r="D564" s="101"/>
      <c r="E564" s="113"/>
      <c r="F564" s="113"/>
      <c r="G564" s="89"/>
      <c r="H564" s="5" t="s">
        <v>61</v>
      </c>
      <c r="I564" s="8">
        <v>663</v>
      </c>
      <c r="J564" s="21">
        <v>7</v>
      </c>
      <c r="K564" s="16">
        <v>3</v>
      </c>
      <c r="L564" s="16">
        <v>6</v>
      </c>
      <c r="M564" s="96" t="s">
        <v>556</v>
      </c>
      <c r="N564" s="96" t="s">
        <v>586</v>
      </c>
      <c r="O564" s="96" t="s">
        <v>60</v>
      </c>
      <c r="P564" s="10"/>
      <c r="Q564" s="214">
        <f>Q565</f>
        <v>1093</v>
      </c>
      <c r="R564" s="214">
        <f>R565</f>
        <v>4805.6</v>
      </c>
      <c r="S564" s="214">
        <f>S565</f>
        <v>4805.6</v>
      </c>
    </row>
    <row r="565" spans="1:19" ht="21" customHeight="1">
      <c r="A565" s="99"/>
      <c r="B565" s="98"/>
      <c r="C565" s="103"/>
      <c r="D565" s="101"/>
      <c r="E565" s="113"/>
      <c r="F565" s="113"/>
      <c r="G565" s="89"/>
      <c r="H565" s="5" t="s">
        <v>714</v>
      </c>
      <c r="I565" s="8">
        <v>663</v>
      </c>
      <c r="J565" s="21">
        <v>7</v>
      </c>
      <c r="K565" s="16">
        <v>3</v>
      </c>
      <c r="L565" s="16">
        <v>6</v>
      </c>
      <c r="M565" s="96" t="s">
        <v>556</v>
      </c>
      <c r="N565" s="96" t="s">
        <v>586</v>
      </c>
      <c r="O565" s="96" t="s">
        <v>60</v>
      </c>
      <c r="P565" s="10">
        <v>610</v>
      </c>
      <c r="Q565" s="214">
        <f>895.5+197.6-0.1</f>
        <v>1093</v>
      </c>
      <c r="R565" s="216">
        <v>4805.6</v>
      </c>
      <c r="S565" s="216">
        <v>4805.6</v>
      </c>
    </row>
    <row r="566" spans="1:19" ht="21" customHeight="1" hidden="1">
      <c r="A566" s="99"/>
      <c r="B566" s="98"/>
      <c r="C566" s="103"/>
      <c r="D566" s="101"/>
      <c r="E566" s="113"/>
      <c r="F566" s="113"/>
      <c r="G566" s="89"/>
      <c r="H566" s="5" t="s">
        <v>225</v>
      </c>
      <c r="I566" s="8">
        <v>663</v>
      </c>
      <c r="J566" s="21">
        <v>7</v>
      </c>
      <c r="K566" s="16">
        <v>3</v>
      </c>
      <c r="L566" s="16">
        <v>6</v>
      </c>
      <c r="M566" s="96" t="s">
        <v>556</v>
      </c>
      <c r="N566" s="96" t="s">
        <v>586</v>
      </c>
      <c r="O566" s="96" t="s">
        <v>224</v>
      </c>
      <c r="P566" s="10"/>
      <c r="Q566" s="214">
        <f>Q567</f>
        <v>0</v>
      </c>
      <c r="R566" s="216"/>
      <c r="S566" s="216"/>
    </row>
    <row r="567" spans="1:19" ht="21" customHeight="1" hidden="1">
      <c r="A567" s="99"/>
      <c r="B567" s="98"/>
      <c r="C567" s="103"/>
      <c r="D567" s="101"/>
      <c r="E567" s="113"/>
      <c r="F567" s="113"/>
      <c r="G567" s="89"/>
      <c r="H567" s="5" t="s">
        <v>714</v>
      </c>
      <c r="I567" s="8">
        <v>663</v>
      </c>
      <c r="J567" s="21">
        <v>7</v>
      </c>
      <c r="K567" s="16">
        <v>3</v>
      </c>
      <c r="L567" s="16">
        <v>6</v>
      </c>
      <c r="M567" s="96" t="s">
        <v>556</v>
      </c>
      <c r="N567" s="96" t="s">
        <v>586</v>
      </c>
      <c r="O567" s="96" t="s">
        <v>224</v>
      </c>
      <c r="P567" s="10">
        <v>610</v>
      </c>
      <c r="Q567" s="214">
        <v>0</v>
      </c>
      <c r="R567" s="216"/>
      <c r="S567" s="216"/>
    </row>
    <row r="568" spans="1:19" ht="21" customHeight="1">
      <c r="A568" s="99"/>
      <c r="B568" s="98"/>
      <c r="C568" s="103"/>
      <c r="D568" s="101"/>
      <c r="E568" s="113"/>
      <c r="F568" s="113"/>
      <c r="G568" s="89"/>
      <c r="H568" s="3" t="s">
        <v>785</v>
      </c>
      <c r="I568" s="8">
        <v>663</v>
      </c>
      <c r="J568" s="21">
        <v>7</v>
      </c>
      <c r="K568" s="16">
        <v>3</v>
      </c>
      <c r="L568" s="16">
        <v>6</v>
      </c>
      <c r="M568" s="96" t="s">
        <v>556</v>
      </c>
      <c r="N568" s="96" t="s">
        <v>559</v>
      </c>
      <c r="O568" s="96" t="s">
        <v>613</v>
      </c>
      <c r="P568" s="10"/>
      <c r="Q568" s="214">
        <f>Q569</f>
        <v>50</v>
      </c>
      <c r="R568" s="216"/>
      <c r="S568" s="216"/>
    </row>
    <row r="569" spans="1:19" ht="21" customHeight="1">
      <c r="A569" s="99"/>
      <c r="B569" s="98"/>
      <c r="C569" s="103"/>
      <c r="D569" s="101"/>
      <c r="E569" s="113"/>
      <c r="F569" s="113"/>
      <c r="G569" s="89"/>
      <c r="H569" s="5" t="s">
        <v>328</v>
      </c>
      <c r="I569" s="8">
        <v>663</v>
      </c>
      <c r="J569" s="21">
        <v>7</v>
      </c>
      <c r="K569" s="16">
        <v>3</v>
      </c>
      <c r="L569" s="16">
        <v>6</v>
      </c>
      <c r="M569" s="96" t="s">
        <v>556</v>
      </c>
      <c r="N569" s="96" t="s">
        <v>559</v>
      </c>
      <c r="O569" s="96" t="s">
        <v>263</v>
      </c>
      <c r="P569" s="10"/>
      <c r="Q569" s="214">
        <f>Q570</f>
        <v>50</v>
      </c>
      <c r="R569" s="216"/>
      <c r="S569" s="216"/>
    </row>
    <row r="570" spans="1:19" ht="21" customHeight="1">
      <c r="A570" s="99"/>
      <c r="B570" s="98"/>
      <c r="C570" s="103"/>
      <c r="D570" s="101"/>
      <c r="E570" s="113"/>
      <c r="F570" s="113"/>
      <c r="G570" s="89"/>
      <c r="H570" s="5" t="s">
        <v>714</v>
      </c>
      <c r="I570" s="8">
        <v>663</v>
      </c>
      <c r="J570" s="21">
        <v>7</v>
      </c>
      <c r="K570" s="16">
        <v>3</v>
      </c>
      <c r="L570" s="16">
        <v>6</v>
      </c>
      <c r="M570" s="96" t="s">
        <v>556</v>
      </c>
      <c r="N570" s="96" t="s">
        <v>559</v>
      </c>
      <c r="O570" s="96" t="s">
        <v>263</v>
      </c>
      <c r="P570" s="10">
        <v>610</v>
      </c>
      <c r="Q570" s="214">
        <v>50</v>
      </c>
      <c r="R570" s="216"/>
      <c r="S570" s="216"/>
    </row>
    <row r="571" spans="1:19" ht="21" customHeight="1">
      <c r="A571" s="99"/>
      <c r="B571" s="98"/>
      <c r="C571" s="103"/>
      <c r="D571" s="101"/>
      <c r="E571" s="113"/>
      <c r="F571" s="113"/>
      <c r="G571" s="89"/>
      <c r="H571" s="5" t="s">
        <v>124</v>
      </c>
      <c r="I571" s="8">
        <v>663</v>
      </c>
      <c r="J571" s="21">
        <v>7</v>
      </c>
      <c r="K571" s="16">
        <v>3</v>
      </c>
      <c r="L571" s="16">
        <v>6</v>
      </c>
      <c r="M571" s="96" t="s">
        <v>556</v>
      </c>
      <c r="N571" s="96" t="s">
        <v>79</v>
      </c>
      <c r="O571" s="96" t="s">
        <v>613</v>
      </c>
      <c r="P571" s="10"/>
      <c r="Q571" s="214">
        <f>Q572</f>
        <v>728.8</v>
      </c>
      <c r="R571" s="216"/>
      <c r="S571" s="216"/>
    </row>
    <row r="572" spans="1:19" ht="33.75" customHeight="1">
      <c r="A572" s="99"/>
      <c r="B572" s="98"/>
      <c r="C572" s="103"/>
      <c r="D572" s="101"/>
      <c r="E572" s="113"/>
      <c r="F572" s="113"/>
      <c r="G572" s="89"/>
      <c r="H572" s="5" t="s">
        <v>129</v>
      </c>
      <c r="I572" s="8">
        <v>663</v>
      </c>
      <c r="J572" s="21">
        <v>7</v>
      </c>
      <c r="K572" s="16">
        <v>3</v>
      </c>
      <c r="L572" s="16">
        <v>6</v>
      </c>
      <c r="M572" s="96" t="s">
        <v>556</v>
      </c>
      <c r="N572" s="96" t="s">
        <v>79</v>
      </c>
      <c r="O572" s="96" t="s">
        <v>80</v>
      </c>
      <c r="P572" s="6"/>
      <c r="Q572" s="216">
        <v>728.8</v>
      </c>
      <c r="R572" s="216"/>
      <c r="S572" s="216"/>
    </row>
    <row r="573" spans="1:19" ht="21" customHeight="1">
      <c r="A573" s="99"/>
      <c r="B573" s="98"/>
      <c r="C573" s="103"/>
      <c r="D573" s="101"/>
      <c r="E573" s="113"/>
      <c r="F573" s="113"/>
      <c r="G573" s="89"/>
      <c r="H573" s="5" t="s">
        <v>714</v>
      </c>
      <c r="I573" s="8">
        <v>663</v>
      </c>
      <c r="J573" s="21">
        <v>7</v>
      </c>
      <c r="K573" s="16">
        <v>3</v>
      </c>
      <c r="L573" s="16">
        <v>6</v>
      </c>
      <c r="M573" s="96" t="s">
        <v>556</v>
      </c>
      <c r="N573" s="96" t="s">
        <v>79</v>
      </c>
      <c r="O573" s="96" t="s">
        <v>80</v>
      </c>
      <c r="P573" s="6">
        <v>610</v>
      </c>
      <c r="Q573" s="216">
        <v>728.8</v>
      </c>
      <c r="R573" s="216"/>
      <c r="S573" s="216"/>
    </row>
    <row r="574" spans="1:19" s="179" customFormat="1" ht="24.75" customHeight="1">
      <c r="A574" s="142"/>
      <c r="B574" s="143"/>
      <c r="C574" s="153"/>
      <c r="D574" s="150"/>
      <c r="E574" s="154"/>
      <c r="F574" s="154"/>
      <c r="G574" s="136"/>
      <c r="H574" s="149" t="s">
        <v>536</v>
      </c>
      <c r="I574" s="152">
        <v>663</v>
      </c>
      <c r="J574" s="156">
        <v>7</v>
      </c>
      <c r="K574" s="139">
        <v>9</v>
      </c>
      <c r="L574" s="140"/>
      <c r="M574" s="141"/>
      <c r="N574" s="141"/>
      <c r="O574" s="141"/>
      <c r="P574" s="146"/>
      <c r="Q574" s="217">
        <f>Q575+Q626+Q637+Q621+Q614</f>
        <v>13355.1</v>
      </c>
      <c r="R574" s="217">
        <f>R575+R626+R637</f>
        <v>19980.300000000003</v>
      </c>
      <c r="S574" s="217">
        <f>S575+S626+S637</f>
        <v>31111.500000000004</v>
      </c>
    </row>
    <row r="575" spans="1:19" ht="30.75" customHeight="1">
      <c r="A575" s="99"/>
      <c r="B575" s="98"/>
      <c r="C575" s="103"/>
      <c r="D575" s="101"/>
      <c r="E575" s="104"/>
      <c r="F575" s="104"/>
      <c r="G575" s="89"/>
      <c r="H575" s="253" t="s">
        <v>264</v>
      </c>
      <c r="I575" s="10">
        <v>663</v>
      </c>
      <c r="J575" s="16">
        <v>7</v>
      </c>
      <c r="K575" s="16">
        <v>9</v>
      </c>
      <c r="L575" s="95" t="s">
        <v>588</v>
      </c>
      <c r="M575" s="96" t="s">
        <v>556</v>
      </c>
      <c r="N575" s="96" t="s">
        <v>576</v>
      </c>
      <c r="O575" s="96" t="s">
        <v>613</v>
      </c>
      <c r="P575" s="10"/>
      <c r="Q575" s="214">
        <f>Q576+Q581+Q589+Q595+Q600</f>
        <v>13239.7</v>
      </c>
      <c r="R575" s="214"/>
      <c r="S575" s="214"/>
    </row>
    <row r="576" spans="1:19" ht="32.25" customHeight="1">
      <c r="A576" s="99"/>
      <c r="B576" s="98"/>
      <c r="C576" s="103"/>
      <c r="D576" s="101"/>
      <c r="E576" s="104"/>
      <c r="F576" s="104"/>
      <c r="G576" s="89"/>
      <c r="H576" s="254" t="s">
        <v>649</v>
      </c>
      <c r="I576" s="10">
        <v>663</v>
      </c>
      <c r="J576" s="16">
        <v>7</v>
      </c>
      <c r="K576" s="16">
        <v>9</v>
      </c>
      <c r="L576" s="95" t="s">
        <v>588</v>
      </c>
      <c r="M576" s="96" t="s">
        <v>556</v>
      </c>
      <c r="N576" s="96" t="s">
        <v>557</v>
      </c>
      <c r="O576" s="96" t="s">
        <v>613</v>
      </c>
      <c r="P576" s="10" t="s">
        <v>614</v>
      </c>
      <c r="Q576" s="214">
        <f>Q577+Q579</f>
        <v>102.3</v>
      </c>
      <c r="R576" s="214"/>
      <c r="S576" s="214"/>
    </row>
    <row r="577" spans="1:19" ht="32.25" customHeight="1" hidden="1">
      <c r="A577" s="99"/>
      <c r="B577" s="98"/>
      <c r="C577" s="103"/>
      <c r="D577" s="101"/>
      <c r="E577" s="104"/>
      <c r="F577" s="104"/>
      <c r="G577" s="89"/>
      <c r="H577" s="258" t="s">
        <v>335</v>
      </c>
      <c r="I577" s="10">
        <v>663</v>
      </c>
      <c r="J577" s="16">
        <v>7</v>
      </c>
      <c r="K577" s="16">
        <v>9</v>
      </c>
      <c r="L577" s="95" t="s">
        <v>588</v>
      </c>
      <c r="M577" s="96" t="s">
        <v>556</v>
      </c>
      <c r="N577" s="96" t="s">
        <v>557</v>
      </c>
      <c r="O577" s="96" t="s">
        <v>641</v>
      </c>
      <c r="P577" s="10"/>
      <c r="Q577" s="214">
        <f>Q578</f>
        <v>0</v>
      </c>
      <c r="R577" s="214"/>
      <c r="S577" s="214"/>
    </row>
    <row r="578" spans="1:19" ht="32.25" customHeight="1" hidden="1">
      <c r="A578" s="99"/>
      <c r="B578" s="98"/>
      <c r="C578" s="103"/>
      <c r="D578" s="101"/>
      <c r="E578" s="104"/>
      <c r="F578" s="104"/>
      <c r="G578" s="89"/>
      <c r="H578" s="258" t="s">
        <v>712</v>
      </c>
      <c r="I578" s="10">
        <v>663</v>
      </c>
      <c r="J578" s="16">
        <v>7</v>
      </c>
      <c r="K578" s="16">
        <v>9</v>
      </c>
      <c r="L578" s="95" t="s">
        <v>588</v>
      </c>
      <c r="M578" s="96" t="s">
        <v>556</v>
      </c>
      <c r="N578" s="96" t="s">
        <v>557</v>
      </c>
      <c r="O578" s="96" t="s">
        <v>641</v>
      </c>
      <c r="P578" s="10">
        <v>240</v>
      </c>
      <c r="Q578" s="214">
        <f>15-15</f>
        <v>0</v>
      </c>
      <c r="R578" s="214"/>
      <c r="S578" s="214"/>
    </row>
    <row r="579" spans="1:19" ht="39" customHeight="1">
      <c r="A579" s="99"/>
      <c r="B579" s="98"/>
      <c r="C579" s="103"/>
      <c r="D579" s="101"/>
      <c r="E579" s="104"/>
      <c r="F579" s="104"/>
      <c r="G579" s="89"/>
      <c r="H579" s="22" t="s">
        <v>323</v>
      </c>
      <c r="I579" s="10">
        <v>663</v>
      </c>
      <c r="J579" s="16">
        <v>7</v>
      </c>
      <c r="K579" s="16">
        <v>9</v>
      </c>
      <c r="L579" s="95" t="s">
        <v>588</v>
      </c>
      <c r="M579" s="96" t="s">
        <v>556</v>
      </c>
      <c r="N579" s="96" t="s">
        <v>557</v>
      </c>
      <c r="O579" s="96" t="s">
        <v>322</v>
      </c>
      <c r="P579" s="10"/>
      <c r="Q579" s="214">
        <f>Q580</f>
        <v>102.3</v>
      </c>
      <c r="R579" s="214"/>
      <c r="S579" s="214"/>
    </row>
    <row r="580" spans="1:19" ht="33" customHeight="1">
      <c r="A580" s="99"/>
      <c r="B580" s="98"/>
      <c r="C580" s="103"/>
      <c r="D580" s="101"/>
      <c r="E580" s="104"/>
      <c r="F580" s="104"/>
      <c r="G580" s="89"/>
      <c r="H580" s="5" t="s">
        <v>714</v>
      </c>
      <c r="I580" s="10">
        <v>663</v>
      </c>
      <c r="J580" s="16">
        <v>7</v>
      </c>
      <c r="K580" s="16">
        <v>9</v>
      </c>
      <c r="L580" s="95" t="s">
        <v>588</v>
      </c>
      <c r="M580" s="96" t="s">
        <v>556</v>
      </c>
      <c r="N580" s="96" t="s">
        <v>557</v>
      </c>
      <c r="O580" s="96" t="s">
        <v>322</v>
      </c>
      <c r="P580" s="10">
        <v>610</v>
      </c>
      <c r="Q580" s="214">
        <v>102.3</v>
      </c>
      <c r="R580" s="214"/>
      <c r="S580" s="214"/>
    </row>
    <row r="581" spans="1:19" ht="29.25" customHeight="1">
      <c r="A581" s="99"/>
      <c r="B581" s="98"/>
      <c r="C581" s="103"/>
      <c r="D581" s="101"/>
      <c r="E581" s="104"/>
      <c r="F581" s="104"/>
      <c r="G581" s="89"/>
      <c r="H581" s="18" t="s">
        <v>650</v>
      </c>
      <c r="I581" s="10">
        <v>663</v>
      </c>
      <c r="J581" s="16">
        <v>7</v>
      </c>
      <c r="K581" s="16">
        <v>9</v>
      </c>
      <c r="L581" s="95" t="s">
        <v>588</v>
      </c>
      <c r="M581" s="96" t="s">
        <v>556</v>
      </c>
      <c r="N581" s="96" t="s">
        <v>585</v>
      </c>
      <c r="O581" s="96" t="s">
        <v>613</v>
      </c>
      <c r="P581" s="10" t="s">
        <v>614</v>
      </c>
      <c r="Q581" s="214">
        <f>Q582+Q586+Q584</f>
        <v>6694.5</v>
      </c>
      <c r="R581" s="214"/>
      <c r="S581" s="214"/>
    </row>
    <row r="582" spans="1:19" ht="29.25" customHeight="1">
      <c r="A582" s="99"/>
      <c r="B582" s="98"/>
      <c r="C582" s="103"/>
      <c r="D582" s="101"/>
      <c r="E582" s="104"/>
      <c r="F582" s="104"/>
      <c r="G582" s="89"/>
      <c r="H582" s="22" t="s">
        <v>335</v>
      </c>
      <c r="I582" s="10">
        <v>663</v>
      </c>
      <c r="J582" s="16">
        <v>7</v>
      </c>
      <c r="K582" s="16">
        <v>9</v>
      </c>
      <c r="L582" s="95" t="s">
        <v>588</v>
      </c>
      <c r="M582" s="96" t="s">
        <v>556</v>
      </c>
      <c r="N582" s="96" t="s">
        <v>585</v>
      </c>
      <c r="O582" s="96" t="s">
        <v>641</v>
      </c>
      <c r="P582" s="10"/>
      <c r="Q582" s="214">
        <f>Q583</f>
        <v>21.299999999999997</v>
      </c>
      <c r="R582" s="214"/>
      <c r="S582" s="214"/>
    </row>
    <row r="583" spans="1:19" ht="29.25" customHeight="1">
      <c r="A583" s="99"/>
      <c r="B583" s="98"/>
      <c r="C583" s="103"/>
      <c r="D583" s="101"/>
      <c r="E583" s="104"/>
      <c r="F583" s="104"/>
      <c r="G583" s="89"/>
      <c r="H583" s="22" t="s">
        <v>712</v>
      </c>
      <c r="I583" s="10">
        <v>663</v>
      </c>
      <c r="J583" s="16">
        <v>7</v>
      </c>
      <c r="K583" s="16">
        <v>9</v>
      </c>
      <c r="L583" s="95" t="s">
        <v>588</v>
      </c>
      <c r="M583" s="96" t="s">
        <v>556</v>
      </c>
      <c r="N583" s="96" t="s">
        <v>585</v>
      </c>
      <c r="O583" s="96" t="s">
        <v>641</v>
      </c>
      <c r="P583" s="10">
        <v>240</v>
      </c>
      <c r="Q583" s="214">
        <f>51-1-17.7-11</f>
        <v>21.299999999999997</v>
      </c>
      <c r="R583" s="214"/>
      <c r="S583" s="214"/>
    </row>
    <row r="584" spans="1:19" ht="35.25" customHeight="1">
      <c r="A584" s="99"/>
      <c r="B584" s="98"/>
      <c r="C584" s="103"/>
      <c r="D584" s="101"/>
      <c r="E584" s="104"/>
      <c r="F584" s="104"/>
      <c r="G584" s="89"/>
      <c r="H584" s="259" t="s">
        <v>494</v>
      </c>
      <c r="I584" s="10">
        <v>663</v>
      </c>
      <c r="J584" s="16">
        <v>7</v>
      </c>
      <c r="K584" s="16">
        <v>9</v>
      </c>
      <c r="L584" s="95" t="s">
        <v>588</v>
      </c>
      <c r="M584" s="96" t="s">
        <v>556</v>
      </c>
      <c r="N584" s="96" t="s">
        <v>585</v>
      </c>
      <c r="O584" s="96" t="s">
        <v>293</v>
      </c>
      <c r="P584" s="10"/>
      <c r="Q584" s="214">
        <f>Q585</f>
        <v>6</v>
      </c>
      <c r="R584" s="214"/>
      <c r="S584" s="214"/>
    </row>
    <row r="585" spans="1:19" ht="29.25" customHeight="1">
      <c r="A585" s="99"/>
      <c r="B585" s="98"/>
      <c r="C585" s="103"/>
      <c r="D585" s="101"/>
      <c r="E585" s="104"/>
      <c r="F585" s="104"/>
      <c r="G585" s="89"/>
      <c r="H585" s="259" t="s">
        <v>715</v>
      </c>
      <c r="I585" s="10">
        <v>663</v>
      </c>
      <c r="J585" s="16">
        <v>7</v>
      </c>
      <c r="K585" s="16">
        <v>9</v>
      </c>
      <c r="L585" s="95" t="s">
        <v>588</v>
      </c>
      <c r="M585" s="96" t="s">
        <v>556</v>
      </c>
      <c r="N585" s="96" t="s">
        <v>585</v>
      </c>
      <c r="O585" s="96" t="s">
        <v>293</v>
      </c>
      <c r="P585" s="10">
        <v>110</v>
      </c>
      <c r="Q585" s="214">
        <f>5.5+0.5</f>
        <v>6</v>
      </c>
      <c r="R585" s="214"/>
      <c r="S585" s="214"/>
    </row>
    <row r="586" spans="1:19" ht="39" customHeight="1">
      <c r="A586" s="99"/>
      <c r="B586" s="98"/>
      <c r="C586" s="103"/>
      <c r="D586" s="101"/>
      <c r="E586" s="104"/>
      <c r="F586" s="104"/>
      <c r="G586" s="89"/>
      <c r="H586" s="22" t="s">
        <v>323</v>
      </c>
      <c r="I586" s="10">
        <v>663</v>
      </c>
      <c r="J586" s="16">
        <v>7</v>
      </c>
      <c r="K586" s="16">
        <v>9</v>
      </c>
      <c r="L586" s="95" t="s">
        <v>588</v>
      </c>
      <c r="M586" s="96" t="s">
        <v>556</v>
      </c>
      <c r="N586" s="96" t="s">
        <v>585</v>
      </c>
      <c r="O586" s="96" t="s">
        <v>322</v>
      </c>
      <c r="P586" s="10"/>
      <c r="Q586" s="214">
        <f>Q587+Q588</f>
        <v>6667.2</v>
      </c>
      <c r="R586" s="214"/>
      <c r="S586" s="214"/>
    </row>
    <row r="587" spans="1:19" ht="33" customHeight="1">
      <c r="A587" s="99"/>
      <c r="B587" s="98"/>
      <c r="C587" s="103"/>
      <c r="D587" s="101"/>
      <c r="E587" s="104"/>
      <c r="F587" s="104"/>
      <c r="G587" s="89"/>
      <c r="H587" s="22" t="s">
        <v>717</v>
      </c>
      <c r="I587" s="10">
        <v>663</v>
      </c>
      <c r="J587" s="16">
        <v>7</v>
      </c>
      <c r="K587" s="16">
        <v>9</v>
      </c>
      <c r="L587" s="95" t="s">
        <v>588</v>
      </c>
      <c r="M587" s="96" t="s">
        <v>556</v>
      </c>
      <c r="N587" s="96" t="s">
        <v>585</v>
      </c>
      <c r="O587" s="96" t="s">
        <v>322</v>
      </c>
      <c r="P587" s="10">
        <v>320</v>
      </c>
      <c r="Q587" s="214">
        <f>1956.6-7.8</f>
        <v>1948.8</v>
      </c>
      <c r="R587" s="214"/>
      <c r="S587" s="214"/>
    </row>
    <row r="588" spans="1:19" ht="33" customHeight="1">
      <c r="A588" s="99"/>
      <c r="B588" s="98"/>
      <c r="C588" s="103"/>
      <c r="D588" s="101"/>
      <c r="E588" s="104"/>
      <c r="F588" s="104"/>
      <c r="G588" s="89"/>
      <c r="H588" s="5" t="s">
        <v>714</v>
      </c>
      <c r="I588" s="10">
        <v>663</v>
      </c>
      <c r="J588" s="16">
        <v>7</v>
      </c>
      <c r="K588" s="16">
        <v>9</v>
      </c>
      <c r="L588" s="95" t="s">
        <v>588</v>
      </c>
      <c r="M588" s="96" t="s">
        <v>556</v>
      </c>
      <c r="N588" s="96" t="s">
        <v>585</v>
      </c>
      <c r="O588" s="96" t="s">
        <v>322</v>
      </c>
      <c r="P588" s="10">
        <v>610</v>
      </c>
      <c r="Q588" s="214">
        <f>7298.8+1051.1-251.5-3380</f>
        <v>4718.4</v>
      </c>
      <c r="R588" s="214"/>
      <c r="S588" s="214"/>
    </row>
    <row r="589" spans="1:19" ht="27" customHeight="1">
      <c r="A589" s="99"/>
      <c r="B589" s="98"/>
      <c r="C589" s="103"/>
      <c r="D589" s="101"/>
      <c r="E589" s="104"/>
      <c r="F589" s="104"/>
      <c r="G589" s="89"/>
      <c r="H589" s="11" t="s">
        <v>784</v>
      </c>
      <c r="I589" s="10">
        <v>663</v>
      </c>
      <c r="J589" s="16">
        <v>7</v>
      </c>
      <c r="K589" s="16">
        <v>9</v>
      </c>
      <c r="L589" s="95" t="s">
        <v>588</v>
      </c>
      <c r="M589" s="96" t="s">
        <v>556</v>
      </c>
      <c r="N589" s="96" t="s">
        <v>586</v>
      </c>
      <c r="O589" s="96" t="s">
        <v>613</v>
      </c>
      <c r="P589" s="10"/>
      <c r="Q589" s="214">
        <f>Q590+Q593</f>
        <v>2073.1</v>
      </c>
      <c r="R589" s="214"/>
      <c r="S589" s="214"/>
    </row>
    <row r="590" spans="1:19" ht="18" customHeight="1">
      <c r="A590" s="99"/>
      <c r="B590" s="98"/>
      <c r="C590" s="103"/>
      <c r="D590" s="101"/>
      <c r="E590" s="104"/>
      <c r="F590" s="104"/>
      <c r="G590" s="89"/>
      <c r="H590" s="11" t="s">
        <v>335</v>
      </c>
      <c r="I590" s="10">
        <v>663</v>
      </c>
      <c r="J590" s="16">
        <v>7</v>
      </c>
      <c r="K590" s="16">
        <v>9</v>
      </c>
      <c r="L590" s="95" t="s">
        <v>588</v>
      </c>
      <c r="M590" s="96" t="s">
        <v>556</v>
      </c>
      <c r="N590" s="96" t="s">
        <v>586</v>
      </c>
      <c r="O590" s="96" t="s">
        <v>641</v>
      </c>
      <c r="P590" s="10"/>
      <c r="Q590" s="214">
        <f>Q592+Q591</f>
        <v>2068.1</v>
      </c>
      <c r="R590" s="214"/>
      <c r="S590" s="214"/>
    </row>
    <row r="591" spans="1:19" ht="18" customHeight="1" hidden="1">
      <c r="A591" s="99"/>
      <c r="B591" s="98"/>
      <c r="C591" s="103"/>
      <c r="D591" s="101"/>
      <c r="E591" s="104"/>
      <c r="F591" s="104"/>
      <c r="G591" s="89"/>
      <c r="H591" s="22" t="s">
        <v>712</v>
      </c>
      <c r="I591" s="10">
        <v>663</v>
      </c>
      <c r="J591" s="16">
        <v>7</v>
      </c>
      <c r="K591" s="16">
        <v>9</v>
      </c>
      <c r="L591" s="95" t="s">
        <v>588</v>
      </c>
      <c r="M591" s="96" t="s">
        <v>556</v>
      </c>
      <c r="N591" s="96" t="s">
        <v>586</v>
      </c>
      <c r="O591" s="96" t="s">
        <v>641</v>
      </c>
      <c r="P591" s="10">
        <v>240</v>
      </c>
      <c r="Q591" s="214">
        <f>70-70</f>
        <v>0</v>
      </c>
      <c r="R591" s="214"/>
      <c r="S591" s="214"/>
    </row>
    <row r="592" spans="1:19" ht="37.5" customHeight="1">
      <c r="A592" s="99"/>
      <c r="B592" s="98"/>
      <c r="C592" s="103"/>
      <c r="D592" s="101"/>
      <c r="E592" s="104"/>
      <c r="F592" s="104"/>
      <c r="G592" s="89"/>
      <c r="H592" s="11" t="s">
        <v>205</v>
      </c>
      <c r="I592" s="10">
        <v>663</v>
      </c>
      <c r="J592" s="16">
        <v>7</v>
      </c>
      <c r="K592" s="16">
        <v>9</v>
      </c>
      <c r="L592" s="95" t="s">
        <v>588</v>
      </c>
      <c r="M592" s="96" t="s">
        <v>556</v>
      </c>
      <c r="N592" s="96" t="s">
        <v>586</v>
      </c>
      <c r="O592" s="96" t="s">
        <v>641</v>
      </c>
      <c r="P592" s="10">
        <v>630</v>
      </c>
      <c r="Q592" s="214">
        <f>1507+129.3+231.8+200</f>
        <v>2068.1</v>
      </c>
      <c r="R592" s="214"/>
      <c r="S592" s="214"/>
    </row>
    <row r="593" spans="1:19" ht="39" customHeight="1">
      <c r="A593" s="99"/>
      <c r="B593" s="98"/>
      <c r="C593" s="103"/>
      <c r="D593" s="101"/>
      <c r="E593" s="104"/>
      <c r="F593" s="104"/>
      <c r="G593" s="89"/>
      <c r="H593" s="11" t="s">
        <v>320</v>
      </c>
      <c r="I593" s="10">
        <v>663</v>
      </c>
      <c r="J593" s="16">
        <v>7</v>
      </c>
      <c r="K593" s="16">
        <v>9</v>
      </c>
      <c r="L593" s="95" t="s">
        <v>588</v>
      </c>
      <c r="M593" s="96" t="s">
        <v>556</v>
      </c>
      <c r="N593" s="96" t="s">
        <v>586</v>
      </c>
      <c r="O593" s="96" t="s">
        <v>293</v>
      </c>
      <c r="P593" s="10"/>
      <c r="Q593" s="214">
        <f>Q594</f>
        <v>5</v>
      </c>
      <c r="R593" s="214"/>
      <c r="S593" s="214"/>
    </row>
    <row r="594" spans="1:19" ht="24.75" customHeight="1">
      <c r="A594" s="99"/>
      <c r="B594" s="98"/>
      <c r="C594" s="103"/>
      <c r="D594" s="101"/>
      <c r="E594" s="104"/>
      <c r="F594" s="104"/>
      <c r="G594" s="89"/>
      <c r="H594" s="11" t="s">
        <v>712</v>
      </c>
      <c r="I594" s="10">
        <v>663</v>
      </c>
      <c r="J594" s="16">
        <v>7</v>
      </c>
      <c r="K594" s="16">
        <v>9</v>
      </c>
      <c r="L594" s="95" t="s">
        <v>588</v>
      </c>
      <c r="M594" s="96" t="s">
        <v>556</v>
      </c>
      <c r="N594" s="96" t="s">
        <v>586</v>
      </c>
      <c r="O594" s="96" t="s">
        <v>293</v>
      </c>
      <c r="P594" s="10">
        <v>240</v>
      </c>
      <c r="Q594" s="214">
        <f>75-70</f>
        <v>5</v>
      </c>
      <c r="R594" s="214"/>
      <c r="S594" s="214"/>
    </row>
    <row r="595" spans="1:19" ht="28.5" customHeight="1" hidden="1">
      <c r="A595" s="99"/>
      <c r="B595" s="98"/>
      <c r="C595" s="103"/>
      <c r="D595" s="101"/>
      <c r="E595" s="104"/>
      <c r="F595" s="104"/>
      <c r="G595" s="89"/>
      <c r="H595" s="22" t="s">
        <v>651</v>
      </c>
      <c r="I595" s="10">
        <v>663</v>
      </c>
      <c r="J595" s="16">
        <v>7</v>
      </c>
      <c r="K595" s="16">
        <v>9</v>
      </c>
      <c r="L595" s="95" t="s">
        <v>588</v>
      </c>
      <c r="M595" s="96" t="s">
        <v>556</v>
      </c>
      <c r="N595" s="96" t="s">
        <v>581</v>
      </c>
      <c r="O595" s="96" t="s">
        <v>613</v>
      </c>
      <c r="P595" s="10"/>
      <c r="Q595" s="214">
        <f>Q596+Q598</f>
        <v>0</v>
      </c>
      <c r="R595" s="214"/>
      <c r="S595" s="214"/>
    </row>
    <row r="596" spans="1:19" ht="28.5" customHeight="1" hidden="1">
      <c r="A596" s="99"/>
      <c r="B596" s="98"/>
      <c r="C596" s="103"/>
      <c r="D596" s="101"/>
      <c r="E596" s="104"/>
      <c r="F596" s="104"/>
      <c r="G596" s="89"/>
      <c r="H596" s="22" t="s">
        <v>335</v>
      </c>
      <c r="I596" s="10">
        <v>663</v>
      </c>
      <c r="J596" s="16">
        <v>7</v>
      </c>
      <c r="K596" s="16">
        <v>9</v>
      </c>
      <c r="L596" s="95" t="s">
        <v>588</v>
      </c>
      <c r="M596" s="96" t="s">
        <v>556</v>
      </c>
      <c r="N596" s="96" t="s">
        <v>581</v>
      </c>
      <c r="O596" s="96" t="s">
        <v>641</v>
      </c>
      <c r="P596" s="10"/>
      <c r="Q596" s="214">
        <f>Q597</f>
        <v>0</v>
      </c>
      <c r="R596" s="214"/>
      <c r="S596" s="214"/>
    </row>
    <row r="597" spans="1:19" ht="28.5" customHeight="1" hidden="1">
      <c r="A597" s="99"/>
      <c r="B597" s="98"/>
      <c r="C597" s="103"/>
      <c r="D597" s="101"/>
      <c r="E597" s="104"/>
      <c r="F597" s="104"/>
      <c r="G597" s="89"/>
      <c r="H597" s="22" t="s">
        <v>712</v>
      </c>
      <c r="I597" s="10">
        <v>663</v>
      </c>
      <c r="J597" s="16">
        <v>7</v>
      </c>
      <c r="K597" s="16">
        <v>9</v>
      </c>
      <c r="L597" s="95" t="s">
        <v>588</v>
      </c>
      <c r="M597" s="96" t="s">
        <v>556</v>
      </c>
      <c r="N597" s="96" t="s">
        <v>581</v>
      </c>
      <c r="O597" s="96" t="s">
        <v>641</v>
      </c>
      <c r="P597" s="10">
        <v>240</v>
      </c>
      <c r="Q597" s="214">
        <f>11.5+30-17.8-12.2-0.2-1.3-10</f>
        <v>0</v>
      </c>
      <c r="R597" s="214"/>
      <c r="S597" s="214"/>
    </row>
    <row r="598" spans="1:19" ht="41.25" customHeight="1" hidden="1">
      <c r="A598" s="99"/>
      <c r="B598" s="98"/>
      <c r="C598" s="103"/>
      <c r="D598" s="101"/>
      <c r="E598" s="104"/>
      <c r="F598" s="104"/>
      <c r="G598" s="89"/>
      <c r="H598" s="22" t="s">
        <v>494</v>
      </c>
      <c r="I598" s="10">
        <v>663</v>
      </c>
      <c r="J598" s="16">
        <v>7</v>
      </c>
      <c r="K598" s="16">
        <v>9</v>
      </c>
      <c r="L598" s="95" t="s">
        <v>588</v>
      </c>
      <c r="M598" s="96" t="s">
        <v>556</v>
      </c>
      <c r="N598" s="96" t="s">
        <v>581</v>
      </c>
      <c r="O598" s="96" t="s">
        <v>293</v>
      </c>
      <c r="P598" s="10"/>
      <c r="Q598" s="214">
        <f>Q599</f>
        <v>0</v>
      </c>
      <c r="R598" s="214"/>
      <c r="S598" s="214"/>
    </row>
    <row r="599" spans="1:19" ht="30" customHeight="1" hidden="1">
      <c r="A599" s="99"/>
      <c r="B599" s="98"/>
      <c r="C599" s="103"/>
      <c r="D599" s="101"/>
      <c r="E599" s="104"/>
      <c r="F599" s="104"/>
      <c r="G599" s="89"/>
      <c r="H599" s="22" t="s">
        <v>712</v>
      </c>
      <c r="I599" s="10">
        <v>663</v>
      </c>
      <c r="J599" s="16">
        <v>7</v>
      </c>
      <c r="K599" s="16">
        <v>9</v>
      </c>
      <c r="L599" s="95" t="s">
        <v>588</v>
      </c>
      <c r="M599" s="96" t="s">
        <v>556</v>
      </c>
      <c r="N599" s="96" t="s">
        <v>581</v>
      </c>
      <c r="O599" s="96" t="s">
        <v>293</v>
      </c>
      <c r="P599" s="10">
        <v>240</v>
      </c>
      <c r="Q599" s="214">
        <f>30-30</f>
        <v>0</v>
      </c>
      <c r="R599" s="214"/>
      <c r="S599" s="214"/>
    </row>
    <row r="600" spans="1:19" ht="29.25" customHeight="1">
      <c r="A600" s="99"/>
      <c r="B600" s="98"/>
      <c r="C600" s="103"/>
      <c r="D600" s="101"/>
      <c r="E600" s="104"/>
      <c r="F600" s="104"/>
      <c r="G600" s="89"/>
      <c r="H600" s="22" t="s">
        <v>14</v>
      </c>
      <c r="I600" s="10">
        <v>663</v>
      </c>
      <c r="J600" s="16">
        <v>7</v>
      </c>
      <c r="K600" s="16">
        <v>9</v>
      </c>
      <c r="L600" s="95" t="s">
        <v>588</v>
      </c>
      <c r="M600" s="96" t="s">
        <v>556</v>
      </c>
      <c r="N600" s="96" t="s">
        <v>588</v>
      </c>
      <c r="O600" s="96" t="s">
        <v>613</v>
      </c>
      <c r="P600" s="10"/>
      <c r="Q600" s="214">
        <f>Q601+Q610+Q608+Q606</f>
        <v>4369.8</v>
      </c>
      <c r="R600" s="214"/>
      <c r="S600" s="214"/>
    </row>
    <row r="601" spans="1:19" ht="27" customHeight="1">
      <c r="A601" s="99"/>
      <c r="B601" s="98"/>
      <c r="C601" s="103"/>
      <c r="D601" s="101"/>
      <c r="E601" s="104"/>
      <c r="F601" s="104"/>
      <c r="G601" s="89"/>
      <c r="H601" s="22" t="s">
        <v>335</v>
      </c>
      <c r="I601" s="10">
        <v>663</v>
      </c>
      <c r="J601" s="16">
        <v>7</v>
      </c>
      <c r="K601" s="16">
        <v>9</v>
      </c>
      <c r="L601" s="95" t="s">
        <v>588</v>
      </c>
      <c r="M601" s="96" t="s">
        <v>556</v>
      </c>
      <c r="N601" s="96" t="s">
        <v>588</v>
      </c>
      <c r="O601" s="96" t="s">
        <v>641</v>
      </c>
      <c r="P601" s="10"/>
      <c r="Q601" s="214">
        <f>SUM(Q602:Q605)</f>
        <v>3094.7</v>
      </c>
      <c r="R601" s="214"/>
      <c r="S601" s="214"/>
    </row>
    <row r="602" spans="1:19" ht="27" customHeight="1">
      <c r="A602" s="99"/>
      <c r="B602" s="98"/>
      <c r="C602" s="103"/>
      <c r="D602" s="101"/>
      <c r="E602" s="104"/>
      <c r="F602" s="104"/>
      <c r="G602" s="89"/>
      <c r="H602" s="22" t="s">
        <v>526</v>
      </c>
      <c r="I602" s="10">
        <v>663</v>
      </c>
      <c r="J602" s="16">
        <v>7</v>
      </c>
      <c r="K602" s="16">
        <v>9</v>
      </c>
      <c r="L602" s="95" t="s">
        <v>588</v>
      </c>
      <c r="M602" s="96" t="s">
        <v>556</v>
      </c>
      <c r="N602" s="96" t="s">
        <v>588</v>
      </c>
      <c r="O602" s="96" t="s">
        <v>641</v>
      </c>
      <c r="P602" s="10">
        <v>120</v>
      </c>
      <c r="Q602" s="214">
        <f>1916.7+1357.6-28.3+1.4-284-151.3</f>
        <v>2812.1</v>
      </c>
      <c r="R602" s="214"/>
      <c r="S602" s="214"/>
    </row>
    <row r="603" spans="1:19" ht="26.25" customHeight="1">
      <c r="A603" s="99"/>
      <c r="B603" s="98"/>
      <c r="C603" s="103"/>
      <c r="D603" s="101"/>
      <c r="E603" s="104"/>
      <c r="F603" s="104"/>
      <c r="G603" s="89"/>
      <c r="H603" s="22" t="s">
        <v>712</v>
      </c>
      <c r="I603" s="10">
        <v>663</v>
      </c>
      <c r="J603" s="16">
        <v>7</v>
      </c>
      <c r="K603" s="16">
        <v>9</v>
      </c>
      <c r="L603" s="95" t="s">
        <v>588</v>
      </c>
      <c r="M603" s="96" t="s">
        <v>556</v>
      </c>
      <c r="N603" s="96" t="s">
        <v>588</v>
      </c>
      <c r="O603" s="96" t="s">
        <v>641</v>
      </c>
      <c r="P603" s="10">
        <v>240</v>
      </c>
      <c r="Q603" s="214">
        <f>469-344+90+25.7-9-1.4+25.8+1-0.8-1-1.3-0.7</f>
        <v>253.29999999999995</v>
      </c>
      <c r="R603" s="214"/>
      <c r="S603" s="214"/>
    </row>
    <row r="604" spans="1:19" ht="26.25" customHeight="1">
      <c r="A604" s="99"/>
      <c r="B604" s="98"/>
      <c r="C604" s="103"/>
      <c r="D604" s="101"/>
      <c r="E604" s="104"/>
      <c r="F604" s="104"/>
      <c r="G604" s="89"/>
      <c r="H604" s="22" t="s">
        <v>717</v>
      </c>
      <c r="I604" s="10">
        <v>663</v>
      </c>
      <c r="J604" s="16">
        <v>7</v>
      </c>
      <c r="K604" s="16">
        <v>9</v>
      </c>
      <c r="L604" s="95" t="s">
        <v>588</v>
      </c>
      <c r="M604" s="96" t="s">
        <v>556</v>
      </c>
      <c r="N604" s="96" t="s">
        <v>588</v>
      </c>
      <c r="O604" s="96" t="s">
        <v>641</v>
      </c>
      <c r="P604" s="10">
        <v>320</v>
      </c>
      <c r="Q604" s="214">
        <v>28.3</v>
      </c>
      <c r="R604" s="214"/>
      <c r="S604" s="214"/>
    </row>
    <row r="605" spans="1:19" ht="26.25" customHeight="1">
      <c r="A605" s="99"/>
      <c r="B605" s="98"/>
      <c r="C605" s="103"/>
      <c r="D605" s="101"/>
      <c r="E605" s="104"/>
      <c r="F605" s="104"/>
      <c r="G605" s="89"/>
      <c r="H605" s="11" t="s">
        <v>713</v>
      </c>
      <c r="I605" s="10">
        <v>663</v>
      </c>
      <c r="J605" s="16">
        <v>7</v>
      </c>
      <c r="K605" s="16">
        <v>9</v>
      </c>
      <c r="L605" s="95" t="s">
        <v>588</v>
      </c>
      <c r="M605" s="96" t="s">
        <v>556</v>
      </c>
      <c r="N605" s="96" t="s">
        <v>588</v>
      </c>
      <c r="O605" s="96" t="s">
        <v>641</v>
      </c>
      <c r="P605" s="10">
        <v>850</v>
      </c>
      <c r="Q605" s="214">
        <v>1</v>
      </c>
      <c r="R605" s="214"/>
      <c r="S605" s="214"/>
    </row>
    <row r="606" spans="1:19" ht="48" customHeight="1" hidden="1">
      <c r="A606" s="99"/>
      <c r="B606" s="98"/>
      <c r="C606" s="103"/>
      <c r="D606" s="101"/>
      <c r="E606" s="104"/>
      <c r="F606" s="104"/>
      <c r="G606" s="89"/>
      <c r="H606" s="108" t="s">
        <v>864</v>
      </c>
      <c r="I606" s="10">
        <v>663</v>
      </c>
      <c r="J606" s="16">
        <v>7</v>
      </c>
      <c r="K606" s="16">
        <v>9</v>
      </c>
      <c r="L606" s="95" t="s">
        <v>588</v>
      </c>
      <c r="M606" s="96" t="s">
        <v>556</v>
      </c>
      <c r="N606" s="96" t="s">
        <v>588</v>
      </c>
      <c r="O606" s="96" t="s">
        <v>863</v>
      </c>
      <c r="P606" s="10"/>
      <c r="Q606" s="214">
        <f>Q607</f>
        <v>0</v>
      </c>
      <c r="R606" s="214"/>
      <c r="S606" s="214"/>
    </row>
    <row r="607" spans="1:19" ht="26.25" customHeight="1" hidden="1">
      <c r="A607" s="99"/>
      <c r="B607" s="98"/>
      <c r="C607" s="103"/>
      <c r="D607" s="101"/>
      <c r="E607" s="104"/>
      <c r="F607" s="104"/>
      <c r="G607" s="89"/>
      <c r="H607" s="11" t="s">
        <v>526</v>
      </c>
      <c r="I607" s="10">
        <v>663</v>
      </c>
      <c r="J607" s="16">
        <v>7</v>
      </c>
      <c r="K607" s="16">
        <v>9</v>
      </c>
      <c r="L607" s="95" t="s">
        <v>588</v>
      </c>
      <c r="M607" s="96" t="s">
        <v>556</v>
      </c>
      <c r="N607" s="96" t="s">
        <v>588</v>
      </c>
      <c r="O607" s="96" t="s">
        <v>863</v>
      </c>
      <c r="P607" s="10">
        <v>120</v>
      </c>
      <c r="Q607" s="214">
        <v>0</v>
      </c>
      <c r="R607" s="214"/>
      <c r="S607" s="214"/>
    </row>
    <row r="608" spans="1:19" ht="40.5" customHeight="1">
      <c r="A608" s="99"/>
      <c r="B608" s="98"/>
      <c r="C608" s="103"/>
      <c r="D608" s="101"/>
      <c r="E608" s="104"/>
      <c r="F608" s="104"/>
      <c r="G608" s="89"/>
      <c r="H608" s="259" t="s">
        <v>61</v>
      </c>
      <c r="I608" s="10">
        <v>663</v>
      </c>
      <c r="J608" s="16">
        <v>7</v>
      </c>
      <c r="K608" s="16">
        <v>9</v>
      </c>
      <c r="L608" s="95" t="s">
        <v>588</v>
      </c>
      <c r="M608" s="96" t="s">
        <v>556</v>
      </c>
      <c r="N608" s="96" t="s">
        <v>588</v>
      </c>
      <c r="O608" s="96" t="s">
        <v>60</v>
      </c>
      <c r="P608" s="10"/>
      <c r="Q608" s="214">
        <f>Q609</f>
        <v>655.5</v>
      </c>
      <c r="R608" s="214"/>
      <c r="S608" s="214"/>
    </row>
    <row r="609" spans="1:19" ht="26.25" customHeight="1">
      <c r="A609" s="99"/>
      <c r="B609" s="98"/>
      <c r="C609" s="103"/>
      <c r="D609" s="101"/>
      <c r="E609" s="104"/>
      <c r="F609" s="104"/>
      <c r="G609" s="89"/>
      <c r="H609" s="22" t="s">
        <v>526</v>
      </c>
      <c r="I609" s="10">
        <v>663</v>
      </c>
      <c r="J609" s="16">
        <v>7</v>
      </c>
      <c r="K609" s="16">
        <v>9</v>
      </c>
      <c r="L609" s="95" t="s">
        <v>588</v>
      </c>
      <c r="M609" s="96" t="s">
        <v>556</v>
      </c>
      <c r="N609" s="96" t="s">
        <v>588</v>
      </c>
      <c r="O609" s="96" t="s">
        <v>60</v>
      </c>
      <c r="P609" s="10">
        <v>120</v>
      </c>
      <c r="Q609" s="214">
        <f>326.2+329.3</f>
        <v>655.5</v>
      </c>
      <c r="R609" s="214"/>
      <c r="S609" s="214"/>
    </row>
    <row r="610" spans="1:19" ht="38.25" customHeight="1">
      <c r="A610" s="99"/>
      <c r="B610" s="98"/>
      <c r="C610" s="103"/>
      <c r="D610" s="101"/>
      <c r="E610" s="104"/>
      <c r="F610" s="104"/>
      <c r="G610" s="89"/>
      <c r="H610" s="259" t="s">
        <v>494</v>
      </c>
      <c r="I610" s="10">
        <v>663</v>
      </c>
      <c r="J610" s="16">
        <v>7</v>
      </c>
      <c r="K610" s="16">
        <v>9</v>
      </c>
      <c r="L610" s="95" t="s">
        <v>588</v>
      </c>
      <c r="M610" s="96" t="s">
        <v>556</v>
      </c>
      <c r="N610" s="96" t="s">
        <v>588</v>
      </c>
      <c r="O610" s="96" t="s">
        <v>293</v>
      </c>
      <c r="P610" s="10"/>
      <c r="Q610" s="214">
        <f>SUM(Q611:Q613)</f>
        <v>619.6000000000001</v>
      </c>
      <c r="R610" s="214"/>
      <c r="S610" s="214"/>
    </row>
    <row r="611" spans="1:19" ht="27" customHeight="1">
      <c r="A611" s="99"/>
      <c r="B611" s="98"/>
      <c r="C611" s="103"/>
      <c r="D611" s="101"/>
      <c r="E611" s="104"/>
      <c r="F611" s="104"/>
      <c r="G611" s="89"/>
      <c r="H611" s="259" t="s">
        <v>715</v>
      </c>
      <c r="I611" s="10">
        <v>663</v>
      </c>
      <c r="J611" s="16">
        <v>7</v>
      </c>
      <c r="K611" s="16">
        <v>9</v>
      </c>
      <c r="L611" s="95" t="s">
        <v>588</v>
      </c>
      <c r="M611" s="96" t="s">
        <v>556</v>
      </c>
      <c r="N611" s="96" t="s">
        <v>588</v>
      </c>
      <c r="O611" s="96" t="s">
        <v>293</v>
      </c>
      <c r="P611" s="10">
        <v>110</v>
      </c>
      <c r="Q611" s="214">
        <f>1944.8-0.1-1357.6</f>
        <v>587.1000000000001</v>
      </c>
      <c r="R611" s="214"/>
      <c r="S611" s="214"/>
    </row>
    <row r="612" spans="1:19" ht="22.5" customHeight="1">
      <c r="A612" s="99"/>
      <c r="B612" s="98"/>
      <c r="C612" s="103"/>
      <c r="D612" s="101"/>
      <c r="E612" s="104"/>
      <c r="F612" s="104"/>
      <c r="G612" s="89"/>
      <c r="H612" s="259" t="s">
        <v>712</v>
      </c>
      <c r="I612" s="10">
        <v>663</v>
      </c>
      <c r="J612" s="16">
        <v>7</v>
      </c>
      <c r="K612" s="16">
        <v>9</v>
      </c>
      <c r="L612" s="95" t="s">
        <v>588</v>
      </c>
      <c r="M612" s="96" t="s">
        <v>556</v>
      </c>
      <c r="N612" s="96" t="s">
        <v>588</v>
      </c>
      <c r="O612" s="96" t="s">
        <v>293</v>
      </c>
      <c r="P612" s="10">
        <v>240</v>
      </c>
      <c r="Q612" s="214">
        <f>59.1-0.2-26.7</f>
        <v>32.2</v>
      </c>
      <c r="R612" s="214"/>
      <c r="S612" s="214"/>
    </row>
    <row r="613" spans="1:19" ht="22.5" customHeight="1">
      <c r="A613" s="99"/>
      <c r="B613" s="98"/>
      <c r="C613" s="103"/>
      <c r="D613" s="101"/>
      <c r="E613" s="104"/>
      <c r="F613" s="104"/>
      <c r="G613" s="89"/>
      <c r="H613" s="11" t="s">
        <v>713</v>
      </c>
      <c r="I613" s="10">
        <v>663</v>
      </c>
      <c r="J613" s="16">
        <v>7</v>
      </c>
      <c r="K613" s="16">
        <v>9</v>
      </c>
      <c r="L613" s="95" t="s">
        <v>588</v>
      </c>
      <c r="M613" s="96" t="s">
        <v>556</v>
      </c>
      <c r="N613" s="96" t="s">
        <v>588</v>
      </c>
      <c r="O613" s="96" t="s">
        <v>293</v>
      </c>
      <c r="P613" s="10">
        <v>850</v>
      </c>
      <c r="Q613" s="214">
        <f>0.1+0.2</f>
        <v>0.30000000000000004</v>
      </c>
      <c r="R613" s="214"/>
      <c r="S613" s="214"/>
    </row>
    <row r="614" spans="1:19" ht="39" customHeight="1">
      <c r="A614" s="99"/>
      <c r="B614" s="98"/>
      <c r="C614" s="97"/>
      <c r="D614" s="101"/>
      <c r="E614" s="115"/>
      <c r="F614" s="115"/>
      <c r="G614" s="89"/>
      <c r="H614" s="117" t="s">
        <v>282</v>
      </c>
      <c r="I614" s="6">
        <v>663</v>
      </c>
      <c r="J614" s="19">
        <v>7</v>
      </c>
      <c r="K614" s="16">
        <v>9</v>
      </c>
      <c r="L614" s="95" t="s">
        <v>551</v>
      </c>
      <c r="M614" s="96" t="s">
        <v>556</v>
      </c>
      <c r="N614" s="96" t="s">
        <v>576</v>
      </c>
      <c r="O614" s="96" t="s">
        <v>613</v>
      </c>
      <c r="P614" s="6"/>
      <c r="Q614" s="216">
        <f>Q615+Q618</f>
        <v>30</v>
      </c>
      <c r="R614" s="216">
        <f aca="true" t="shared" si="44" ref="Q614:S619">R615</f>
        <v>30</v>
      </c>
      <c r="S614" s="216">
        <f t="shared" si="44"/>
        <v>0</v>
      </c>
    </row>
    <row r="615" spans="1:19" ht="41.25" customHeight="1">
      <c r="A615" s="99"/>
      <c r="B615" s="98"/>
      <c r="C615" s="97"/>
      <c r="D615" s="101"/>
      <c r="E615" s="115"/>
      <c r="F615" s="115"/>
      <c r="G615" s="89"/>
      <c r="H615" s="5" t="s">
        <v>283</v>
      </c>
      <c r="I615" s="6">
        <v>663</v>
      </c>
      <c r="J615" s="19">
        <v>7</v>
      </c>
      <c r="K615" s="16">
        <v>9</v>
      </c>
      <c r="L615" s="95" t="s">
        <v>551</v>
      </c>
      <c r="M615" s="96" t="s">
        <v>556</v>
      </c>
      <c r="N615" s="96" t="s">
        <v>557</v>
      </c>
      <c r="O615" s="96" t="s">
        <v>613</v>
      </c>
      <c r="P615" s="6"/>
      <c r="Q615" s="216">
        <f t="shared" si="44"/>
        <v>20</v>
      </c>
      <c r="R615" s="216">
        <f t="shared" si="44"/>
        <v>30</v>
      </c>
      <c r="S615" s="216">
        <f t="shared" si="44"/>
        <v>0</v>
      </c>
    </row>
    <row r="616" spans="1:19" ht="30.75" customHeight="1">
      <c r="A616" s="99"/>
      <c r="B616" s="98"/>
      <c r="C616" s="97"/>
      <c r="D616" s="101"/>
      <c r="E616" s="115"/>
      <c r="F616" s="115"/>
      <c r="G616" s="89"/>
      <c r="H616" s="5" t="s">
        <v>285</v>
      </c>
      <c r="I616" s="6">
        <v>663</v>
      </c>
      <c r="J616" s="19">
        <v>7</v>
      </c>
      <c r="K616" s="16">
        <v>9</v>
      </c>
      <c r="L616" s="95" t="s">
        <v>551</v>
      </c>
      <c r="M616" s="96" t="s">
        <v>556</v>
      </c>
      <c r="N616" s="96" t="s">
        <v>557</v>
      </c>
      <c r="O616" s="96" t="s">
        <v>284</v>
      </c>
      <c r="P616" s="6"/>
      <c r="Q616" s="216">
        <f t="shared" si="44"/>
        <v>20</v>
      </c>
      <c r="R616" s="216">
        <f t="shared" si="44"/>
        <v>30</v>
      </c>
      <c r="S616" s="216">
        <f t="shared" si="44"/>
        <v>0</v>
      </c>
    </row>
    <row r="617" spans="1:19" ht="29.25" customHeight="1">
      <c r="A617" s="99"/>
      <c r="B617" s="98"/>
      <c r="C617" s="97"/>
      <c r="D617" s="101"/>
      <c r="E617" s="115"/>
      <c r="F617" s="115"/>
      <c r="G617" s="89"/>
      <c r="H617" s="259" t="s">
        <v>712</v>
      </c>
      <c r="I617" s="6">
        <v>663</v>
      </c>
      <c r="J617" s="19">
        <v>7</v>
      </c>
      <c r="K617" s="16">
        <v>9</v>
      </c>
      <c r="L617" s="95" t="s">
        <v>551</v>
      </c>
      <c r="M617" s="96" t="s">
        <v>556</v>
      </c>
      <c r="N617" s="96" t="s">
        <v>557</v>
      </c>
      <c r="O617" s="96" t="s">
        <v>284</v>
      </c>
      <c r="P617" s="6">
        <v>240</v>
      </c>
      <c r="Q617" s="216">
        <v>20</v>
      </c>
      <c r="R617" s="216">
        <v>30</v>
      </c>
      <c r="S617" s="216">
        <v>0</v>
      </c>
    </row>
    <row r="618" spans="1:19" ht="36.75" customHeight="1">
      <c r="A618" s="99"/>
      <c r="B618" s="98"/>
      <c r="C618" s="97"/>
      <c r="D618" s="101"/>
      <c r="E618" s="115"/>
      <c r="F618" s="115"/>
      <c r="G618" s="89"/>
      <c r="H618" s="5" t="s">
        <v>112</v>
      </c>
      <c r="I618" s="6">
        <v>663</v>
      </c>
      <c r="J618" s="19">
        <v>7</v>
      </c>
      <c r="K618" s="16">
        <v>9</v>
      </c>
      <c r="L618" s="95" t="s">
        <v>551</v>
      </c>
      <c r="M618" s="96" t="s">
        <v>556</v>
      </c>
      <c r="N618" s="96" t="s">
        <v>585</v>
      </c>
      <c r="O618" s="96" t="s">
        <v>613</v>
      </c>
      <c r="P618" s="6"/>
      <c r="Q618" s="216">
        <f t="shared" si="44"/>
        <v>10</v>
      </c>
      <c r="R618" s="216">
        <f t="shared" si="44"/>
        <v>30</v>
      </c>
      <c r="S618" s="216">
        <f t="shared" si="44"/>
        <v>0</v>
      </c>
    </row>
    <row r="619" spans="1:19" ht="30.75" customHeight="1">
      <c r="A619" s="99"/>
      <c r="B619" s="98"/>
      <c r="C619" s="97"/>
      <c r="D619" s="101"/>
      <c r="E619" s="115"/>
      <c r="F619" s="115"/>
      <c r="G619" s="89"/>
      <c r="H619" s="5" t="s">
        <v>285</v>
      </c>
      <c r="I619" s="6">
        <v>663</v>
      </c>
      <c r="J619" s="19">
        <v>7</v>
      </c>
      <c r="K619" s="16">
        <v>9</v>
      </c>
      <c r="L619" s="95" t="s">
        <v>551</v>
      </c>
      <c r="M619" s="96" t="s">
        <v>556</v>
      </c>
      <c r="N619" s="96" t="s">
        <v>585</v>
      </c>
      <c r="O619" s="96" t="s">
        <v>284</v>
      </c>
      <c r="P619" s="6"/>
      <c r="Q619" s="216">
        <f t="shared" si="44"/>
        <v>10</v>
      </c>
      <c r="R619" s="216">
        <f t="shared" si="44"/>
        <v>30</v>
      </c>
      <c r="S619" s="216">
        <f t="shared" si="44"/>
        <v>0</v>
      </c>
    </row>
    <row r="620" spans="1:19" ht="29.25" customHeight="1">
      <c r="A620" s="99"/>
      <c r="B620" s="98"/>
      <c r="C620" s="97"/>
      <c r="D620" s="101"/>
      <c r="E620" s="115"/>
      <c r="F620" s="115"/>
      <c r="G620" s="89"/>
      <c r="H620" s="259" t="s">
        <v>712</v>
      </c>
      <c r="I620" s="6">
        <v>663</v>
      </c>
      <c r="J620" s="19">
        <v>7</v>
      </c>
      <c r="K620" s="16">
        <v>9</v>
      </c>
      <c r="L620" s="95" t="s">
        <v>551</v>
      </c>
      <c r="M620" s="96" t="s">
        <v>556</v>
      </c>
      <c r="N620" s="96" t="s">
        <v>585</v>
      </c>
      <c r="O620" s="96" t="s">
        <v>284</v>
      </c>
      <c r="P620" s="6">
        <v>240</v>
      </c>
      <c r="Q620" s="216">
        <v>10</v>
      </c>
      <c r="R620" s="216">
        <v>30</v>
      </c>
      <c r="S620" s="216">
        <v>0</v>
      </c>
    </row>
    <row r="621" spans="1:19" ht="30.75" customHeight="1">
      <c r="A621" s="99"/>
      <c r="B621" s="98"/>
      <c r="C621" s="103"/>
      <c r="D621" s="101"/>
      <c r="E621" s="104"/>
      <c r="F621" s="104"/>
      <c r="G621" s="89"/>
      <c r="H621" s="5" t="s">
        <v>470</v>
      </c>
      <c r="I621" s="10">
        <v>663</v>
      </c>
      <c r="J621" s="16">
        <v>7</v>
      </c>
      <c r="K621" s="16">
        <v>9</v>
      </c>
      <c r="L621" s="95" t="s">
        <v>590</v>
      </c>
      <c r="M621" s="96" t="s">
        <v>556</v>
      </c>
      <c r="N621" s="96" t="s">
        <v>576</v>
      </c>
      <c r="O621" s="96" t="s">
        <v>613</v>
      </c>
      <c r="P621" s="10"/>
      <c r="Q621" s="214">
        <f>Q622</f>
        <v>15</v>
      </c>
      <c r="R621" s="214"/>
      <c r="S621" s="214"/>
    </row>
    <row r="622" spans="1:19" ht="22.5" customHeight="1">
      <c r="A622" s="99"/>
      <c r="B622" s="98"/>
      <c r="C622" s="103"/>
      <c r="D622" s="101"/>
      <c r="E622" s="104"/>
      <c r="F622" s="104"/>
      <c r="G622" s="89"/>
      <c r="H622" s="5" t="s">
        <v>171</v>
      </c>
      <c r="I622" s="10">
        <v>663</v>
      </c>
      <c r="J622" s="16">
        <v>7</v>
      </c>
      <c r="K622" s="16">
        <v>9</v>
      </c>
      <c r="L622" s="95" t="s">
        <v>590</v>
      </c>
      <c r="M622" s="96" t="s">
        <v>558</v>
      </c>
      <c r="N622" s="96" t="s">
        <v>576</v>
      </c>
      <c r="O622" s="96" t="s">
        <v>613</v>
      </c>
      <c r="P622" s="10"/>
      <c r="Q622" s="214">
        <f>Q623</f>
        <v>15</v>
      </c>
      <c r="R622" s="214"/>
      <c r="S622" s="214"/>
    </row>
    <row r="623" spans="1:19" ht="30.75" customHeight="1">
      <c r="A623" s="99"/>
      <c r="B623" s="98"/>
      <c r="C623" s="103"/>
      <c r="D623" s="101"/>
      <c r="E623" s="104"/>
      <c r="F623" s="104"/>
      <c r="G623" s="89"/>
      <c r="H623" s="5" t="s">
        <v>172</v>
      </c>
      <c r="I623" s="10">
        <v>663</v>
      </c>
      <c r="J623" s="16">
        <v>7</v>
      </c>
      <c r="K623" s="16">
        <v>9</v>
      </c>
      <c r="L623" s="95" t="s">
        <v>590</v>
      </c>
      <c r="M623" s="96" t="s">
        <v>558</v>
      </c>
      <c r="N623" s="96" t="s">
        <v>585</v>
      </c>
      <c r="O623" s="96" t="s">
        <v>613</v>
      </c>
      <c r="P623" s="10"/>
      <c r="Q623" s="214">
        <f>Q624</f>
        <v>15</v>
      </c>
      <c r="R623" s="214"/>
      <c r="S623" s="214"/>
    </row>
    <row r="624" spans="1:19" ht="22.5" customHeight="1">
      <c r="A624" s="99"/>
      <c r="B624" s="98"/>
      <c r="C624" s="103"/>
      <c r="D624" s="101"/>
      <c r="E624" s="104"/>
      <c r="F624" s="104"/>
      <c r="G624" s="89"/>
      <c r="H624" s="5" t="s">
        <v>285</v>
      </c>
      <c r="I624" s="10">
        <v>663</v>
      </c>
      <c r="J624" s="16">
        <v>7</v>
      </c>
      <c r="K624" s="16">
        <v>9</v>
      </c>
      <c r="L624" s="95" t="s">
        <v>590</v>
      </c>
      <c r="M624" s="96" t="s">
        <v>558</v>
      </c>
      <c r="N624" s="96" t="s">
        <v>585</v>
      </c>
      <c r="O624" s="96" t="s">
        <v>284</v>
      </c>
      <c r="P624" s="10"/>
      <c r="Q624" s="214">
        <f>Q625</f>
        <v>15</v>
      </c>
      <c r="R624" s="214"/>
      <c r="S624" s="214"/>
    </row>
    <row r="625" spans="1:19" ht="22.5" customHeight="1">
      <c r="A625" s="99"/>
      <c r="B625" s="98"/>
      <c r="C625" s="103"/>
      <c r="D625" s="101"/>
      <c r="E625" s="104"/>
      <c r="F625" s="104"/>
      <c r="G625" s="89"/>
      <c r="H625" s="259" t="s">
        <v>712</v>
      </c>
      <c r="I625" s="10">
        <v>663</v>
      </c>
      <c r="J625" s="16">
        <v>7</v>
      </c>
      <c r="K625" s="16">
        <v>9</v>
      </c>
      <c r="L625" s="95" t="s">
        <v>590</v>
      </c>
      <c r="M625" s="96" t="s">
        <v>558</v>
      </c>
      <c r="N625" s="96" t="s">
        <v>585</v>
      </c>
      <c r="O625" s="96" t="s">
        <v>284</v>
      </c>
      <c r="P625" s="10">
        <v>240</v>
      </c>
      <c r="Q625" s="214">
        <v>15</v>
      </c>
      <c r="R625" s="214"/>
      <c r="S625" s="214"/>
    </row>
    <row r="626" spans="1:19" ht="39.75" customHeight="1">
      <c r="A626" s="99"/>
      <c r="B626" s="98"/>
      <c r="C626" s="103"/>
      <c r="D626" s="101"/>
      <c r="E626" s="104"/>
      <c r="F626" s="104"/>
      <c r="G626" s="89"/>
      <c r="H626" s="5" t="s">
        <v>680</v>
      </c>
      <c r="I626" s="10">
        <v>663</v>
      </c>
      <c r="J626" s="16">
        <v>7</v>
      </c>
      <c r="K626" s="16">
        <v>9</v>
      </c>
      <c r="L626" s="95" t="s">
        <v>681</v>
      </c>
      <c r="M626" s="96" t="s">
        <v>556</v>
      </c>
      <c r="N626" s="96" t="s">
        <v>576</v>
      </c>
      <c r="O626" s="96" t="s">
        <v>613</v>
      </c>
      <c r="P626" s="10"/>
      <c r="Q626" s="214">
        <f>Q627+Q630+Q634</f>
        <v>70.4</v>
      </c>
      <c r="R626" s="214">
        <f>R627+R630+R634</f>
        <v>162</v>
      </c>
      <c r="S626" s="214">
        <f>S627+S630+S634</f>
        <v>162</v>
      </c>
    </row>
    <row r="627" spans="1:19" ht="33.75" customHeight="1" hidden="1">
      <c r="A627" s="99"/>
      <c r="B627" s="98"/>
      <c r="C627" s="103"/>
      <c r="D627" s="101"/>
      <c r="E627" s="104"/>
      <c r="F627" s="104"/>
      <c r="G627" s="89"/>
      <c r="H627" s="5" t="s">
        <v>321</v>
      </c>
      <c r="I627" s="10">
        <v>663</v>
      </c>
      <c r="J627" s="16">
        <v>7</v>
      </c>
      <c r="K627" s="16">
        <v>9</v>
      </c>
      <c r="L627" s="95" t="s">
        <v>681</v>
      </c>
      <c r="M627" s="96" t="s">
        <v>556</v>
      </c>
      <c r="N627" s="96" t="s">
        <v>557</v>
      </c>
      <c r="O627" s="96" t="s">
        <v>613</v>
      </c>
      <c r="P627" s="10"/>
      <c r="Q627" s="214">
        <f aca="true" t="shared" si="45" ref="Q627:S628">Q628</f>
        <v>0</v>
      </c>
      <c r="R627" s="214">
        <f t="shared" si="45"/>
        <v>10</v>
      </c>
      <c r="S627" s="214">
        <f t="shared" si="45"/>
        <v>10</v>
      </c>
    </row>
    <row r="628" spans="1:19" ht="42" customHeight="1" hidden="1">
      <c r="A628" s="99"/>
      <c r="B628" s="98"/>
      <c r="C628" s="103"/>
      <c r="D628" s="101"/>
      <c r="E628" s="104"/>
      <c r="F628" s="104"/>
      <c r="G628" s="89"/>
      <c r="H628" s="5" t="s">
        <v>320</v>
      </c>
      <c r="I628" s="10">
        <v>663</v>
      </c>
      <c r="J628" s="16">
        <v>7</v>
      </c>
      <c r="K628" s="16">
        <v>9</v>
      </c>
      <c r="L628" s="95" t="s">
        <v>681</v>
      </c>
      <c r="M628" s="96" t="s">
        <v>556</v>
      </c>
      <c r="N628" s="96" t="s">
        <v>557</v>
      </c>
      <c r="O628" s="96" t="s">
        <v>293</v>
      </c>
      <c r="P628" s="10"/>
      <c r="Q628" s="214">
        <f t="shared" si="45"/>
        <v>0</v>
      </c>
      <c r="R628" s="214">
        <f t="shared" si="45"/>
        <v>10</v>
      </c>
      <c r="S628" s="214">
        <f t="shared" si="45"/>
        <v>10</v>
      </c>
    </row>
    <row r="629" spans="1:19" ht="28.5" customHeight="1" hidden="1">
      <c r="A629" s="99"/>
      <c r="B629" s="98"/>
      <c r="C629" s="103"/>
      <c r="D629" s="101"/>
      <c r="E629" s="104"/>
      <c r="F629" s="104"/>
      <c r="G629" s="89"/>
      <c r="H629" s="5" t="s">
        <v>712</v>
      </c>
      <c r="I629" s="10">
        <v>663</v>
      </c>
      <c r="J629" s="16">
        <v>7</v>
      </c>
      <c r="K629" s="16">
        <v>9</v>
      </c>
      <c r="L629" s="95" t="s">
        <v>681</v>
      </c>
      <c r="M629" s="96" t="s">
        <v>556</v>
      </c>
      <c r="N629" s="96" t="s">
        <v>557</v>
      </c>
      <c r="O629" s="96" t="s">
        <v>293</v>
      </c>
      <c r="P629" s="10">
        <v>240</v>
      </c>
      <c r="Q629" s="214">
        <f>10-10</f>
        <v>0</v>
      </c>
      <c r="R629" s="214">
        <v>10</v>
      </c>
      <c r="S629" s="214">
        <v>10</v>
      </c>
    </row>
    <row r="630" spans="1:19" ht="37.5" customHeight="1" hidden="1">
      <c r="A630" s="99"/>
      <c r="B630" s="98"/>
      <c r="C630" s="103"/>
      <c r="D630" s="101"/>
      <c r="E630" s="104"/>
      <c r="F630" s="104"/>
      <c r="G630" s="89"/>
      <c r="H630" s="5" t="s">
        <v>679</v>
      </c>
      <c r="I630" s="10">
        <v>663</v>
      </c>
      <c r="J630" s="16">
        <v>7</v>
      </c>
      <c r="K630" s="16">
        <v>9</v>
      </c>
      <c r="L630" s="95" t="s">
        <v>681</v>
      </c>
      <c r="M630" s="96" t="s">
        <v>556</v>
      </c>
      <c r="N630" s="96" t="s">
        <v>581</v>
      </c>
      <c r="O630" s="96" t="s">
        <v>613</v>
      </c>
      <c r="P630" s="10"/>
      <c r="Q630" s="214">
        <f>Q631</f>
        <v>0</v>
      </c>
      <c r="R630" s="214">
        <f>R631</f>
        <v>77</v>
      </c>
      <c r="S630" s="214">
        <f>S631</f>
        <v>77</v>
      </c>
    </row>
    <row r="631" spans="1:19" ht="37.5" customHeight="1" hidden="1">
      <c r="A631" s="99"/>
      <c r="B631" s="98"/>
      <c r="C631" s="103"/>
      <c r="D631" s="101"/>
      <c r="E631" s="104"/>
      <c r="F631" s="104"/>
      <c r="G631" s="89"/>
      <c r="H631" s="5" t="s">
        <v>320</v>
      </c>
      <c r="I631" s="10">
        <v>663</v>
      </c>
      <c r="J631" s="16">
        <v>7</v>
      </c>
      <c r="K631" s="16">
        <v>9</v>
      </c>
      <c r="L631" s="95" t="s">
        <v>681</v>
      </c>
      <c r="M631" s="96" t="s">
        <v>556</v>
      </c>
      <c r="N631" s="96" t="s">
        <v>581</v>
      </c>
      <c r="O631" s="96" t="s">
        <v>293</v>
      </c>
      <c r="P631" s="10"/>
      <c r="Q631" s="214">
        <f>SUM(Q632:Q633)</f>
        <v>0</v>
      </c>
      <c r="R631" s="214">
        <f>SUM(R632:R633)</f>
        <v>77</v>
      </c>
      <c r="S631" s="214">
        <f>SUM(S632:S633)</f>
        <v>77</v>
      </c>
    </row>
    <row r="632" spans="1:19" ht="30" customHeight="1" hidden="1">
      <c r="A632" s="99"/>
      <c r="B632" s="98"/>
      <c r="C632" s="103"/>
      <c r="D632" s="101"/>
      <c r="E632" s="104"/>
      <c r="F632" s="104"/>
      <c r="G632" s="89"/>
      <c r="H632" s="5" t="s">
        <v>712</v>
      </c>
      <c r="I632" s="10">
        <v>663</v>
      </c>
      <c r="J632" s="16">
        <v>7</v>
      </c>
      <c r="K632" s="16">
        <v>9</v>
      </c>
      <c r="L632" s="95" t="s">
        <v>681</v>
      </c>
      <c r="M632" s="96" t="s">
        <v>556</v>
      </c>
      <c r="N632" s="96" t="s">
        <v>581</v>
      </c>
      <c r="O632" s="96" t="s">
        <v>293</v>
      </c>
      <c r="P632" s="10">
        <v>240</v>
      </c>
      <c r="Q632" s="214">
        <f>7-7</f>
        <v>0</v>
      </c>
      <c r="R632" s="214">
        <v>7</v>
      </c>
      <c r="S632" s="214">
        <v>7</v>
      </c>
    </row>
    <row r="633" spans="1:19" ht="27" customHeight="1" hidden="1">
      <c r="A633" s="99"/>
      <c r="B633" s="98"/>
      <c r="C633" s="103"/>
      <c r="D633" s="101"/>
      <c r="E633" s="104"/>
      <c r="F633" s="104"/>
      <c r="G633" s="89"/>
      <c r="H633" s="5" t="s">
        <v>717</v>
      </c>
      <c r="I633" s="10">
        <v>663</v>
      </c>
      <c r="J633" s="16">
        <v>7</v>
      </c>
      <c r="K633" s="16">
        <v>9</v>
      </c>
      <c r="L633" s="95" t="s">
        <v>681</v>
      </c>
      <c r="M633" s="96" t="s">
        <v>556</v>
      </c>
      <c r="N633" s="96" t="s">
        <v>581</v>
      </c>
      <c r="O633" s="96" t="s">
        <v>293</v>
      </c>
      <c r="P633" s="10">
        <v>320</v>
      </c>
      <c r="Q633" s="214">
        <f>70-15.5-28.9-10.8-14.8</f>
        <v>0</v>
      </c>
      <c r="R633" s="214">
        <v>70</v>
      </c>
      <c r="S633" s="214">
        <v>70</v>
      </c>
    </row>
    <row r="634" spans="1:19" ht="30" customHeight="1">
      <c r="A634" s="99"/>
      <c r="B634" s="98"/>
      <c r="C634" s="103"/>
      <c r="D634" s="101"/>
      <c r="E634" s="104"/>
      <c r="F634" s="104"/>
      <c r="G634" s="89"/>
      <c r="H634" s="5" t="s">
        <v>246</v>
      </c>
      <c r="I634" s="10">
        <v>663</v>
      </c>
      <c r="J634" s="16">
        <v>7</v>
      </c>
      <c r="K634" s="16">
        <v>9</v>
      </c>
      <c r="L634" s="95" t="s">
        <v>681</v>
      </c>
      <c r="M634" s="96" t="s">
        <v>556</v>
      </c>
      <c r="N634" s="96" t="s">
        <v>559</v>
      </c>
      <c r="O634" s="96" t="s">
        <v>613</v>
      </c>
      <c r="P634" s="10"/>
      <c r="Q634" s="214">
        <f aca="true" t="shared" si="46" ref="Q634:S635">Q635</f>
        <v>70.4</v>
      </c>
      <c r="R634" s="214">
        <f t="shared" si="46"/>
        <v>75</v>
      </c>
      <c r="S634" s="214">
        <f t="shared" si="46"/>
        <v>75</v>
      </c>
    </row>
    <row r="635" spans="1:19" ht="33" customHeight="1">
      <c r="A635" s="99"/>
      <c r="B635" s="98"/>
      <c r="C635" s="103"/>
      <c r="D635" s="101"/>
      <c r="E635" s="104"/>
      <c r="F635" s="104"/>
      <c r="G635" s="89"/>
      <c r="H635" s="5" t="s">
        <v>320</v>
      </c>
      <c r="I635" s="10">
        <v>663</v>
      </c>
      <c r="J635" s="16">
        <v>7</v>
      </c>
      <c r="K635" s="16">
        <v>9</v>
      </c>
      <c r="L635" s="95" t="s">
        <v>681</v>
      </c>
      <c r="M635" s="96" t="s">
        <v>556</v>
      </c>
      <c r="N635" s="96" t="s">
        <v>559</v>
      </c>
      <c r="O635" s="96" t="s">
        <v>293</v>
      </c>
      <c r="P635" s="10"/>
      <c r="Q635" s="214">
        <f t="shared" si="46"/>
        <v>70.4</v>
      </c>
      <c r="R635" s="214">
        <f t="shared" si="46"/>
        <v>75</v>
      </c>
      <c r="S635" s="214">
        <f t="shared" si="46"/>
        <v>75</v>
      </c>
    </row>
    <row r="636" spans="1:19" ht="30" customHeight="1">
      <c r="A636" s="99"/>
      <c r="B636" s="98"/>
      <c r="C636" s="103"/>
      <c r="D636" s="101"/>
      <c r="E636" s="104"/>
      <c r="F636" s="104"/>
      <c r="G636" s="89"/>
      <c r="H636" s="5" t="s">
        <v>717</v>
      </c>
      <c r="I636" s="10">
        <v>663</v>
      </c>
      <c r="J636" s="16">
        <v>7</v>
      </c>
      <c r="K636" s="16">
        <v>9</v>
      </c>
      <c r="L636" s="95" t="s">
        <v>681</v>
      </c>
      <c r="M636" s="96" t="s">
        <v>556</v>
      </c>
      <c r="N636" s="96" t="s">
        <v>559</v>
      </c>
      <c r="O636" s="96" t="s">
        <v>293</v>
      </c>
      <c r="P636" s="10">
        <v>320</v>
      </c>
      <c r="Q636" s="214">
        <f>75-36-13+15.5+28.9</f>
        <v>70.4</v>
      </c>
      <c r="R636" s="214">
        <v>75</v>
      </c>
      <c r="S636" s="214">
        <v>75</v>
      </c>
    </row>
    <row r="637" spans="1:19" ht="23.25" customHeight="1" hidden="1">
      <c r="A637" s="99"/>
      <c r="B637" s="98"/>
      <c r="C637" s="103"/>
      <c r="D637" s="101"/>
      <c r="E637" s="104"/>
      <c r="F637" s="104"/>
      <c r="G637" s="89"/>
      <c r="H637" s="22" t="s">
        <v>292</v>
      </c>
      <c r="I637" s="10">
        <v>663</v>
      </c>
      <c r="J637" s="16">
        <v>7</v>
      </c>
      <c r="K637" s="16">
        <v>9</v>
      </c>
      <c r="L637" s="95" t="s">
        <v>573</v>
      </c>
      <c r="M637" s="96" t="s">
        <v>556</v>
      </c>
      <c r="N637" s="96" t="s">
        <v>576</v>
      </c>
      <c r="O637" s="96" t="s">
        <v>613</v>
      </c>
      <c r="P637" s="10"/>
      <c r="Q637" s="214">
        <f>Q638+Q641+Q644+Q647+Q649</f>
        <v>0</v>
      </c>
      <c r="R637" s="214">
        <f>R638+R641+R644+R647+R649</f>
        <v>19818.300000000003</v>
      </c>
      <c r="S637" s="214">
        <f>S638+S641+S644+S647+S649</f>
        <v>30949.500000000004</v>
      </c>
    </row>
    <row r="638" spans="1:19" ht="24" customHeight="1" hidden="1">
      <c r="A638" s="99"/>
      <c r="B638" s="98"/>
      <c r="C638" s="103"/>
      <c r="D638" s="101"/>
      <c r="E638" s="104"/>
      <c r="F638" s="104"/>
      <c r="G638" s="89"/>
      <c r="H638" s="22" t="s">
        <v>526</v>
      </c>
      <c r="I638" s="10">
        <v>663</v>
      </c>
      <c r="J638" s="16">
        <v>7</v>
      </c>
      <c r="K638" s="16">
        <v>9</v>
      </c>
      <c r="L638" s="95" t="s">
        <v>573</v>
      </c>
      <c r="M638" s="96" t="s">
        <v>556</v>
      </c>
      <c r="N638" s="96" t="s">
        <v>576</v>
      </c>
      <c r="O638" s="96" t="s">
        <v>641</v>
      </c>
      <c r="P638" s="10"/>
      <c r="Q638" s="214">
        <f>SUM(Q639:Q640)</f>
        <v>0</v>
      </c>
      <c r="R638" s="214">
        <f>SUM(R639:R640)</f>
        <v>4970.2</v>
      </c>
      <c r="S638" s="214">
        <f>SUM(S639:S640)</f>
        <v>4970.2</v>
      </c>
    </row>
    <row r="639" spans="1:19" ht="24.75" customHeight="1" hidden="1">
      <c r="A639" s="99"/>
      <c r="B639" s="98"/>
      <c r="C639" s="103"/>
      <c r="D639" s="101"/>
      <c r="E639" s="104"/>
      <c r="F639" s="104"/>
      <c r="G639" s="89"/>
      <c r="H639" s="22" t="s">
        <v>526</v>
      </c>
      <c r="I639" s="10">
        <v>663</v>
      </c>
      <c r="J639" s="16">
        <v>7</v>
      </c>
      <c r="K639" s="16">
        <v>9</v>
      </c>
      <c r="L639" s="95" t="s">
        <v>573</v>
      </c>
      <c r="M639" s="96" t="s">
        <v>556</v>
      </c>
      <c r="N639" s="96" t="s">
        <v>576</v>
      </c>
      <c r="O639" s="96" t="s">
        <v>641</v>
      </c>
      <c r="P639" s="10">
        <v>120</v>
      </c>
      <c r="Q639" s="214">
        <v>0</v>
      </c>
      <c r="R639" s="214">
        <v>1916.7</v>
      </c>
      <c r="S639" s="214">
        <v>1916.7</v>
      </c>
    </row>
    <row r="640" spans="1:19" ht="24.75" customHeight="1" hidden="1">
      <c r="A640" s="99"/>
      <c r="B640" s="98"/>
      <c r="C640" s="103"/>
      <c r="D640" s="101"/>
      <c r="E640" s="104"/>
      <c r="F640" s="104"/>
      <c r="G640" s="89"/>
      <c r="H640" s="22" t="s">
        <v>712</v>
      </c>
      <c r="I640" s="10">
        <v>663</v>
      </c>
      <c r="J640" s="16">
        <v>7</v>
      </c>
      <c r="K640" s="16">
        <v>9</v>
      </c>
      <c r="L640" s="95" t="s">
        <v>573</v>
      </c>
      <c r="M640" s="96" t="s">
        <v>556</v>
      </c>
      <c r="N640" s="96" t="s">
        <v>576</v>
      </c>
      <c r="O640" s="96" t="s">
        <v>641</v>
      </c>
      <c r="P640" s="10">
        <v>240</v>
      </c>
      <c r="Q640" s="214">
        <v>0</v>
      </c>
      <c r="R640" s="214">
        <v>3053.5</v>
      </c>
      <c r="S640" s="214">
        <v>3053.5</v>
      </c>
    </row>
    <row r="641" spans="1:19" ht="33" customHeight="1" hidden="1">
      <c r="A641" s="99"/>
      <c r="B641" s="98"/>
      <c r="C641" s="103"/>
      <c r="D641" s="101"/>
      <c r="E641" s="104"/>
      <c r="F641" s="104"/>
      <c r="G641" s="89"/>
      <c r="H641" s="22" t="s">
        <v>494</v>
      </c>
      <c r="I641" s="10">
        <v>663</v>
      </c>
      <c r="J641" s="16">
        <v>7</v>
      </c>
      <c r="K641" s="16">
        <v>9</v>
      </c>
      <c r="L641" s="95" t="s">
        <v>573</v>
      </c>
      <c r="M641" s="96" t="s">
        <v>556</v>
      </c>
      <c r="N641" s="96" t="s">
        <v>576</v>
      </c>
      <c r="O641" s="96" t="s">
        <v>293</v>
      </c>
      <c r="P641" s="10"/>
      <c r="Q641" s="214">
        <f>SUM(Q642:Q643)</f>
        <v>0</v>
      </c>
      <c r="R641" s="214">
        <f>SUM(R642:R643)</f>
        <v>2108.9</v>
      </c>
      <c r="S641" s="214">
        <f>SUM(S642:S643)</f>
        <v>2108.9</v>
      </c>
    </row>
    <row r="642" spans="1:19" ht="33" customHeight="1" hidden="1">
      <c r="A642" s="99"/>
      <c r="B642" s="98"/>
      <c r="C642" s="103"/>
      <c r="D642" s="101"/>
      <c r="E642" s="104"/>
      <c r="F642" s="104"/>
      <c r="G642" s="89"/>
      <c r="H642" s="22" t="s">
        <v>715</v>
      </c>
      <c r="I642" s="10">
        <v>663</v>
      </c>
      <c r="J642" s="16">
        <v>7</v>
      </c>
      <c r="K642" s="16">
        <v>9</v>
      </c>
      <c r="L642" s="95" t="s">
        <v>573</v>
      </c>
      <c r="M642" s="96" t="s">
        <v>556</v>
      </c>
      <c r="N642" s="96" t="s">
        <v>576</v>
      </c>
      <c r="O642" s="96" t="s">
        <v>293</v>
      </c>
      <c r="P642" s="10">
        <v>110</v>
      </c>
      <c r="Q642" s="214">
        <v>0</v>
      </c>
      <c r="R642" s="214">
        <v>1944.8</v>
      </c>
      <c r="S642" s="214">
        <v>1944.8</v>
      </c>
    </row>
    <row r="643" spans="1:19" ht="33" customHeight="1" hidden="1">
      <c r="A643" s="99"/>
      <c r="B643" s="98"/>
      <c r="C643" s="103"/>
      <c r="D643" s="101"/>
      <c r="E643" s="104"/>
      <c r="F643" s="104"/>
      <c r="G643" s="89"/>
      <c r="H643" s="22" t="s">
        <v>712</v>
      </c>
      <c r="I643" s="10">
        <v>663</v>
      </c>
      <c r="J643" s="16">
        <v>7</v>
      </c>
      <c r="K643" s="16">
        <v>9</v>
      </c>
      <c r="L643" s="95" t="s">
        <v>573</v>
      </c>
      <c r="M643" s="96" t="s">
        <v>556</v>
      </c>
      <c r="N643" s="96" t="s">
        <v>576</v>
      </c>
      <c r="O643" s="96" t="s">
        <v>293</v>
      </c>
      <c r="P643" s="10">
        <v>240</v>
      </c>
      <c r="Q643" s="214">
        <v>0</v>
      </c>
      <c r="R643" s="214">
        <v>164.1</v>
      </c>
      <c r="S643" s="214">
        <v>164.1</v>
      </c>
    </row>
    <row r="644" spans="1:19" ht="48" customHeight="1" hidden="1">
      <c r="A644" s="99"/>
      <c r="B644" s="98"/>
      <c r="C644" s="103"/>
      <c r="D644" s="101"/>
      <c r="E644" s="104"/>
      <c r="F644" s="104"/>
      <c r="G644" s="89"/>
      <c r="H644" s="22" t="s">
        <v>323</v>
      </c>
      <c r="I644" s="10">
        <v>663</v>
      </c>
      <c r="J644" s="16">
        <v>7</v>
      </c>
      <c r="K644" s="16">
        <v>9</v>
      </c>
      <c r="L644" s="95" t="s">
        <v>573</v>
      </c>
      <c r="M644" s="96" t="s">
        <v>556</v>
      </c>
      <c r="N644" s="96" t="s">
        <v>576</v>
      </c>
      <c r="O644" s="96" t="s">
        <v>322</v>
      </c>
      <c r="P644" s="10"/>
      <c r="Q644" s="214">
        <f>Q645+Q646</f>
        <v>0</v>
      </c>
      <c r="R644" s="214">
        <f>R645+R646</f>
        <v>9357.7</v>
      </c>
      <c r="S644" s="214">
        <f>S645+S646</f>
        <v>9357.7</v>
      </c>
    </row>
    <row r="645" spans="1:19" ht="33" customHeight="1" hidden="1">
      <c r="A645" s="99"/>
      <c r="B645" s="98"/>
      <c r="C645" s="103"/>
      <c r="D645" s="101"/>
      <c r="E645" s="104"/>
      <c r="F645" s="104"/>
      <c r="G645" s="89"/>
      <c r="H645" s="22" t="s">
        <v>717</v>
      </c>
      <c r="I645" s="10">
        <v>663</v>
      </c>
      <c r="J645" s="16">
        <v>7</v>
      </c>
      <c r="K645" s="16">
        <v>9</v>
      </c>
      <c r="L645" s="95" t="s">
        <v>573</v>
      </c>
      <c r="M645" s="96" t="s">
        <v>556</v>
      </c>
      <c r="N645" s="96" t="s">
        <v>576</v>
      </c>
      <c r="O645" s="96" t="s">
        <v>322</v>
      </c>
      <c r="P645" s="10">
        <v>320</v>
      </c>
      <c r="Q645" s="214">
        <v>0</v>
      </c>
      <c r="R645" s="214">
        <v>1956.6</v>
      </c>
      <c r="S645" s="214">
        <v>1956.6</v>
      </c>
    </row>
    <row r="646" spans="1:19" ht="33" customHeight="1" hidden="1">
      <c r="A646" s="99"/>
      <c r="B646" s="98"/>
      <c r="C646" s="103"/>
      <c r="D646" s="101"/>
      <c r="E646" s="104"/>
      <c r="F646" s="104"/>
      <c r="G646" s="89"/>
      <c r="H646" s="5" t="s">
        <v>714</v>
      </c>
      <c r="I646" s="10">
        <v>663</v>
      </c>
      <c r="J646" s="16">
        <v>7</v>
      </c>
      <c r="K646" s="16">
        <v>9</v>
      </c>
      <c r="L646" s="95" t="s">
        <v>573</v>
      </c>
      <c r="M646" s="96" t="s">
        <v>556</v>
      </c>
      <c r="N646" s="96" t="s">
        <v>576</v>
      </c>
      <c r="O646" s="96" t="s">
        <v>322</v>
      </c>
      <c r="P646" s="10">
        <v>610</v>
      </c>
      <c r="Q646" s="214"/>
      <c r="R646" s="214">
        <v>7401.1</v>
      </c>
      <c r="S646" s="214">
        <v>7401.1</v>
      </c>
    </row>
    <row r="647" spans="1:19" ht="51.75" customHeight="1" hidden="1">
      <c r="A647" s="99"/>
      <c r="B647" s="98"/>
      <c r="C647" s="103"/>
      <c r="D647" s="101"/>
      <c r="E647" s="104"/>
      <c r="F647" s="104"/>
      <c r="G647" s="89"/>
      <c r="H647" s="11" t="s">
        <v>684</v>
      </c>
      <c r="I647" s="10">
        <v>663</v>
      </c>
      <c r="J647" s="16">
        <v>7</v>
      </c>
      <c r="K647" s="16">
        <v>9</v>
      </c>
      <c r="L647" s="95" t="s">
        <v>573</v>
      </c>
      <c r="M647" s="96" t="s">
        <v>556</v>
      </c>
      <c r="N647" s="96" t="s">
        <v>682</v>
      </c>
      <c r="O647" s="96" t="s">
        <v>683</v>
      </c>
      <c r="P647" s="10"/>
      <c r="Q647" s="214">
        <f>Q648</f>
        <v>0</v>
      </c>
      <c r="R647" s="214">
        <f>R648</f>
        <v>1127</v>
      </c>
      <c r="S647" s="214">
        <f>S648</f>
        <v>5627.9</v>
      </c>
    </row>
    <row r="648" spans="1:19" ht="24.75" customHeight="1" hidden="1">
      <c r="A648" s="99"/>
      <c r="B648" s="98"/>
      <c r="C648" s="103"/>
      <c r="D648" s="101"/>
      <c r="E648" s="104"/>
      <c r="F648" s="104"/>
      <c r="G648" s="89"/>
      <c r="H648" s="5" t="s">
        <v>714</v>
      </c>
      <c r="I648" s="10">
        <v>663</v>
      </c>
      <c r="J648" s="16">
        <v>7</v>
      </c>
      <c r="K648" s="16">
        <v>9</v>
      </c>
      <c r="L648" s="95" t="s">
        <v>573</v>
      </c>
      <c r="M648" s="96" t="s">
        <v>556</v>
      </c>
      <c r="N648" s="96" t="s">
        <v>682</v>
      </c>
      <c r="O648" s="96" t="s">
        <v>683</v>
      </c>
      <c r="P648" s="10">
        <v>610</v>
      </c>
      <c r="Q648" s="214"/>
      <c r="R648" s="214">
        <v>1127</v>
      </c>
      <c r="S648" s="214">
        <v>5627.9</v>
      </c>
    </row>
    <row r="649" spans="1:19" ht="33" customHeight="1" hidden="1">
      <c r="A649" s="99"/>
      <c r="B649" s="98"/>
      <c r="C649" s="103"/>
      <c r="D649" s="101"/>
      <c r="E649" s="104"/>
      <c r="F649" s="104"/>
      <c r="G649" s="89"/>
      <c r="H649" s="11" t="s">
        <v>687</v>
      </c>
      <c r="I649" s="10">
        <v>663</v>
      </c>
      <c r="J649" s="16">
        <v>7</v>
      </c>
      <c r="K649" s="16">
        <v>9</v>
      </c>
      <c r="L649" s="95" t="s">
        <v>573</v>
      </c>
      <c r="M649" s="96" t="s">
        <v>556</v>
      </c>
      <c r="N649" s="96" t="s">
        <v>685</v>
      </c>
      <c r="O649" s="96" t="s">
        <v>686</v>
      </c>
      <c r="P649" s="10"/>
      <c r="Q649" s="214">
        <f>Q650</f>
        <v>0</v>
      </c>
      <c r="R649" s="214">
        <f>R650</f>
        <v>2254.5</v>
      </c>
      <c r="S649" s="214">
        <f>S650</f>
        <v>8884.8</v>
      </c>
    </row>
    <row r="650" spans="1:19" ht="27" customHeight="1" hidden="1">
      <c r="A650" s="99"/>
      <c r="B650" s="98"/>
      <c r="C650" s="103"/>
      <c r="D650" s="101"/>
      <c r="E650" s="104"/>
      <c r="F650" s="104"/>
      <c r="G650" s="89"/>
      <c r="H650" s="5" t="s">
        <v>714</v>
      </c>
      <c r="I650" s="10">
        <v>663</v>
      </c>
      <c r="J650" s="16">
        <v>7</v>
      </c>
      <c r="K650" s="16">
        <v>9</v>
      </c>
      <c r="L650" s="95" t="s">
        <v>573</v>
      </c>
      <c r="M650" s="96" t="s">
        <v>556</v>
      </c>
      <c r="N650" s="96" t="s">
        <v>685</v>
      </c>
      <c r="O650" s="96" t="s">
        <v>686</v>
      </c>
      <c r="P650" s="10">
        <v>610</v>
      </c>
      <c r="Q650" s="214"/>
      <c r="R650" s="214">
        <v>2254.5</v>
      </c>
      <c r="S650" s="214">
        <v>8884.8</v>
      </c>
    </row>
    <row r="651" spans="1:19" s="179" customFormat="1" ht="21.75" customHeight="1">
      <c r="A651" s="142"/>
      <c r="B651" s="143"/>
      <c r="C651" s="153"/>
      <c r="D651" s="150"/>
      <c r="E651" s="145"/>
      <c r="F651" s="145"/>
      <c r="G651" s="136"/>
      <c r="H651" s="137" t="s">
        <v>534</v>
      </c>
      <c r="I651" s="138">
        <v>663</v>
      </c>
      <c r="J651" s="139">
        <v>10</v>
      </c>
      <c r="K651" s="139"/>
      <c r="L651" s="140"/>
      <c r="M651" s="141"/>
      <c r="N651" s="141"/>
      <c r="O651" s="141"/>
      <c r="P651" s="138"/>
      <c r="Q651" s="213">
        <f>Q652</f>
        <v>2705</v>
      </c>
      <c r="R651" s="213">
        <f>R652</f>
        <v>3455.1</v>
      </c>
      <c r="S651" s="213">
        <f>S652</f>
        <v>3455.1</v>
      </c>
    </row>
    <row r="652" spans="1:19" s="179" customFormat="1" ht="18.75" customHeight="1">
      <c r="A652" s="142"/>
      <c r="B652" s="143"/>
      <c r="C652" s="153"/>
      <c r="D652" s="150"/>
      <c r="E652" s="384">
        <v>3150300</v>
      </c>
      <c r="F652" s="384"/>
      <c r="G652" s="136">
        <v>850</v>
      </c>
      <c r="H652" s="137" t="s">
        <v>370</v>
      </c>
      <c r="I652" s="138">
        <v>663</v>
      </c>
      <c r="J652" s="139">
        <v>10</v>
      </c>
      <c r="K652" s="139">
        <v>4</v>
      </c>
      <c r="L652" s="140" t="s">
        <v>527</v>
      </c>
      <c r="M652" s="141" t="s">
        <v>527</v>
      </c>
      <c r="N652" s="141"/>
      <c r="O652" s="141" t="s">
        <v>527</v>
      </c>
      <c r="P652" s="138" t="s">
        <v>527</v>
      </c>
      <c r="Q652" s="213">
        <f>Q653+Q657</f>
        <v>2705</v>
      </c>
      <c r="R652" s="213">
        <f>R653+R657</f>
        <v>3455.1</v>
      </c>
      <c r="S652" s="213">
        <f>S653+S657</f>
        <v>3455.1</v>
      </c>
    </row>
    <row r="653" spans="1:19" ht="22.5" customHeight="1">
      <c r="A653" s="99"/>
      <c r="B653" s="98"/>
      <c r="C653" s="103"/>
      <c r="D653" s="101"/>
      <c r="E653" s="372">
        <v>5221300</v>
      </c>
      <c r="F653" s="372"/>
      <c r="G653" s="89">
        <v>410</v>
      </c>
      <c r="H653" s="11" t="s">
        <v>264</v>
      </c>
      <c r="I653" s="10">
        <v>663</v>
      </c>
      <c r="J653" s="16">
        <v>10</v>
      </c>
      <c r="K653" s="16">
        <v>4</v>
      </c>
      <c r="L653" s="95" t="s">
        <v>588</v>
      </c>
      <c r="M653" s="96" t="s">
        <v>556</v>
      </c>
      <c r="N653" s="96" t="s">
        <v>576</v>
      </c>
      <c r="O653" s="96" t="s">
        <v>613</v>
      </c>
      <c r="P653" s="10" t="s">
        <v>527</v>
      </c>
      <c r="Q653" s="214">
        <f>Q654</f>
        <v>2705</v>
      </c>
      <c r="R653" s="214">
        <f aca="true" t="shared" si="47" ref="R653:S655">R654</f>
        <v>0</v>
      </c>
      <c r="S653" s="214">
        <f t="shared" si="47"/>
        <v>0</v>
      </c>
    </row>
    <row r="654" spans="1:19" ht="29.25" customHeight="1">
      <c r="A654" s="99"/>
      <c r="B654" s="98"/>
      <c r="C654" s="103"/>
      <c r="D654" s="101"/>
      <c r="E654" s="104"/>
      <c r="F654" s="104"/>
      <c r="G654" s="89"/>
      <c r="H654" s="253" t="s">
        <v>329</v>
      </c>
      <c r="I654" s="10">
        <v>663</v>
      </c>
      <c r="J654" s="16">
        <v>10</v>
      </c>
      <c r="K654" s="16">
        <v>4</v>
      </c>
      <c r="L654" s="95" t="s">
        <v>588</v>
      </c>
      <c r="M654" s="96" t="s">
        <v>556</v>
      </c>
      <c r="N654" s="96" t="s">
        <v>557</v>
      </c>
      <c r="O654" s="96" t="s">
        <v>613</v>
      </c>
      <c r="P654" s="10"/>
      <c r="Q654" s="214">
        <f>Q655</f>
        <v>2705</v>
      </c>
      <c r="R654" s="214">
        <f t="shared" si="47"/>
        <v>0</v>
      </c>
      <c r="S654" s="214">
        <f t="shared" si="47"/>
        <v>0</v>
      </c>
    </row>
    <row r="655" spans="1:19" ht="48" customHeight="1">
      <c r="A655" s="99"/>
      <c r="B655" s="98"/>
      <c r="C655" s="103"/>
      <c r="D655" s="101"/>
      <c r="E655" s="104"/>
      <c r="F655" s="104"/>
      <c r="G655" s="89"/>
      <c r="H655" s="254" t="s">
        <v>323</v>
      </c>
      <c r="I655" s="10">
        <v>663</v>
      </c>
      <c r="J655" s="7">
        <v>10</v>
      </c>
      <c r="K655" s="16">
        <v>4</v>
      </c>
      <c r="L655" s="95" t="s">
        <v>588</v>
      </c>
      <c r="M655" s="96" t="s">
        <v>556</v>
      </c>
      <c r="N655" s="96" t="s">
        <v>557</v>
      </c>
      <c r="O655" s="96" t="s">
        <v>322</v>
      </c>
      <c r="P655" s="10"/>
      <c r="Q655" s="214">
        <f>Q656</f>
        <v>2705</v>
      </c>
      <c r="R655" s="214">
        <f t="shared" si="47"/>
        <v>0</v>
      </c>
      <c r="S655" s="214">
        <f t="shared" si="47"/>
        <v>0</v>
      </c>
    </row>
    <row r="656" spans="1:19" ht="26.25" customHeight="1">
      <c r="A656" s="99"/>
      <c r="B656" s="98"/>
      <c r="C656" s="103"/>
      <c r="D656" s="101"/>
      <c r="E656" s="104"/>
      <c r="F656" s="104"/>
      <c r="G656" s="89"/>
      <c r="H656" s="258" t="s">
        <v>717</v>
      </c>
      <c r="I656" s="10">
        <v>663</v>
      </c>
      <c r="J656" s="7">
        <v>10</v>
      </c>
      <c r="K656" s="16">
        <v>4</v>
      </c>
      <c r="L656" s="95" t="s">
        <v>588</v>
      </c>
      <c r="M656" s="96" t="s">
        <v>556</v>
      </c>
      <c r="N656" s="96" t="s">
        <v>557</v>
      </c>
      <c r="O656" s="96" t="s">
        <v>322</v>
      </c>
      <c r="P656" s="10">
        <v>320</v>
      </c>
      <c r="Q656" s="214">
        <f>3455.1-265.5-265.5-219.1</f>
        <v>2705</v>
      </c>
      <c r="R656" s="214"/>
      <c r="S656" s="214"/>
    </row>
    <row r="657" spans="1:19" ht="26.25" customHeight="1" hidden="1">
      <c r="A657" s="110"/>
      <c r="B657" s="111"/>
      <c r="C657" s="106"/>
      <c r="D657" s="107"/>
      <c r="E657" s="104"/>
      <c r="F657" s="104"/>
      <c r="G657" s="89"/>
      <c r="H657" s="22" t="s">
        <v>292</v>
      </c>
      <c r="I657" s="10">
        <v>663</v>
      </c>
      <c r="J657" s="7">
        <v>10</v>
      </c>
      <c r="K657" s="16">
        <v>4</v>
      </c>
      <c r="L657" s="95" t="s">
        <v>573</v>
      </c>
      <c r="M657" s="96" t="s">
        <v>556</v>
      </c>
      <c r="N657" s="96" t="s">
        <v>576</v>
      </c>
      <c r="O657" s="96" t="s">
        <v>613</v>
      </c>
      <c r="P657" s="10"/>
      <c r="Q657" s="214">
        <f aca="true" t="shared" si="48" ref="Q657:S658">Q658</f>
        <v>0</v>
      </c>
      <c r="R657" s="214">
        <f t="shared" si="48"/>
        <v>3455.1</v>
      </c>
      <c r="S657" s="214">
        <f t="shared" si="48"/>
        <v>3455.1</v>
      </c>
    </row>
    <row r="658" spans="1:19" ht="51" customHeight="1" hidden="1">
      <c r="A658" s="110"/>
      <c r="B658" s="111"/>
      <c r="C658" s="106"/>
      <c r="D658" s="107"/>
      <c r="E658" s="104"/>
      <c r="F658" s="104"/>
      <c r="G658" s="89"/>
      <c r="H658" s="11" t="s">
        <v>323</v>
      </c>
      <c r="I658" s="10">
        <v>663</v>
      </c>
      <c r="J658" s="7">
        <v>10</v>
      </c>
      <c r="K658" s="16">
        <v>4</v>
      </c>
      <c r="L658" s="16">
        <v>91</v>
      </c>
      <c r="M658" s="96" t="s">
        <v>556</v>
      </c>
      <c r="N658" s="96" t="s">
        <v>576</v>
      </c>
      <c r="O658" s="96" t="s">
        <v>322</v>
      </c>
      <c r="P658" s="10"/>
      <c r="Q658" s="214">
        <f t="shared" si="48"/>
        <v>0</v>
      </c>
      <c r="R658" s="214">
        <f t="shared" si="48"/>
        <v>3455.1</v>
      </c>
      <c r="S658" s="214">
        <f t="shared" si="48"/>
        <v>3455.1</v>
      </c>
    </row>
    <row r="659" spans="1:19" ht="26.25" customHeight="1" hidden="1">
      <c r="A659" s="110"/>
      <c r="B659" s="111"/>
      <c r="C659" s="106"/>
      <c r="D659" s="107"/>
      <c r="E659" s="104"/>
      <c r="F659" s="104"/>
      <c r="G659" s="89"/>
      <c r="H659" s="11" t="s">
        <v>717</v>
      </c>
      <c r="I659" s="10">
        <v>663</v>
      </c>
      <c r="J659" s="7">
        <v>10</v>
      </c>
      <c r="K659" s="16">
        <v>4</v>
      </c>
      <c r="L659" s="16">
        <v>91</v>
      </c>
      <c r="M659" s="96" t="s">
        <v>556</v>
      </c>
      <c r="N659" s="96" t="s">
        <v>576</v>
      </c>
      <c r="O659" s="96" t="s">
        <v>322</v>
      </c>
      <c r="P659" s="10">
        <v>320</v>
      </c>
      <c r="Q659" s="214">
        <v>0</v>
      </c>
      <c r="R659" s="214">
        <v>3455.1</v>
      </c>
      <c r="S659" s="214">
        <v>3455.1</v>
      </c>
    </row>
    <row r="660" spans="1:19" s="319" customFormat="1" ht="18.75" customHeight="1">
      <c r="A660" s="395">
        <v>17</v>
      </c>
      <c r="B660" s="395"/>
      <c r="C660" s="395"/>
      <c r="D660" s="395"/>
      <c r="E660" s="395"/>
      <c r="F660" s="395"/>
      <c r="G660" s="132">
        <v>240</v>
      </c>
      <c r="H660" s="33" t="s">
        <v>545</v>
      </c>
      <c r="I660" s="14">
        <v>664</v>
      </c>
      <c r="J660" s="15" t="s">
        <v>527</v>
      </c>
      <c r="K660" s="15" t="s">
        <v>527</v>
      </c>
      <c r="L660" s="133" t="s">
        <v>527</v>
      </c>
      <c r="M660" s="134" t="s">
        <v>527</v>
      </c>
      <c r="N660" s="134"/>
      <c r="O660" s="134"/>
      <c r="P660" s="14" t="s">
        <v>527</v>
      </c>
      <c r="Q660" s="212">
        <f>Q661+Q694+Q700</f>
        <v>12024.5</v>
      </c>
      <c r="R660" s="212" t="e">
        <f>R661+R694+R700</f>
        <v>#REF!</v>
      </c>
      <c r="S660" s="212" t="e">
        <f>S661+S694+S700</f>
        <v>#REF!</v>
      </c>
    </row>
    <row r="661" spans="1:19" s="179" customFormat="1" ht="18.75" customHeight="1">
      <c r="A661" s="375">
        <v>100</v>
      </c>
      <c r="B661" s="375"/>
      <c r="C661" s="376"/>
      <c r="D661" s="376"/>
      <c r="E661" s="376"/>
      <c r="F661" s="376"/>
      <c r="G661" s="136">
        <v>240</v>
      </c>
      <c r="H661" s="137" t="s">
        <v>529</v>
      </c>
      <c r="I661" s="138">
        <v>664</v>
      </c>
      <c r="J661" s="139">
        <v>1</v>
      </c>
      <c r="K661" s="139" t="s">
        <v>614</v>
      </c>
      <c r="L661" s="140" t="s">
        <v>527</v>
      </c>
      <c r="M661" s="141" t="s">
        <v>527</v>
      </c>
      <c r="N661" s="141"/>
      <c r="O661" s="141" t="s">
        <v>527</v>
      </c>
      <c r="P661" s="138" t="s">
        <v>527</v>
      </c>
      <c r="Q661" s="213">
        <f>Q662</f>
        <v>6909.7</v>
      </c>
      <c r="R661" s="213" t="e">
        <f>R662</f>
        <v>#REF!</v>
      </c>
      <c r="S661" s="213" t="e">
        <f>S662</f>
        <v>#REF!</v>
      </c>
    </row>
    <row r="662" spans="1:19" s="179" customFormat="1" ht="18.75" customHeight="1">
      <c r="A662" s="142"/>
      <c r="B662" s="143"/>
      <c r="C662" s="375">
        <v>113</v>
      </c>
      <c r="D662" s="376"/>
      <c r="E662" s="376"/>
      <c r="F662" s="376"/>
      <c r="G662" s="136">
        <v>240</v>
      </c>
      <c r="H662" s="137" t="s">
        <v>528</v>
      </c>
      <c r="I662" s="138">
        <v>664</v>
      </c>
      <c r="J662" s="139">
        <v>1</v>
      </c>
      <c r="K662" s="139">
        <v>13</v>
      </c>
      <c r="L662" s="140" t="s">
        <v>527</v>
      </c>
      <c r="M662" s="141" t="s">
        <v>527</v>
      </c>
      <c r="N662" s="141"/>
      <c r="O662" s="141" t="s">
        <v>527</v>
      </c>
      <c r="P662" s="138" t="s">
        <v>527</v>
      </c>
      <c r="Q662" s="213">
        <f>Q663</f>
        <v>6909.7</v>
      </c>
      <c r="R662" s="213" t="e">
        <f>#REF!+#REF!+#REF!+#REF!+#REF!</f>
        <v>#REF!</v>
      </c>
      <c r="S662" s="213" t="e">
        <f>#REF!+#REF!+#REF!+#REF!+#REF!</f>
        <v>#REF!</v>
      </c>
    </row>
    <row r="663" spans="1:19" ht="33.75" customHeight="1">
      <c r="A663" s="97"/>
      <c r="B663" s="98"/>
      <c r="C663" s="97"/>
      <c r="D663" s="111"/>
      <c r="E663" s="114"/>
      <c r="F663" s="114"/>
      <c r="G663" s="89"/>
      <c r="H663" s="11" t="s">
        <v>138</v>
      </c>
      <c r="I663" s="10">
        <v>664</v>
      </c>
      <c r="J663" s="16">
        <v>1</v>
      </c>
      <c r="K663" s="16">
        <v>13</v>
      </c>
      <c r="L663" s="95" t="s">
        <v>136</v>
      </c>
      <c r="M663" s="96" t="s">
        <v>556</v>
      </c>
      <c r="N663" s="96" t="s">
        <v>576</v>
      </c>
      <c r="O663" s="96" t="s">
        <v>613</v>
      </c>
      <c r="P663" s="10"/>
      <c r="Q663" s="214">
        <f>Q664+Q667+Q670+Q675+Q691</f>
        <v>6909.7</v>
      </c>
      <c r="R663" s="214"/>
      <c r="S663" s="214"/>
    </row>
    <row r="664" spans="1:19" ht="24.75" customHeight="1">
      <c r="A664" s="99"/>
      <c r="B664" s="98"/>
      <c r="C664" s="97"/>
      <c r="D664" s="109"/>
      <c r="E664" s="104"/>
      <c r="F664" s="104"/>
      <c r="G664" s="89"/>
      <c r="H664" s="11" t="s">
        <v>140</v>
      </c>
      <c r="I664" s="10">
        <v>664</v>
      </c>
      <c r="J664" s="16">
        <v>1</v>
      </c>
      <c r="K664" s="16">
        <v>13</v>
      </c>
      <c r="L664" s="16">
        <v>48</v>
      </c>
      <c r="M664" s="96" t="s">
        <v>556</v>
      </c>
      <c r="N664" s="96" t="s">
        <v>557</v>
      </c>
      <c r="O664" s="96" t="s">
        <v>613</v>
      </c>
      <c r="P664" s="10"/>
      <c r="Q664" s="214">
        <f>Q665</f>
        <v>367.7</v>
      </c>
      <c r="R664" s="216"/>
      <c r="S664" s="216"/>
    </row>
    <row r="665" spans="1:19" ht="24.75" customHeight="1">
      <c r="A665" s="99"/>
      <c r="B665" s="98"/>
      <c r="C665" s="97"/>
      <c r="D665" s="109"/>
      <c r="E665" s="104"/>
      <c r="F665" s="104"/>
      <c r="G665" s="89"/>
      <c r="H665" s="11" t="s">
        <v>362</v>
      </c>
      <c r="I665" s="10">
        <v>664</v>
      </c>
      <c r="J665" s="16">
        <v>1</v>
      </c>
      <c r="K665" s="16">
        <v>13</v>
      </c>
      <c r="L665" s="16">
        <v>48</v>
      </c>
      <c r="M665" s="96" t="s">
        <v>556</v>
      </c>
      <c r="N665" s="96" t="s">
        <v>557</v>
      </c>
      <c r="O665" s="96" t="s">
        <v>312</v>
      </c>
      <c r="P665" s="10"/>
      <c r="Q665" s="214">
        <f>Q666</f>
        <v>367.7</v>
      </c>
      <c r="R665" s="216"/>
      <c r="S665" s="216"/>
    </row>
    <row r="666" spans="1:19" ht="24.75" customHeight="1">
      <c r="A666" s="99"/>
      <c r="B666" s="98"/>
      <c r="C666" s="97"/>
      <c r="D666" s="109"/>
      <c r="E666" s="104"/>
      <c r="F666" s="104"/>
      <c r="G666" s="89"/>
      <c r="H666" s="11" t="s">
        <v>712</v>
      </c>
      <c r="I666" s="10">
        <v>664</v>
      </c>
      <c r="J666" s="16">
        <v>1</v>
      </c>
      <c r="K666" s="16">
        <v>13</v>
      </c>
      <c r="L666" s="16">
        <v>48</v>
      </c>
      <c r="M666" s="96" t="s">
        <v>556</v>
      </c>
      <c r="N666" s="96" t="s">
        <v>557</v>
      </c>
      <c r="O666" s="96" t="s">
        <v>312</v>
      </c>
      <c r="P666" s="10">
        <v>240</v>
      </c>
      <c r="Q666" s="214">
        <f>470-77.3-25</f>
        <v>367.7</v>
      </c>
      <c r="R666" s="216"/>
      <c r="S666" s="216"/>
    </row>
    <row r="667" spans="1:19" ht="39" customHeight="1">
      <c r="A667" s="99"/>
      <c r="B667" s="98"/>
      <c r="C667" s="97"/>
      <c r="D667" s="109"/>
      <c r="E667" s="104"/>
      <c r="F667" s="104"/>
      <c r="G667" s="89"/>
      <c r="H667" s="11" t="s">
        <v>141</v>
      </c>
      <c r="I667" s="10">
        <v>664</v>
      </c>
      <c r="J667" s="16">
        <v>1</v>
      </c>
      <c r="K667" s="16">
        <v>13</v>
      </c>
      <c r="L667" s="16">
        <v>48</v>
      </c>
      <c r="M667" s="96" t="s">
        <v>556</v>
      </c>
      <c r="N667" s="96" t="s">
        <v>585</v>
      </c>
      <c r="O667" s="96" t="s">
        <v>613</v>
      </c>
      <c r="P667" s="10"/>
      <c r="Q667" s="214">
        <f>Q668</f>
        <v>62.3</v>
      </c>
      <c r="R667" s="216"/>
      <c r="S667" s="216"/>
    </row>
    <row r="668" spans="1:19" ht="33" customHeight="1">
      <c r="A668" s="99"/>
      <c r="B668" s="98"/>
      <c r="C668" s="97"/>
      <c r="D668" s="109"/>
      <c r="E668" s="104"/>
      <c r="F668" s="104"/>
      <c r="G668" s="89"/>
      <c r="H668" s="11" t="s">
        <v>142</v>
      </c>
      <c r="I668" s="10">
        <v>664</v>
      </c>
      <c r="J668" s="16">
        <v>1</v>
      </c>
      <c r="K668" s="16">
        <v>13</v>
      </c>
      <c r="L668" s="16">
        <v>48</v>
      </c>
      <c r="M668" s="96" t="s">
        <v>556</v>
      </c>
      <c r="N668" s="96" t="s">
        <v>585</v>
      </c>
      <c r="O668" s="96" t="s">
        <v>311</v>
      </c>
      <c r="P668" s="10"/>
      <c r="Q668" s="214">
        <f>Q669</f>
        <v>62.3</v>
      </c>
      <c r="R668" s="216"/>
      <c r="S668" s="216"/>
    </row>
    <row r="669" spans="1:19" ht="24.75" customHeight="1">
      <c r="A669" s="99"/>
      <c r="B669" s="98"/>
      <c r="C669" s="97"/>
      <c r="D669" s="109"/>
      <c r="E669" s="104"/>
      <c r="F669" s="104"/>
      <c r="G669" s="89"/>
      <c r="H669" s="11" t="s">
        <v>712</v>
      </c>
      <c r="I669" s="10">
        <v>664</v>
      </c>
      <c r="J669" s="16">
        <v>1</v>
      </c>
      <c r="K669" s="16">
        <v>13</v>
      </c>
      <c r="L669" s="16">
        <v>48</v>
      </c>
      <c r="M669" s="96" t="s">
        <v>556</v>
      </c>
      <c r="N669" s="96" t="s">
        <v>585</v>
      </c>
      <c r="O669" s="96" t="s">
        <v>311</v>
      </c>
      <c r="P669" s="10">
        <v>240</v>
      </c>
      <c r="Q669" s="214">
        <f>100-37.7</f>
        <v>62.3</v>
      </c>
      <c r="R669" s="216"/>
      <c r="S669" s="216"/>
    </row>
    <row r="670" spans="1:19" ht="39.75" customHeight="1">
      <c r="A670" s="99"/>
      <c r="B670" s="98"/>
      <c r="C670" s="97"/>
      <c r="D670" s="109"/>
      <c r="E670" s="104"/>
      <c r="F670" s="104"/>
      <c r="G670" s="89"/>
      <c r="H670" s="11" t="s">
        <v>143</v>
      </c>
      <c r="I670" s="10">
        <v>664</v>
      </c>
      <c r="J670" s="16">
        <v>1</v>
      </c>
      <c r="K670" s="16">
        <v>13</v>
      </c>
      <c r="L670" s="16">
        <v>48</v>
      </c>
      <c r="M670" s="96" t="s">
        <v>556</v>
      </c>
      <c r="N670" s="96" t="s">
        <v>586</v>
      </c>
      <c r="O670" s="96" t="s">
        <v>613</v>
      </c>
      <c r="P670" s="10"/>
      <c r="Q670" s="214">
        <f>Q671</f>
        <v>1626.8</v>
      </c>
      <c r="R670" s="216"/>
      <c r="S670" s="216"/>
    </row>
    <row r="671" spans="1:19" ht="28.5" customHeight="1">
      <c r="A671" s="99"/>
      <c r="B671" s="98"/>
      <c r="C671" s="97"/>
      <c r="D671" s="109"/>
      <c r="E671" s="104"/>
      <c r="F671" s="104"/>
      <c r="G671" s="89"/>
      <c r="H671" s="11" t="s">
        <v>273</v>
      </c>
      <c r="I671" s="10">
        <v>664</v>
      </c>
      <c r="J671" s="16">
        <v>1</v>
      </c>
      <c r="K671" s="16">
        <v>13</v>
      </c>
      <c r="L671" s="16">
        <v>48</v>
      </c>
      <c r="M671" s="96" t="s">
        <v>556</v>
      </c>
      <c r="N671" s="96" t="s">
        <v>586</v>
      </c>
      <c r="O671" s="96" t="s">
        <v>272</v>
      </c>
      <c r="P671" s="10"/>
      <c r="Q671" s="214">
        <f>SUM(Q672:Q674)</f>
        <v>1626.8</v>
      </c>
      <c r="R671" s="216"/>
      <c r="S671" s="216"/>
    </row>
    <row r="672" spans="1:19" ht="24.75" customHeight="1">
      <c r="A672" s="99"/>
      <c r="B672" s="98"/>
      <c r="C672" s="97"/>
      <c r="D672" s="109"/>
      <c r="E672" s="104"/>
      <c r="F672" s="104"/>
      <c r="G672" s="89"/>
      <c r="H672" s="11" t="s">
        <v>712</v>
      </c>
      <c r="I672" s="10">
        <v>664</v>
      </c>
      <c r="J672" s="16">
        <v>1</v>
      </c>
      <c r="K672" s="16">
        <v>13</v>
      </c>
      <c r="L672" s="16">
        <v>48</v>
      </c>
      <c r="M672" s="96" t="s">
        <v>556</v>
      </c>
      <c r="N672" s="96" t="s">
        <v>586</v>
      </c>
      <c r="O672" s="96" t="s">
        <v>272</v>
      </c>
      <c r="P672" s="10">
        <v>240</v>
      </c>
      <c r="Q672" s="214">
        <f>150+7.5-56.3-7.5-51</f>
        <v>42.7</v>
      </c>
      <c r="R672" s="216"/>
      <c r="S672" s="216"/>
    </row>
    <row r="673" spans="1:19" ht="24.75" customHeight="1">
      <c r="A673" s="99"/>
      <c r="B673" s="98"/>
      <c r="C673" s="97"/>
      <c r="D673" s="109"/>
      <c r="E673" s="104"/>
      <c r="F673" s="104"/>
      <c r="G673" s="89"/>
      <c r="H673" s="11" t="s">
        <v>720</v>
      </c>
      <c r="I673" s="10">
        <v>664</v>
      </c>
      <c r="J673" s="16">
        <v>1</v>
      </c>
      <c r="K673" s="16">
        <v>13</v>
      </c>
      <c r="L673" s="16">
        <v>48</v>
      </c>
      <c r="M673" s="96" t="s">
        <v>556</v>
      </c>
      <c r="N673" s="96" t="s">
        <v>586</v>
      </c>
      <c r="O673" s="96" t="s">
        <v>272</v>
      </c>
      <c r="P673" s="10">
        <v>830</v>
      </c>
      <c r="Q673" s="214">
        <v>1548.5</v>
      </c>
      <c r="R673" s="216"/>
      <c r="S673" s="216"/>
    </row>
    <row r="674" spans="1:19" ht="24.75" customHeight="1">
      <c r="A674" s="99"/>
      <c r="B674" s="98"/>
      <c r="C674" s="97"/>
      <c r="D674" s="109"/>
      <c r="E674" s="104"/>
      <c r="F674" s="104"/>
      <c r="G674" s="89"/>
      <c r="H674" s="5" t="s">
        <v>713</v>
      </c>
      <c r="I674" s="10">
        <v>664</v>
      </c>
      <c r="J674" s="16">
        <v>1</v>
      </c>
      <c r="K674" s="16">
        <v>13</v>
      </c>
      <c r="L674" s="16">
        <v>48</v>
      </c>
      <c r="M674" s="96" t="s">
        <v>556</v>
      </c>
      <c r="N674" s="96" t="s">
        <v>586</v>
      </c>
      <c r="O674" s="96" t="s">
        <v>272</v>
      </c>
      <c r="P674" s="10">
        <v>850</v>
      </c>
      <c r="Q674" s="214">
        <v>35.6</v>
      </c>
      <c r="R674" s="216"/>
      <c r="S674" s="216"/>
    </row>
    <row r="675" spans="1:19" ht="24.75" customHeight="1">
      <c r="A675" s="99"/>
      <c r="B675" s="98"/>
      <c r="C675" s="97"/>
      <c r="D675" s="109"/>
      <c r="E675" s="104"/>
      <c r="F675" s="104"/>
      <c r="G675" s="89"/>
      <c r="H675" s="11" t="s">
        <v>144</v>
      </c>
      <c r="I675" s="10">
        <v>664</v>
      </c>
      <c r="J675" s="16">
        <v>1</v>
      </c>
      <c r="K675" s="16">
        <v>13</v>
      </c>
      <c r="L675" s="16">
        <v>48</v>
      </c>
      <c r="M675" s="96" t="s">
        <v>556</v>
      </c>
      <c r="N675" s="96" t="s">
        <v>581</v>
      </c>
      <c r="O675" s="96" t="s">
        <v>613</v>
      </c>
      <c r="P675" s="10"/>
      <c r="Q675" s="214">
        <f>Q676+Q683+Q685+Q688+Q681</f>
        <v>4779.2</v>
      </c>
      <c r="R675" s="216"/>
      <c r="S675" s="216"/>
    </row>
    <row r="676" spans="1:19" ht="24.75" customHeight="1">
      <c r="A676" s="99"/>
      <c r="B676" s="98"/>
      <c r="C676" s="97"/>
      <c r="D676" s="109"/>
      <c r="E676" s="104"/>
      <c r="F676" s="104"/>
      <c r="G676" s="89"/>
      <c r="H676" s="11" t="s">
        <v>335</v>
      </c>
      <c r="I676" s="10">
        <v>664</v>
      </c>
      <c r="J676" s="16">
        <v>1</v>
      </c>
      <c r="K676" s="16">
        <v>13</v>
      </c>
      <c r="L676" s="16">
        <v>48</v>
      </c>
      <c r="M676" s="96" t="s">
        <v>556</v>
      </c>
      <c r="N676" s="96" t="s">
        <v>581</v>
      </c>
      <c r="O676" s="96" t="s">
        <v>641</v>
      </c>
      <c r="P676" s="10"/>
      <c r="Q676" s="214">
        <f>Q677+Q678+Q679+Q680</f>
        <v>3155.8</v>
      </c>
      <c r="R676" s="216"/>
      <c r="S676" s="216"/>
    </row>
    <row r="677" spans="1:19" ht="24.75" customHeight="1">
      <c r="A677" s="99"/>
      <c r="B677" s="98"/>
      <c r="C677" s="97"/>
      <c r="D677" s="109"/>
      <c r="E677" s="104"/>
      <c r="F677" s="104"/>
      <c r="G677" s="89"/>
      <c r="H677" s="11" t="s">
        <v>526</v>
      </c>
      <c r="I677" s="10">
        <v>664</v>
      </c>
      <c r="J677" s="16">
        <v>1</v>
      </c>
      <c r="K677" s="16">
        <v>13</v>
      </c>
      <c r="L677" s="16">
        <v>48</v>
      </c>
      <c r="M677" s="96" t="s">
        <v>556</v>
      </c>
      <c r="N677" s="96" t="s">
        <v>581</v>
      </c>
      <c r="O677" s="96" t="s">
        <v>641</v>
      </c>
      <c r="P677" s="10">
        <v>120</v>
      </c>
      <c r="Q677" s="214">
        <f>2820.6-8</f>
        <v>2812.6</v>
      </c>
      <c r="R677" s="216"/>
      <c r="S677" s="216"/>
    </row>
    <row r="678" spans="1:19" ht="24.75" customHeight="1">
      <c r="A678" s="99"/>
      <c r="B678" s="98"/>
      <c r="C678" s="97"/>
      <c r="D678" s="109"/>
      <c r="E678" s="104"/>
      <c r="F678" s="104"/>
      <c r="G678" s="89"/>
      <c r="H678" s="11" t="s">
        <v>712</v>
      </c>
      <c r="I678" s="10">
        <v>664</v>
      </c>
      <c r="J678" s="16">
        <v>1</v>
      </c>
      <c r="K678" s="16">
        <v>13</v>
      </c>
      <c r="L678" s="16">
        <v>48</v>
      </c>
      <c r="M678" s="96" t="s">
        <v>556</v>
      </c>
      <c r="N678" s="96" t="s">
        <v>581</v>
      </c>
      <c r="O678" s="96" t="s">
        <v>641</v>
      </c>
      <c r="P678" s="10">
        <v>240</v>
      </c>
      <c r="Q678" s="214">
        <f>518.1+46.2+2.6-189.9-11.4-35.4-7</f>
        <v>323.20000000000016</v>
      </c>
      <c r="R678" s="216"/>
      <c r="S678" s="216"/>
    </row>
    <row r="679" spans="1:19" ht="16.5" customHeight="1">
      <c r="A679" s="99"/>
      <c r="B679" s="98"/>
      <c r="C679" s="97"/>
      <c r="D679" s="109"/>
      <c r="E679" s="104"/>
      <c r="F679" s="104"/>
      <c r="G679" s="89"/>
      <c r="H679" s="5" t="s">
        <v>720</v>
      </c>
      <c r="I679" s="10">
        <v>664</v>
      </c>
      <c r="J679" s="16">
        <v>1</v>
      </c>
      <c r="K679" s="16">
        <v>13</v>
      </c>
      <c r="L679" s="16">
        <v>48</v>
      </c>
      <c r="M679" s="96" t="s">
        <v>556</v>
      </c>
      <c r="N679" s="96" t="s">
        <v>581</v>
      </c>
      <c r="O679" s="96" t="s">
        <v>641</v>
      </c>
      <c r="P679" s="10">
        <v>830</v>
      </c>
      <c r="Q679" s="214">
        <v>10</v>
      </c>
      <c r="R679" s="216"/>
      <c r="S679" s="216"/>
    </row>
    <row r="680" spans="1:19" ht="18.75" customHeight="1">
      <c r="A680" s="99"/>
      <c r="B680" s="98"/>
      <c r="C680" s="97"/>
      <c r="D680" s="109"/>
      <c r="E680" s="104"/>
      <c r="F680" s="104"/>
      <c r="G680" s="89"/>
      <c r="H680" s="5" t="s">
        <v>713</v>
      </c>
      <c r="I680" s="10">
        <v>664</v>
      </c>
      <c r="J680" s="16">
        <v>1</v>
      </c>
      <c r="K680" s="16">
        <v>13</v>
      </c>
      <c r="L680" s="16">
        <v>48</v>
      </c>
      <c r="M680" s="96" t="s">
        <v>556</v>
      </c>
      <c r="N680" s="96" t="s">
        <v>581</v>
      </c>
      <c r="O680" s="96" t="s">
        <v>641</v>
      </c>
      <c r="P680" s="10">
        <v>850</v>
      </c>
      <c r="Q680" s="214">
        <v>10</v>
      </c>
      <c r="R680" s="216"/>
      <c r="S680" s="216"/>
    </row>
    <row r="681" spans="1:19" ht="54.75" customHeight="1" hidden="1">
      <c r="A681" s="99"/>
      <c r="B681" s="98"/>
      <c r="C681" s="97"/>
      <c r="D681" s="109"/>
      <c r="E681" s="104"/>
      <c r="F681" s="104"/>
      <c r="G681" s="89"/>
      <c r="H681" s="108" t="s">
        <v>864</v>
      </c>
      <c r="I681" s="10">
        <v>664</v>
      </c>
      <c r="J681" s="16">
        <v>1</v>
      </c>
      <c r="K681" s="16">
        <v>13</v>
      </c>
      <c r="L681" s="16">
        <v>48</v>
      </c>
      <c r="M681" s="96" t="s">
        <v>556</v>
      </c>
      <c r="N681" s="96" t="s">
        <v>581</v>
      </c>
      <c r="O681" s="96" t="s">
        <v>863</v>
      </c>
      <c r="P681" s="10"/>
      <c r="Q681" s="214">
        <f>Q682</f>
        <v>0</v>
      </c>
      <c r="R681" s="216"/>
      <c r="S681" s="216"/>
    </row>
    <row r="682" spans="1:19" ht="18.75" customHeight="1" hidden="1">
      <c r="A682" s="99"/>
      <c r="B682" s="98"/>
      <c r="C682" s="97"/>
      <c r="D682" s="109"/>
      <c r="E682" s="104"/>
      <c r="F682" s="104"/>
      <c r="G682" s="89"/>
      <c r="H682" s="11" t="s">
        <v>526</v>
      </c>
      <c r="I682" s="10">
        <v>664</v>
      </c>
      <c r="J682" s="16">
        <v>1</v>
      </c>
      <c r="K682" s="16">
        <v>13</v>
      </c>
      <c r="L682" s="16">
        <v>48</v>
      </c>
      <c r="M682" s="96" t="s">
        <v>556</v>
      </c>
      <c r="N682" s="96" t="s">
        <v>581</v>
      </c>
      <c r="O682" s="96" t="s">
        <v>863</v>
      </c>
      <c r="P682" s="10">
        <v>120</v>
      </c>
      <c r="Q682" s="214">
        <v>0</v>
      </c>
      <c r="R682" s="216"/>
      <c r="S682" s="216"/>
    </row>
    <row r="683" spans="1:19" ht="36" customHeight="1">
      <c r="A683" s="99"/>
      <c r="B683" s="98"/>
      <c r="C683" s="97"/>
      <c r="D683" s="109"/>
      <c r="E683" s="104"/>
      <c r="F683" s="104"/>
      <c r="G683" s="89"/>
      <c r="H683" s="11" t="s">
        <v>61</v>
      </c>
      <c r="I683" s="10">
        <v>664</v>
      </c>
      <c r="J683" s="16">
        <v>1</v>
      </c>
      <c r="K683" s="16">
        <v>13</v>
      </c>
      <c r="L683" s="16">
        <v>48</v>
      </c>
      <c r="M683" s="96" t="s">
        <v>556</v>
      </c>
      <c r="N683" s="96" t="s">
        <v>581</v>
      </c>
      <c r="O683" s="96" t="s">
        <v>60</v>
      </c>
      <c r="P683" s="10"/>
      <c r="Q683" s="214">
        <f>Q684</f>
        <v>789.2</v>
      </c>
      <c r="R683" s="216"/>
      <c r="S683" s="216"/>
    </row>
    <row r="684" spans="1:19" ht="24.75" customHeight="1">
      <c r="A684" s="99"/>
      <c r="B684" s="98"/>
      <c r="C684" s="97"/>
      <c r="D684" s="109"/>
      <c r="E684" s="104"/>
      <c r="F684" s="104"/>
      <c r="G684" s="89"/>
      <c r="H684" s="11" t="s">
        <v>526</v>
      </c>
      <c r="I684" s="10">
        <v>664</v>
      </c>
      <c r="J684" s="16">
        <v>1</v>
      </c>
      <c r="K684" s="16">
        <v>13</v>
      </c>
      <c r="L684" s="16">
        <v>48</v>
      </c>
      <c r="M684" s="96" t="s">
        <v>556</v>
      </c>
      <c r="N684" s="96" t="s">
        <v>581</v>
      </c>
      <c r="O684" s="96" t="s">
        <v>60</v>
      </c>
      <c r="P684" s="10">
        <v>120</v>
      </c>
      <c r="Q684" s="214">
        <v>789.2</v>
      </c>
      <c r="R684" s="216"/>
      <c r="S684" s="216"/>
    </row>
    <row r="685" spans="1:19" ht="51.75" customHeight="1">
      <c r="A685" s="99"/>
      <c r="B685" s="98"/>
      <c r="C685" s="97"/>
      <c r="D685" s="109"/>
      <c r="E685" s="104"/>
      <c r="F685" s="104"/>
      <c r="G685" s="89"/>
      <c r="H685" s="11" t="s">
        <v>145</v>
      </c>
      <c r="I685" s="10">
        <v>664</v>
      </c>
      <c r="J685" s="16">
        <v>1</v>
      </c>
      <c r="K685" s="16">
        <v>13</v>
      </c>
      <c r="L685" s="16">
        <v>48</v>
      </c>
      <c r="M685" s="96" t="s">
        <v>556</v>
      </c>
      <c r="N685" s="96" t="s">
        <v>581</v>
      </c>
      <c r="O685" s="96" t="s">
        <v>742</v>
      </c>
      <c r="P685" s="10"/>
      <c r="Q685" s="214">
        <f>Q686+Q687</f>
        <v>373.8</v>
      </c>
      <c r="R685" s="216"/>
      <c r="S685" s="216"/>
    </row>
    <row r="686" spans="1:19" ht="24.75" customHeight="1">
      <c r="A686" s="99"/>
      <c r="B686" s="98"/>
      <c r="C686" s="97"/>
      <c r="D686" s="109"/>
      <c r="E686" s="104"/>
      <c r="F686" s="104"/>
      <c r="G686" s="89"/>
      <c r="H686" s="11" t="s">
        <v>526</v>
      </c>
      <c r="I686" s="10">
        <v>664</v>
      </c>
      <c r="J686" s="16">
        <v>1</v>
      </c>
      <c r="K686" s="16">
        <v>13</v>
      </c>
      <c r="L686" s="16">
        <v>48</v>
      </c>
      <c r="M686" s="96" t="s">
        <v>556</v>
      </c>
      <c r="N686" s="96" t="s">
        <v>581</v>
      </c>
      <c r="O686" s="96" t="s">
        <v>742</v>
      </c>
      <c r="P686" s="10">
        <v>120</v>
      </c>
      <c r="Q686" s="214">
        <f>402.8-37.5</f>
        <v>365.3</v>
      </c>
      <c r="R686" s="216"/>
      <c r="S686" s="216"/>
    </row>
    <row r="687" spans="1:19" ht="24.75" customHeight="1">
      <c r="A687" s="99"/>
      <c r="B687" s="98"/>
      <c r="C687" s="97"/>
      <c r="D687" s="109"/>
      <c r="E687" s="104"/>
      <c r="F687" s="104"/>
      <c r="G687" s="89"/>
      <c r="H687" s="11" t="s">
        <v>712</v>
      </c>
      <c r="I687" s="10">
        <v>664</v>
      </c>
      <c r="J687" s="16">
        <v>1</v>
      </c>
      <c r="K687" s="16">
        <v>13</v>
      </c>
      <c r="L687" s="16">
        <v>48</v>
      </c>
      <c r="M687" s="96" t="s">
        <v>556</v>
      </c>
      <c r="N687" s="96" t="s">
        <v>581</v>
      </c>
      <c r="O687" s="96" t="s">
        <v>742</v>
      </c>
      <c r="P687" s="10">
        <v>240</v>
      </c>
      <c r="Q687" s="214">
        <v>8.5</v>
      </c>
      <c r="R687" s="216"/>
      <c r="S687" s="216"/>
    </row>
    <row r="688" spans="1:19" ht="24.75" customHeight="1">
      <c r="A688" s="99"/>
      <c r="B688" s="98"/>
      <c r="C688" s="97"/>
      <c r="D688" s="109"/>
      <c r="E688" s="104"/>
      <c r="F688" s="104"/>
      <c r="G688" s="89"/>
      <c r="H688" s="11" t="s">
        <v>146</v>
      </c>
      <c r="I688" s="10">
        <v>664</v>
      </c>
      <c r="J688" s="16">
        <v>1</v>
      </c>
      <c r="K688" s="16">
        <v>13</v>
      </c>
      <c r="L688" s="16">
        <v>48</v>
      </c>
      <c r="M688" s="96" t="s">
        <v>556</v>
      </c>
      <c r="N688" s="96" t="s">
        <v>581</v>
      </c>
      <c r="O688" s="96" t="s">
        <v>743</v>
      </c>
      <c r="P688" s="10"/>
      <c r="Q688" s="214">
        <f>Q689+Q690</f>
        <v>460.4</v>
      </c>
      <c r="R688" s="216"/>
      <c r="S688" s="216"/>
    </row>
    <row r="689" spans="1:19" ht="24.75" customHeight="1">
      <c r="A689" s="99"/>
      <c r="B689" s="98"/>
      <c r="C689" s="97"/>
      <c r="D689" s="109"/>
      <c r="E689" s="104"/>
      <c r="F689" s="104"/>
      <c r="G689" s="89"/>
      <c r="H689" s="11" t="s">
        <v>526</v>
      </c>
      <c r="I689" s="10">
        <v>664</v>
      </c>
      <c r="J689" s="16">
        <v>1</v>
      </c>
      <c r="K689" s="16">
        <v>13</v>
      </c>
      <c r="L689" s="16">
        <v>48</v>
      </c>
      <c r="M689" s="96" t="s">
        <v>556</v>
      </c>
      <c r="N689" s="96" t="s">
        <v>581</v>
      </c>
      <c r="O689" s="96" t="s">
        <v>743</v>
      </c>
      <c r="P689" s="10">
        <v>120</v>
      </c>
      <c r="Q689" s="214">
        <f>486.9-35</f>
        <v>451.9</v>
      </c>
      <c r="R689" s="216"/>
      <c r="S689" s="216"/>
    </row>
    <row r="690" spans="1:19" ht="24.75" customHeight="1">
      <c r="A690" s="99"/>
      <c r="B690" s="98"/>
      <c r="C690" s="97"/>
      <c r="D690" s="109"/>
      <c r="E690" s="104"/>
      <c r="F690" s="104"/>
      <c r="G690" s="89"/>
      <c r="H690" s="11" t="s">
        <v>712</v>
      </c>
      <c r="I690" s="10">
        <v>664</v>
      </c>
      <c r="J690" s="16">
        <v>1</v>
      </c>
      <c r="K690" s="16">
        <v>13</v>
      </c>
      <c r="L690" s="16">
        <v>48</v>
      </c>
      <c r="M690" s="96" t="s">
        <v>556</v>
      </c>
      <c r="N690" s="96" t="s">
        <v>581</v>
      </c>
      <c r="O690" s="96" t="s">
        <v>743</v>
      </c>
      <c r="P690" s="10">
        <v>240</v>
      </c>
      <c r="Q690" s="214">
        <v>8.5</v>
      </c>
      <c r="R690" s="216"/>
      <c r="S690" s="216"/>
    </row>
    <row r="691" spans="1:19" ht="51.75" customHeight="1">
      <c r="A691" s="99"/>
      <c r="B691" s="98"/>
      <c r="C691" s="97"/>
      <c r="D691" s="109"/>
      <c r="E691" s="104"/>
      <c r="F691" s="104"/>
      <c r="G691" s="89"/>
      <c r="H691" s="11" t="s">
        <v>137</v>
      </c>
      <c r="I691" s="10">
        <v>664</v>
      </c>
      <c r="J691" s="16">
        <v>1</v>
      </c>
      <c r="K691" s="16">
        <v>13</v>
      </c>
      <c r="L691" s="95" t="s">
        <v>136</v>
      </c>
      <c r="M691" s="96" t="s">
        <v>556</v>
      </c>
      <c r="N691" s="96" t="s">
        <v>135</v>
      </c>
      <c r="O691" s="96" t="s">
        <v>613</v>
      </c>
      <c r="P691" s="10"/>
      <c r="Q691" s="214">
        <f>Q692</f>
        <v>73.7</v>
      </c>
      <c r="R691" s="216"/>
      <c r="S691" s="216"/>
    </row>
    <row r="692" spans="1:19" ht="50.25" customHeight="1">
      <c r="A692" s="99"/>
      <c r="B692" s="98"/>
      <c r="C692" s="97"/>
      <c r="D692" s="109"/>
      <c r="E692" s="104"/>
      <c r="F692" s="104"/>
      <c r="G692" s="89"/>
      <c r="H692" s="11" t="s">
        <v>291</v>
      </c>
      <c r="I692" s="10">
        <v>664</v>
      </c>
      <c r="J692" s="16">
        <v>1</v>
      </c>
      <c r="K692" s="16">
        <v>13</v>
      </c>
      <c r="L692" s="16">
        <v>48</v>
      </c>
      <c r="M692" s="96" t="s">
        <v>556</v>
      </c>
      <c r="N692" s="96" t="s">
        <v>135</v>
      </c>
      <c r="O692" s="96" t="s">
        <v>783</v>
      </c>
      <c r="P692" s="10"/>
      <c r="Q692" s="214">
        <f>Q693</f>
        <v>73.7</v>
      </c>
      <c r="R692" s="216"/>
      <c r="S692" s="216"/>
    </row>
    <row r="693" spans="1:19" ht="24.75" customHeight="1">
      <c r="A693" s="99"/>
      <c r="B693" s="98"/>
      <c r="C693" s="97"/>
      <c r="D693" s="109"/>
      <c r="E693" s="104"/>
      <c r="F693" s="104"/>
      <c r="G693" s="89"/>
      <c r="H693" s="11" t="s">
        <v>712</v>
      </c>
      <c r="I693" s="10">
        <v>664</v>
      </c>
      <c r="J693" s="16">
        <v>1</v>
      </c>
      <c r="K693" s="16">
        <v>13</v>
      </c>
      <c r="L693" s="16">
        <v>48</v>
      </c>
      <c r="M693" s="96" t="s">
        <v>556</v>
      </c>
      <c r="N693" s="96" t="s">
        <v>135</v>
      </c>
      <c r="O693" s="96" t="s">
        <v>783</v>
      </c>
      <c r="P693" s="10">
        <v>240</v>
      </c>
      <c r="Q693" s="214">
        <v>73.7</v>
      </c>
      <c r="R693" s="216"/>
      <c r="S693" s="216"/>
    </row>
    <row r="694" spans="1:19" s="179" customFormat="1" ht="27.75" customHeight="1">
      <c r="A694" s="142"/>
      <c r="B694" s="143"/>
      <c r="C694" s="142"/>
      <c r="D694" s="135"/>
      <c r="E694" s="135"/>
      <c r="F694" s="135"/>
      <c r="G694" s="136"/>
      <c r="H694" s="149" t="s">
        <v>524</v>
      </c>
      <c r="I694" s="138">
        <v>664</v>
      </c>
      <c r="J694" s="139">
        <v>4</v>
      </c>
      <c r="K694" s="139" t="s">
        <v>614</v>
      </c>
      <c r="L694" s="140"/>
      <c r="M694" s="141"/>
      <c r="N694" s="141"/>
      <c r="O694" s="141"/>
      <c r="P694" s="247"/>
      <c r="Q694" s="218">
        <f>Q695</f>
        <v>200</v>
      </c>
      <c r="R694" s="218">
        <f aca="true" t="shared" si="49" ref="R694:S698">R695</f>
        <v>200</v>
      </c>
      <c r="S694" s="218">
        <f t="shared" si="49"/>
        <v>200</v>
      </c>
    </row>
    <row r="695" spans="1:19" s="179" customFormat="1" ht="30" customHeight="1">
      <c r="A695" s="142"/>
      <c r="B695" s="143"/>
      <c r="C695" s="142"/>
      <c r="D695" s="135"/>
      <c r="E695" s="135"/>
      <c r="F695" s="135"/>
      <c r="G695" s="136"/>
      <c r="H695" s="149" t="s">
        <v>330</v>
      </c>
      <c r="I695" s="138">
        <v>664</v>
      </c>
      <c r="J695" s="139">
        <v>4</v>
      </c>
      <c r="K695" s="139">
        <v>9</v>
      </c>
      <c r="L695" s="140"/>
      <c r="M695" s="141"/>
      <c r="N695" s="141"/>
      <c r="O695" s="141"/>
      <c r="P695" s="247"/>
      <c r="Q695" s="218">
        <f>Q696</f>
        <v>200</v>
      </c>
      <c r="R695" s="218">
        <f t="shared" si="49"/>
        <v>200</v>
      </c>
      <c r="S695" s="218">
        <f t="shared" si="49"/>
        <v>200</v>
      </c>
    </row>
    <row r="696" spans="1:19" ht="36.75" customHeight="1">
      <c r="A696" s="99"/>
      <c r="B696" s="98"/>
      <c r="C696" s="97"/>
      <c r="D696" s="94"/>
      <c r="E696" s="94"/>
      <c r="F696" s="94"/>
      <c r="G696" s="89"/>
      <c r="H696" s="5" t="s">
        <v>766</v>
      </c>
      <c r="I696" s="10">
        <v>664</v>
      </c>
      <c r="J696" s="16">
        <v>4</v>
      </c>
      <c r="K696" s="16">
        <v>9</v>
      </c>
      <c r="L696" s="95" t="s">
        <v>581</v>
      </c>
      <c r="M696" s="96" t="s">
        <v>556</v>
      </c>
      <c r="N696" s="96" t="s">
        <v>576</v>
      </c>
      <c r="O696" s="96" t="s">
        <v>613</v>
      </c>
      <c r="P696" s="23"/>
      <c r="Q696" s="219">
        <f>Q697</f>
        <v>200</v>
      </c>
      <c r="R696" s="219">
        <f t="shared" si="49"/>
        <v>200</v>
      </c>
      <c r="S696" s="219">
        <f t="shared" si="49"/>
        <v>200</v>
      </c>
    </row>
    <row r="697" spans="1:19" ht="24" customHeight="1">
      <c r="A697" s="99"/>
      <c r="B697" s="98"/>
      <c r="C697" s="97"/>
      <c r="D697" s="94"/>
      <c r="E697" s="94"/>
      <c r="F697" s="94"/>
      <c r="G697" s="89"/>
      <c r="H697" s="5" t="s">
        <v>776</v>
      </c>
      <c r="I697" s="10">
        <v>664</v>
      </c>
      <c r="J697" s="16">
        <v>4</v>
      </c>
      <c r="K697" s="16">
        <v>9</v>
      </c>
      <c r="L697" s="95" t="s">
        <v>581</v>
      </c>
      <c r="M697" s="96" t="s">
        <v>556</v>
      </c>
      <c r="N697" s="96" t="s">
        <v>581</v>
      </c>
      <c r="O697" s="96" t="s">
        <v>613</v>
      </c>
      <c r="P697" s="23"/>
      <c r="Q697" s="219">
        <f>Q698</f>
        <v>200</v>
      </c>
      <c r="R697" s="219">
        <f t="shared" si="49"/>
        <v>200</v>
      </c>
      <c r="S697" s="219">
        <f t="shared" si="49"/>
        <v>200</v>
      </c>
    </row>
    <row r="698" spans="1:19" ht="23.25" customHeight="1">
      <c r="A698" s="99"/>
      <c r="B698" s="98"/>
      <c r="C698" s="97"/>
      <c r="D698" s="94"/>
      <c r="E698" s="94"/>
      <c r="F698" s="94"/>
      <c r="G698" s="89"/>
      <c r="H698" s="5" t="s">
        <v>777</v>
      </c>
      <c r="I698" s="10">
        <v>664</v>
      </c>
      <c r="J698" s="16">
        <v>4</v>
      </c>
      <c r="K698" s="16">
        <v>9</v>
      </c>
      <c r="L698" s="95" t="s">
        <v>581</v>
      </c>
      <c r="M698" s="96" t="s">
        <v>556</v>
      </c>
      <c r="N698" s="96" t="s">
        <v>581</v>
      </c>
      <c r="O698" s="96" t="s">
        <v>753</v>
      </c>
      <c r="P698" s="23"/>
      <c r="Q698" s="219">
        <f>Q699</f>
        <v>200</v>
      </c>
      <c r="R698" s="219">
        <f t="shared" si="49"/>
        <v>200</v>
      </c>
      <c r="S698" s="219">
        <f t="shared" si="49"/>
        <v>200</v>
      </c>
    </row>
    <row r="699" spans="1:19" ht="20.25" customHeight="1">
      <c r="A699" s="99"/>
      <c r="B699" s="98"/>
      <c r="C699" s="97"/>
      <c r="D699" s="94"/>
      <c r="E699" s="94"/>
      <c r="F699" s="94"/>
      <c r="G699" s="89"/>
      <c r="H699" s="5" t="s">
        <v>765</v>
      </c>
      <c r="I699" s="10">
        <v>664</v>
      </c>
      <c r="J699" s="16">
        <v>4</v>
      </c>
      <c r="K699" s="16">
        <v>9</v>
      </c>
      <c r="L699" s="95" t="s">
        <v>581</v>
      </c>
      <c r="M699" s="96" t="s">
        <v>556</v>
      </c>
      <c r="N699" s="96" t="s">
        <v>581</v>
      </c>
      <c r="O699" s="96" t="s">
        <v>753</v>
      </c>
      <c r="P699" s="23">
        <v>240</v>
      </c>
      <c r="Q699" s="219">
        <v>200</v>
      </c>
      <c r="R699" s="219">
        <v>200</v>
      </c>
      <c r="S699" s="219">
        <v>200</v>
      </c>
    </row>
    <row r="700" spans="1:19" s="179" customFormat="1" ht="20.25" customHeight="1">
      <c r="A700" s="142"/>
      <c r="B700" s="143"/>
      <c r="C700" s="142"/>
      <c r="D700" s="235"/>
      <c r="E700" s="166"/>
      <c r="F700" s="166"/>
      <c r="G700" s="136"/>
      <c r="H700" s="137" t="s">
        <v>534</v>
      </c>
      <c r="I700" s="138">
        <v>664</v>
      </c>
      <c r="J700" s="139">
        <v>10</v>
      </c>
      <c r="K700" s="139" t="s">
        <v>614</v>
      </c>
      <c r="L700" s="140"/>
      <c r="M700" s="141"/>
      <c r="N700" s="141"/>
      <c r="O700" s="141"/>
      <c r="P700" s="247"/>
      <c r="Q700" s="218">
        <f>Q701</f>
        <v>4914.8</v>
      </c>
      <c r="R700" s="218">
        <f>R701</f>
        <v>4914.8</v>
      </c>
      <c r="S700" s="218">
        <f>S701</f>
        <v>4914.8</v>
      </c>
    </row>
    <row r="701" spans="1:19" s="179" customFormat="1" ht="20.25" customHeight="1">
      <c r="A701" s="142"/>
      <c r="B701" s="143"/>
      <c r="C701" s="142"/>
      <c r="D701" s="235"/>
      <c r="E701" s="166"/>
      <c r="F701" s="166"/>
      <c r="G701" s="136"/>
      <c r="H701" s="137" t="s">
        <v>533</v>
      </c>
      <c r="I701" s="138">
        <v>664</v>
      </c>
      <c r="J701" s="139">
        <v>10</v>
      </c>
      <c r="K701" s="139">
        <v>3</v>
      </c>
      <c r="L701" s="140"/>
      <c r="M701" s="141"/>
      <c r="N701" s="141"/>
      <c r="O701" s="141"/>
      <c r="P701" s="247"/>
      <c r="Q701" s="218">
        <f>Q702</f>
        <v>4914.8</v>
      </c>
      <c r="R701" s="218">
        <f>R704</f>
        <v>4914.8</v>
      </c>
      <c r="S701" s="218">
        <f>S704</f>
        <v>4914.8</v>
      </c>
    </row>
    <row r="702" spans="1:19" ht="37.5" customHeight="1">
      <c r="A702" s="97"/>
      <c r="B702" s="98"/>
      <c r="C702" s="97"/>
      <c r="D702" s="111"/>
      <c r="E702" s="114"/>
      <c r="F702" s="114"/>
      <c r="G702" s="89"/>
      <c r="H702" s="11" t="s">
        <v>138</v>
      </c>
      <c r="I702" s="10">
        <v>664</v>
      </c>
      <c r="J702" s="16">
        <v>10</v>
      </c>
      <c r="K702" s="16">
        <v>3</v>
      </c>
      <c r="L702" s="95" t="s">
        <v>136</v>
      </c>
      <c r="M702" s="96" t="s">
        <v>556</v>
      </c>
      <c r="N702" s="96" t="s">
        <v>576</v>
      </c>
      <c r="O702" s="96" t="s">
        <v>613</v>
      </c>
      <c r="P702" s="23"/>
      <c r="Q702" s="219">
        <f>Q703</f>
        <v>4914.8</v>
      </c>
      <c r="R702" s="219"/>
      <c r="S702" s="219"/>
    </row>
    <row r="703" spans="1:19" ht="50.25" customHeight="1">
      <c r="A703" s="97"/>
      <c r="B703" s="98"/>
      <c r="C703" s="97"/>
      <c r="D703" s="111"/>
      <c r="E703" s="114"/>
      <c r="F703" s="114"/>
      <c r="G703" s="89"/>
      <c r="H703" s="11" t="s">
        <v>137</v>
      </c>
      <c r="I703" s="10">
        <v>664</v>
      </c>
      <c r="J703" s="16">
        <v>10</v>
      </c>
      <c r="K703" s="16">
        <v>3</v>
      </c>
      <c r="L703" s="95" t="s">
        <v>136</v>
      </c>
      <c r="M703" s="96" t="s">
        <v>556</v>
      </c>
      <c r="N703" s="96" t="s">
        <v>139</v>
      </c>
      <c r="O703" s="96" t="s">
        <v>613</v>
      </c>
      <c r="P703" s="23"/>
      <c r="Q703" s="219">
        <f>Q704</f>
        <v>4914.8</v>
      </c>
      <c r="R703" s="219"/>
      <c r="S703" s="219"/>
    </row>
    <row r="704" spans="1:19" ht="51" customHeight="1">
      <c r="A704" s="99"/>
      <c r="B704" s="98"/>
      <c r="C704" s="103"/>
      <c r="D704" s="101"/>
      <c r="E704" s="113"/>
      <c r="F704" s="113"/>
      <c r="G704" s="89"/>
      <c r="H704" s="11" t="s">
        <v>291</v>
      </c>
      <c r="I704" s="10">
        <v>664</v>
      </c>
      <c r="J704" s="16">
        <v>10</v>
      </c>
      <c r="K704" s="16">
        <v>3</v>
      </c>
      <c r="L704" s="95" t="s">
        <v>136</v>
      </c>
      <c r="M704" s="96" t="s">
        <v>556</v>
      </c>
      <c r="N704" s="96" t="s">
        <v>135</v>
      </c>
      <c r="O704" s="96" t="s">
        <v>783</v>
      </c>
      <c r="P704" s="10"/>
      <c r="Q704" s="214">
        <f>Q705</f>
        <v>4914.8</v>
      </c>
      <c r="R704" s="214">
        <f>R705</f>
        <v>4914.8</v>
      </c>
      <c r="S704" s="214">
        <f>S705</f>
        <v>4914.8</v>
      </c>
    </row>
    <row r="705" spans="1:19" ht="27" customHeight="1">
      <c r="A705" s="99"/>
      <c r="B705" s="98"/>
      <c r="C705" s="103"/>
      <c r="D705" s="101"/>
      <c r="E705" s="113"/>
      <c r="F705" s="113"/>
      <c r="G705" s="89"/>
      <c r="H705" s="11" t="s">
        <v>717</v>
      </c>
      <c r="I705" s="10">
        <v>664</v>
      </c>
      <c r="J705" s="16">
        <v>10</v>
      </c>
      <c r="K705" s="16">
        <v>3</v>
      </c>
      <c r="L705" s="95" t="s">
        <v>136</v>
      </c>
      <c r="M705" s="96" t="s">
        <v>556</v>
      </c>
      <c r="N705" s="96" t="s">
        <v>135</v>
      </c>
      <c r="O705" s="96" t="s">
        <v>783</v>
      </c>
      <c r="P705" s="10">
        <v>320</v>
      </c>
      <c r="Q705" s="214">
        <v>4914.8</v>
      </c>
      <c r="R705" s="239">
        <v>4914.8</v>
      </c>
      <c r="S705" s="239">
        <v>4914.8</v>
      </c>
    </row>
    <row r="706" spans="1:19" ht="21.75" customHeight="1">
      <c r="A706" s="99"/>
      <c r="B706" s="98"/>
      <c r="C706" s="97"/>
      <c r="D706" s="368">
        <v>20000</v>
      </c>
      <c r="E706" s="369"/>
      <c r="F706" s="369"/>
      <c r="G706" s="89">
        <v>360</v>
      </c>
      <c r="H706" s="125" t="s">
        <v>525</v>
      </c>
      <c r="I706" s="90"/>
      <c r="J706" s="91"/>
      <c r="K706" s="91"/>
      <c r="L706" s="92"/>
      <c r="M706" s="93"/>
      <c r="N706" s="93"/>
      <c r="O706" s="93"/>
      <c r="P706" s="9"/>
      <c r="Q706" s="212">
        <f>Q14+Q383+Q396+Q410+Q472+Q660+Q341</f>
        <v>638763.4</v>
      </c>
      <c r="R706" s="315" t="e">
        <f>R14+R383+R396+R410+R472+R660+R341</f>
        <v>#REF!</v>
      </c>
      <c r="S706" s="315" t="e">
        <f>S14+S383+S396+S410+S472+S660+S341</f>
        <v>#REF!</v>
      </c>
    </row>
    <row r="707" spans="17:19" ht="15.75">
      <c r="Q707" s="321" t="s">
        <v>521</v>
      </c>
      <c r="S707" s="316" t="s">
        <v>521</v>
      </c>
    </row>
  </sheetData>
  <sheetProtection/>
  <mergeCells count="45">
    <mergeCell ref="D308:F308"/>
    <mergeCell ref="E266:F266"/>
    <mergeCell ref="D473:F473"/>
    <mergeCell ref="E316:F316"/>
    <mergeCell ref="D292:F292"/>
    <mergeCell ref="E412:F412"/>
    <mergeCell ref="E396:F396"/>
    <mergeCell ref="D324:F324"/>
    <mergeCell ref="A660:F660"/>
    <mergeCell ref="D706:F706"/>
    <mergeCell ref="E652:F652"/>
    <mergeCell ref="E653:F653"/>
    <mergeCell ref="A661:F661"/>
    <mergeCell ref="C662:F662"/>
    <mergeCell ref="E474:F474"/>
    <mergeCell ref="E60:F60"/>
    <mergeCell ref="C242:F242"/>
    <mergeCell ref="D43:F43"/>
    <mergeCell ref="D63:F63"/>
    <mergeCell ref="A398:F398"/>
    <mergeCell ref="D411:F411"/>
    <mergeCell ref="D302:F302"/>
    <mergeCell ref="D400:F400"/>
    <mergeCell ref="D251:F251"/>
    <mergeCell ref="Q12:S12"/>
    <mergeCell ref="R11:S11"/>
    <mergeCell ref="L12:O12"/>
    <mergeCell ref="C42:F42"/>
    <mergeCell ref="A15:F15"/>
    <mergeCell ref="A14:F14"/>
    <mergeCell ref="C249:F249"/>
    <mergeCell ref="L13:O13"/>
    <mergeCell ref="D264:F264"/>
    <mergeCell ref="E300:F300"/>
    <mergeCell ref="A41:F41"/>
    <mergeCell ref="C16:F16"/>
    <mergeCell ref="D18:F18"/>
    <mergeCell ref="E265:F265"/>
    <mergeCell ref="E175:F175"/>
    <mergeCell ref="I4:S4"/>
    <mergeCell ref="I5:S5"/>
    <mergeCell ref="I6:S6"/>
    <mergeCell ref="I7:S7"/>
    <mergeCell ref="I8:S8"/>
    <mergeCell ref="H10:S10"/>
  </mergeCells>
  <printOptions/>
  <pageMargins left="0.56" right="0.27" top="0.33" bottom="0.52" header="0.5118110236220472" footer="0.5118110236220472"/>
  <pageSetup fitToHeight="0" fitToWidth="1" horizontalDpi="600" verticalDpi="600" orientation="portrait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8"/>
  <sheetViews>
    <sheetView showGridLines="0" zoomScale="75" zoomScaleNormal="75" zoomScaleSheetLayoutView="100" zoomScalePageLayoutView="0" workbookViewId="0" topLeftCell="H1">
      <selection activeCell="H5" sqref="H5"/>
    </sheetView>
  </sheetViews>
  <sheetFormatPr defaultColWidth="9.140625" defaultRowHeight="15"/>
  <cols>
    <col min="1" max="7" width="0" style="31" hidden="1" customWidth="1"/>
    <col min="8" max="8" width="113.140625" style="307" customWidth="1"/>
    <col min="9" max="9" width="7.8515625" style="175" customWidth="1"/>
    <col min="10" max="10" width="5.140625" style="175" customWidth="1"/>
    <col min="11" max="11" width="5.00390625" style="175" customWidth="1"/>
    <col min="12" max="12" width="5.7109375" style="308" customWidth="1"/>
    <col min="13" max="14" width="4.28125" style="308" customWidth="1"/>
    <col min="15" max="15" width="10.28125" style="308" customWidth="1"/>
    <col min="16" max="16" width="6.7109375" style="175" customWidth="1"/>
    <col min="17" max="17" width="16.8515625" style="309" customWidth="1"/>
    <col min="18" max="18" width="18.00390625" style="309" customWidth="1"/>
    <col min="19" max="16384" width="9.140625" style="31" customWidth="1"/>
  </cols>
  <sheetData>
    <row r="1" ht="15.75">
      <c r="I1" s="176" t="s">
        <v>833</v>
      </c>
    </row>
    <row r="2" ht="15.75">
      <c r="I2" s="176" t="s">
        <v>522</v>
      </c>
    </row>
    <row r="3" ht="15.75">
      <c r="I3" s="68" t="s">
        <v>523</v>
      </c>
    </row>
    <row r="4" spans="8:18" ht="15.75">
      <c r="H4" s="317"/>
      <c r="I4" s="377" t="s">
        <v>106</v>
      </c>
      <c r="J4" s="377"/>
      <c r="K4" s="377"/>
      <c r="L4" s="377"/>
      <c r="M4" s="377"/>
      <c r="N4" s="377"/>
      <c r="O4" s="377"/>
      <c r="P4" s="377"/>
      <c r="Q4" s="377"/>
      <c r="R4" s="377"/>
    </row>
    <row r="5" spans="9:18" ht="15.75">
      <c r="I5" s="377" t="s">
        <v>13</v>
      </c>
      <c r="J5" s="377"/>
      <c r="K5" s="377"/>
      <c r="L5" s="377"/>
      <c r="M5" s="377"/>
      <c r="N5" s="377"/>
      <c r="O5" s="377"/>
      <c r="P5" s="377"/>
      <c r="Q5" s="377"/>
      <c r="R5" s="377"/>
    </row>
    <row r="6" spans="9:18" ht="15.75">
      <c r="I6" s="377" t="s">
        <v>820</v>
      </c>
      <c r="J6" s="377"/>
      <c r="K6" s="377"/>
      <c r="L6" s="377"/>
      <c r="M6" s="377"/>
      <c r="N6" s="377"/>
      <c r="O6" s="377"/>
      <c r="P6" s="377"/>
      <c r="Q6" s="377"/>
      <c r="R6" s="377"/>
    </row>
    <row r="7" spans="1:18" ht="19.5" customHeight="1">
      <c r="A7" s="66"/>
      <c r="B7" s="66"/>
      <c r="C7" s="66"/>
      <c r="D7" s="66"/>
      <c r="E7" s="66"/>
      <c r="F7" s="66"/>
      <c r="G7" s="66"/>
      <c r="H7" s="67"/>
      <c r="I7" s="370" t="s">
        <v>0</v>
      </c>
      <c r="J7" s="370"/>
      <c r="K7" s="370"/>
      <c r="L7" s="370"/>
      <c r="M7" s="370"/>
      <c r="N7" s="370"/>
      <c r="O7" s="370"/>
      <c r="P7" s="370"/>
      <c r="Q7" s="370"/>
      <c r="R7" s="370"/>
    </row>
    <row r="8" spans="1:18" ht="15.75" customHeight="1">
      <c r="A8" s="66"/>
      <c r="B8" s="66"/>
      <c r="C8" s="66"/>
      <c r="D8" s="66"/>
      <c r="E8" s="66"/>
      <c r="F8" s="66"/>
      <c r="G8" s="66"/>
      <c r="H8" s="67"/>
      <c r="I8" s="370" t="s">
        <v>103</v>
      </c>
      <c r="J8" s="370"/>
      <c r="K8" s="370"/>
      <c r="L8" s="370"/>
      <c r="M8" s="370"/>
      <c r="N8" s="370"/>
      <c r="O8" s="370"/>
      <c r="P8" s="370"/>
      <c r="Q8" s="370"/>
      <c r="R8" s="370"/>
    </row>
    <row r="9" spans="1:16" ht="14.25" customHeight="1">
      <c r="A9" s="66"/>
      <c r="B9" s="66"/>
      <c r="C9" s="66"/>
      <c r="D9" s="66"/>
      <c r="E9" s="66"/>
      <c r="F9" s="66"/>
      <c r="G9" s="66"/>
      <c r="H9" s="67" t="s">
        <v>614</v>
      </c>
      <c r="I9" s="72" t="s">
        <v>614</v>
      </c>
      <c r="J9" s="73" t="s">
        <v>614</v>
      </c>
      <c r="K9" s="73"/>
      <c r="L9" s="70"/>
      <c r="M9" s="70"/>
      <c r="N9" s="70"/>
      <c r="O9" s="70" t="s">
        <v>614</v>
      </c>
      <c r="P9" s="73"/>
    </row>
    <row r="10" spans="1:18" ht="51" customHeight="1">
      <c r="A10" s="74"/>
      <c r="B10" s="74"/>
      <c r="C10" s="74"/>
      <c r="D10" s="74"/>
      <c r="E10" s="74"/>
      <c r="F10" s="74"/>
      <c r="G10" s="74"/>
      <c r="H10" s="390" t="s">
        <v>705</v>
      </c>
      <c r="I10" s="390"/>
      <c r="J10" s="390"/>
      <c r="K10" s="390"/>
      <c r="L10" s="390"/>
      <c r="M10" s="390"/>
      <c r="N10" s="390"/>
      <c r="O10" s="390"/>
      <c r="P10" s="390"/>
      <c r="Q10" s="390"/>
      <c r="R10" s="390"/>
    </row>
    <row r="11" spans="1:18" ht="18.75" customHeight="1" thickBot="1">
      <c r="A11" s="76"/>
      <c r="B11" s="76"/>
      <c r="C11" s="76"/>
      <c r="D11" s="76"/>
      <c r="E11" s="76"/>
      <c r="F11" s="76"/>
      <c r="G11" s="76"/>
      <c r="H11" s="67"/>
      <c r="I11" s="72"/>
      <c r="J11" s="72"/>
      <c r="K11" s="72"/>
      <c r="L11" s="75"/>
      <c r="M11" s="75"/>
      <c r="N11" s="75"/>
      <c r="O11" s="75"/>
      <c r="P11" s="72"/>
      <c r="Q11" s="394" t="s">
        <v>12</v>
      </c>
      <c r="R11" s="394"/>
    </row>
    <row r="12" spans="1:18" ht="42.75" customHeight="1">
      <c r="A12" s="77"/>
      <c r="B12" s="77" t="s">
        <v>509</v>
      </c>
      <c r="C12" s="78" t="s">
        <v>508</v>
      </c>
      <c r="D12" s="78" t="s">
        <v>507</v>
      </c>
      <c r="E12" s="78" t="s">
        <v>506</v>
      </c>
      <c r="F12" s="78" t="s">
        <v>505</v>
      </c>
      <c r="G12" s="78" t="s">
        <v>504</v>
      </c>
      <c r="H12" s="79" t="s">
        <v>503</v>
      </c>
      <c r="I12" s="80" t="s">
        <v>502</v>
      </c>
      <c r="J12" s="80" t="s">
        <v>501</v>
      </c>
      <c r="K12" s="79" t="s">
        <v>500</v>
      </c>
      <c r="L12" s="378" t="s">
        <v>499</v>
      </c>
      <c r="M12" s="379"/>
      <c r="N12" s="379"/>
      <c r="O12" s="380"/>
      <c r="P12" s="79" t="s">
        <v>498</v>
      </c>
      <c r="Q12" s="388" t="s">
        <v>497</v>
      </c>
      <c r="R12" s="389"/>
    </row>
    <row r="13" spans="1:18" ht="30" customHeight="1">
      <c r="A13" s="199"/>
      <c r="B13" s="199"/>
      <c r="C13" s="199"/>
      <c r="D13" s="199"/>
      <c r="E13" s="199"/>
      <c r="F13" s="199"/>
      <c r="G13" s="199"/>
      <c r="H13" s="79"/>
      <c r="I13" s="193"/>
      <c r="J13" s="80"/>
      <c r="K13" s="79"/>
      <c r="L13" s="196"/>
      <c r="M13" s="197"/>
      <c r="N13" s="197"/>
      <c r="O13" s="198"/>
      <c r="P13" s="79"/>
      <c r="Q13" s="261" t="s">
        <v>277</v>
      </c>
      <c r="R13" s="261" t="s">
        <v>1</v>
      </c>
    </row>
    <row r="14" spans="1:18" ht="18.75" customHeight="1">
      <c r="A14" s="81"/>
      <c r="B14" s="82"/>
      <c r="C14" s="82"/>
      <c r="D14" s="82"/>
      <c r="E14" s="82"/>
      <c r="F14" s="82"/>
      <c r="G14" s="83"/>
      <c r="H14" s="84">
        <v>1</v>
      </c>
      <c r="I14" s="85">
        <v>2</v>
      </c>
      <c r="J14" s="86">
        <v>3</v>
      </c>
      <c r="K14" s="84">
        <v>4</v>
      </c>
      <c r="L14" s="391">
        <v>5</v>
      </c>
      <c r="M14" s="392"/>
      <c r="N14" s="392"/>
      <c r="O14" s="393"/>
      <c r="P14" s="84">
        <v>6</v>
      </c>
      <c r="Q14" s="318">
        <v>7</v>
      </c>
      <c r="R14" s="318">
        <v>8</v>
      </c>
    </row>
    <row r="15" spans="1:18" s="319" customFormat="1" ht="18.75" customHeight="1">
      <c r="A15" s="395">
        <v>1</v>
      </c>
      <c r="B15" s="395"/>
      <c r="C15" s="395"/>
      <c r="D15" s="395"/>
      <c r="E15" s="395"/>
      <c r="F15" s="395"/>
      <c r="G15" s="132">
        <v>120</v>
      </c>
      <c r="H15" s="33" t="s">
        <v>510</v>
      </c>
      <c r="I15" s="14">
        <v>27</v>
      </c>
      <c r="J15" s="15" t="s">
        <v>527</v>
      </c>
      <c r="K15" s="15" t="s">
        <v>527</v>
      </c>
      <c r="L15" s="133" t="s">
        <v>527</v>
      </c>
      <c r="M15" s="134" t="s">
        <v>527</v>
      </c>
      <c r="N15" s="134"/>
      <c r="O15" s="134" t="s">
        <v>527</v>
      </c>
      <c r="P15" s="14" t="s">
        <v>527</v>
      </c>
      <c r="Q15" s="212">
        <f>Q16+Q72+Q87+Q158+Q200+Q211+Q232+Q256+Q260+Q284</f>
        <v>175098.99999999997</v>
      </c>
      <c r="R15" s="212">
        <f>R16+R72+R87+R158+R200+R211+R232+R256+R260+R284</f>
        <v>129786.90000000001</v>
      </c>
    </row>
    <row r="16" spans="1:18" s="179" customFormat="1" ht="18.75" customHeight="1">
      <c r="A16" s="375">
        <v>100</v>
      </c>
      <c r="B16" s="375"/>
      <c r="C16" s="376"/>
      <c r="D16" s="376"/>
      <c r="E16" s="376"/>
      <c r="F16" s="376"/>
      <c r="G16" s="136">
        <v>120</v>
      </c>
      <c r="H16" s="137" t="s">
        <v>529</v>
      </c>
      <c r="I16" s="138">
        <v>27</v>
      </c>
      <c r="J16" s="139">
        <v>1</v>
      </c>
      <c r="K16" s="139" t="s">
        <v>614</v>
      </c>
      <c r="L16" s="140" t="s">
        <v>527</v>
      </c>
      <c r="M16" s="141" t="s">
        <v>527</v>
      </c>
      <c r="N16" s="141"/>
      <c r="O16" s="141" t="s">
        <v>527</v>
      </c>
      <c r="P16" s="138" t="s">
        <v>527</v>
      </c>
      <c r="Q16" s="213">
        <f>Q17+Q35+Q38+Q42</f>
        <v>30878.7</v>
      </c>
      <c r="R16" s="213">
        <f>R17+R35+R38+R42</f>
        <v>52760.3</v>
      </c>
    </row>
    <row r="17" spans="1:18" s="179" customFormat="1" ht="45" customHeight="1">
      <c r="A17" s="142"/>
      <c r="B17" s="143"/>
      <c r="C17" s="375">
        <v>104</v>
      </c>
      <c r="D17" s="376"/>
      <c r="E17" s="376"/>
      <c r="F17" s="376"/>
      <c r="G17" s="136">
        <v>120</v>
      </c>
      <c r="H17" s="137" t="s">
        <v>495</v>
      </c>
      <c r="I17" s="138">
        <v>27</v>
      </c>
      <c r="J17" s="139">
        <v>1</v>
      </c>
      <c r="K17" s="139">
        <v>4</v>
      </c>
      <c r="L17" s="140" t="s">
        <v>527</v>
      </c>
      <c r="M17" s="141" t="s">
        <v>527</v>
      </c>
      <c r="N17" s="141" t="s">
        <v>614</v>
      </c>
      <c r="O17" s="141" t="s">
        <v>527</v>
      </c>
      <c r="P17" s="138" t="s">
        <v>527</v>
      </c>
      <c r="Q17" s="213">
        <f>Q18</f>
        <v>16931.100000000002</v>
      </c>
      <c r="R17" s="213">
        <f>R18</f>
        <v>22839.9</v>
      </c>
    </row>
    <row r="18" spans="1:18" ht="27" customHeight="1">
      <c r="A18" s="99"/>
      <c r="B18" s="98"/>
      <c r="C18" s="97"/>
      <c r="D18" s="94"/>
      <c r="E18" s="94"/>
      <c r="F18" s="94"/>
      <c r="G18" s="89"/>
      <c r="H18" s="11" t="s">
        <v>334</v>
      </c>
      <c r="I18" s="10">
        <v>27</v>
      </c>
      <c r="J18" s="16">
        <v>1</v>
      </c>
      <c r="K18" s="16">
        <v>4</v>
      </c>
      <c r="L18" s="16" t="s">
        <v>573</v>
      </c>
      <c r="M18" s="96" t="s">
        <v>556</v>
      </c>
      <c r="N18" s="96" t="s">
        <v>576</v>
      </c>
      <c r="O18" s="96" t="s">
        <v>613</v>
      </c>
      <c r="P18" s="10"/>
      <c r="Q18" s="214">
        <f>Q19+Q23+Q26+Q28+Q31+Q33</f>
        <v>16931.100000000002</v>
      </c>
      <c r="R18" s="214">
        <f>R19+R23+R26+R28+R31+R33</f>
        <v>22839.9</v>
      </c>
    </row>
    <row r="19" spans="1:18" ht="29.25" customHeight="1">
      <c r="A19" s="99"/>
      <c r="B19" s="98"/>
      <c r="C19" s="97"/>
      <c r="D19" s="368">
        <v>20000</v>
      </c>
      <c r="E19" s="369"/>
      <c r="F19" s="369"/>
      <c r="G19" s="89">
        <v>120</v>
      </c>
      <c r="H19" s="11" t="s">
        <v>335</v>
      </c>
      <c r="I19" s="10">
        <v>27</v>
      </c>
      <c r="J19" s="16">
        <v>1</v>
      </c>
      <c r="K19" s="16">
        <v>4</v>
      </c>
      <c r="L19" s="16" t="s">
        <v>573</v>
      </c>
      <c r="M19" s="96" t="s">
        <v>556</v>
      </c>
      <c r="N19" s="96" t="s">
        <v>576</v>
      </c>
      <c r="O19" s="96" t="s">
        <v>641</v>
      </c>
      <c r="P19" s="10" t="s">
        <v>527</v>
      </c>
      <c r="Q19" s="214">
        <f>SUM(Q20:Q22)</f>
        <v>16931.100000000002</v>
      </c>
      <c r="R19" s="214">
        <f>SUM(R20:R22)</f>
        <v>22839.9</v>
      </c>
    </row>
    <row r="20" spans="1:18" ht="29.25" customHeight="1">
      <c r="A20" s="99"/>
      <c r="B20" s="98"/>
      <c r="C20" s="97"/>
      <c r="D20" s="101"/>
      <c r="E20" s="102"/>
      <c r="F20" s="102"/>
      <c r="G20" s="89"/>
      <c r="H20" s="11" t="s">
        <v>526</v>
      </c>
      <c r="I20" s="6">
        <v>27</v>
      </c>
      <c r="J20" s="16">
        <v>1</v>
      </c>
      <c r="K20" s="16">
        <v>4</v>
      </c>
      <c r="L20" s="16">
        <v>91</v>
      </c>
      <c r="M20" s="96" t="s">
        <v>556</v>
      </c>
      <c r="N20" s="96" t="s">
        <v>576</v>
      </c>
      <c r="O20" s="96" t="s">
        <v>641</v>
      </c>
      <c r="P20" s="10">
        <v>120</v>
      </c>
      <c r="Q20" s="214">
        <f>14355.1+2182.3</f>
        <v>16537.4</v>
      </c>
      <c r="R20" s="214">
        <f>14355.1+2182.3</f>
        <v>16537.4</v>
      </c>
    </row>
    <row r="21" spans="1:18" ht="26.25" customHeight="1">
      <c r="A21" s="99"/>
      <c r="B21" s="98"/>
      <c r="C21" s="103"/>
      <c r="D21" s="101"/>
      <c r="E21" s="104"/>
      <c r="F21" s="104"/>
      <c r="G21" s="105"/>
      <c r="H21" s="5" t="s">
        <v>712</v>
      </c>
      <c r="I21" s="8">
        <v>27</v>
      </c>
      <c r="J21" s="16">
        <v>1</v>
      </c>
      <c r="K21" s="16">
        <v>4</v>
      </c>
      <c r="L21" s="16">
        <v>91</v>
      </c>
      <c r="M21" s="96" t="s">
        <v>556</v>
      </c>
      <c r="N21" s="96" t="s">
        <v>576</v>
      </c>
      <c r="O21" s="96" t="s">
        <v>641</v>
      </c>
      <c r="P21" s="6">
        <v>240</v>
      </c>
      <c r="Q21" s="214">
        <f>7892.3-2000-2182.3-66.3-3500</f>
        <v>143.69999999999982</v>
      </c>
      <c r="R21" s="214">
        <f>7734.8-2182.3-5000+5000</f>
        <v>5552.5</v>
      </c>
    </row>
    <row r="22" spans="1:18" ht="20.25" customHeight="1">
      <c r="A22" s="99"/>
      <c r="B22" s="98"/>
      <c r="C22" s="106"/>
      <c r="D22" s="107"/>
      <c r="E22" s="104"/>
      <c r="F22" s="104"/>
      <c r="G22" s="89"/>
      <c r="H22" s="108" t="s">
        <v>713</v>
      </c>
      <c r="I22" s="8">
        <v>27</v>
      </c>
      <c r="J22" s="16">
        <v>1</v>
      </c>
      <c r="K22" s="16">
        <v>4</v>
      </c>
      <c r="L22" s="16">
        <v>91</v>
      </c>
      <c r="M22" s="96" t="s">
        <v>556</v>
      </c>
      <c r="N22" s="96" t="s">
        <v>576</v>
      </c>
      <c r="O22" s="96" t="s">
        <v>641</v>
      </c>
      <c r="P22" s="6">
        <v>850</v>
      </c>
      <c r="Q22" s="214">
        <f>750-500</f>
        <v>250</v>
      </c>
      <c r="R22" s="214">
        <v>750</v>
      </c>
    </row>
    <row r="23" spans="1:18" ht="36" customHeight="1" hidden="1">
      <c r="A23" s="99"/>
      <c r="B23" s="98"/>
      <c r="C23" s="106"/>
      <c r="D23" s="107"/>
      <c r="E23" s="104"/>
      <c r="F23" s="104"/>
      <c r="G23" s="89"/>
      <c r="H23" s="11" t="s">
        <v>58</v>
      </c>
      <c r="I23" s="10">
        <v>27</v>
      </c>
      <c r="J23" s="16">
        <v>1</v>
      </c>
      <c r="K23" s="16">
        <v>4</v>
      </c>
      <c r="L23" s="16">
        <v>91</v>
      </c>
      <c r="M23" s="96" t="s">
        <v>556</v>
      </c>
      <c r="N23" s="96" t="s">
        <v>576</v>
      </c>
      <c r="O23" s="96" t="s">
        <v>57</v>
      </c>
      <c r="P23" s="10"/>
      <c r="Q23" s="214">
        <f>SUM(Q24:Q25)</f>
        <v>0</v>
      </c>
      <c r="R23" s="214">
        <f>SUM(R24:R25)</f>
        <v>0</v>
      </c>
    </row>
    <row r="24" spans="1:18" ht="18" customHeight="1" hidden="1">
      <c r="A24" s="99"/>
      <c r="B24" s="98"/>
      <c r="C24" s="106"/>
      <c r="D24" s="107"/>
      <c r="E24" s="104"/>
      <c r="F24" s="104"/>
      <c r="G24" s="89"/>
      <c r="H24" s="11" t="s">
        <v>526</v>
      </c>
      <c r="I24" s="10">
        <v>27</v>
      </c>
      <c r="J24" s="16">
        <v>1</v>
      </c>
      <c r="K24" s="16">
        <v>4</v>
      </c>
      <c r="L24" s="16">
        <v>91</v>
      </c>
      <c r="M24" s="96" t="s">
        <v>556</v>
      </c>
      <c r="N24" s="96" t="s">
        <v>576</v>
      </c>
      <c r="O24" s="96" t="s">
        <v>57</v>
      </c>
      <c r="P24" s="10">
        <v>120</v>
      </c>
      <c r="Q24" s="214">
        <v>0</v>
      </c>
      <c r="R24" s="214">
        <v>0</v>
      </c>
    </row>
    <row r="25" spans="1:18" ht="17.25" customHeight="1" hidden="1">
      <c r="A25" s="99"/>
      <c r="B25" s="98"/>
      <c r="C25" s="106"/>
      <c r="D25" s="107"/>
      <c r="E25" s="104"/>
      <c r="F25" s="104"/>
      <c r="G25" s="89"/>
      <c r="H25" s="11" t="s">
        <v>712</v>
      </c>
      <c r="I25" s="10">
        <v>27</v>
      </c>
      <c r="J25" s="16">
        <v>1</v>
      </c>
      <c r="K25" s="16">
        <v>4</v>
      </c>
      <c r="L25" s="16">
        <v>91</v>
      </c>
      <c r="M25" s="96" t="s">
        <v>556</v>
      </c>
      <c r="N25" s="96" t="s">
        <v>576</v>
      </c>
      <c r="O25" s="96" t="s">
        <v>57</v>
      </c>
      <c r="P25" s="10">
        <v>240</v>
      </c>
      <c r="Q25" s="214">
        <v>0</v>
      </c>
      <c r="R25" s="214">
        <v>0</v>
      </c>
    </row>
    <row r="26" spans="1:18" ht="56.25" customHeight="1" hidden="1">
      <c r="A26" s="99"/>
      <c r="B26" s="98"/>
      <c r="C26" s="106"/>
      <c r="D26" s="107"/>
      <c r="E26" s="104"/>
      <c r="F26" s="104"/>
      <c r="G26" s="89"/>
      <c r="H26" s="11" t="s">
        <v>690</v>
      </c>
      <c r="I26" s="10">
        <v>27</v>
      </c>
      <c r="J26" s="16">
        <v>1</v>
      </c>
      <c r="K26" s="16">
        <v>4</v>
      </c>
      <c r="L26" s="16">
        <v>91</v>
      </c>
      <c r="M26" s="96" t="s">
        <v>556</v>
      </c>
      <c r="N26" s="96" t="s">
        <v>576</v>
      </c>
      <c r="O26" s="96" t="s">
        <v>59</v>
      </c>
      <c r="P26" s="10"/>
      <c r="Q26" s="214">
        <v>0</v>
      </c>
      <c r="R26" s="214">
        <v>0</v>
      </c>
    </row>
    <row r="27" spans="1:18" ht="27.75" customHeight="1" hidden="1">
      <c r="A27" s="99"/>
      <c r="B27" s="98"/>
      <c r="C27" s="106"/>
      <c r="D27" s="107"/>
      <c r="E27" s="104"/>
      <c r="F27" s="104"/>
      <c r="G27" s="89"/>
      <c r="H27" s="11" t="s">
        <v>526</v>
      </c>
      <c r="I27" s="10">
        <v>27</v>
      </c>
      <c r="J27" s="16">
        <v>1</v>
      </c>
      <c r="K27" s="16">
        <v>4</v>
      </c>
      <c r="L27" s="16">
        <v>91</v>
      </c>
      <c r="M27" s="96" t="s">
        <v>556</v>
      </c>
      <c r="N27" s="96" t="s">
        <v>576</v>
      </c>
      <c r="O27" s="96" t="s">
        <v>59</v>
      </c>
      <c r="P27" s="10">
        <v>120</v>
      </c>
      <c r="Q27" s="214">
        <v>0</v>
      </c>
      <c r="R27" s="214">
        <v>0</v>
      </c>
    </row>
    <row r="28" spans="1:18" ht="66" customHeight="1" hidden="1">
      <c r="A28" s="99"/>
      <c r="B28" s="98"/>
      <c r="C28" s="106"/>
      <c r="D28" s="107"/>
      <c r="E28" s="104"/>
      <c r="F28" s="104"/>
      <c r="G28" s="89"/>
      <c r="H28" s="11" t="s">
        <v>691</v>
      </c>
      <c r="I28" s="10">
        <v>27</v>
      </c>
      <c r="J28" s="16">
        <v>1</v>
      </c>
      <c r="K28" s="16">
        <v>4</v>
      </c>
      <c r="L28" s="16">
        <v>91</v>
      </c>
      <c r="M28" s="96" t="s">
        <v>556</v>
      </c>
      <c r="N28" s="96" t="s">
        <v>576</v>
      </c>
      <c r="O28" s="96" t="s">
        <v>745</v>
      </c>
      <c r="P28" s="10"/>
      <c r="Q28" s="214">
        <f>SUM(Q29:Q30)</f>
        <v>0</v>
      </c>
      <c r="R28" s="214">
        <f>SUM(R29:R30)</f>
        <v>0</v>
      </c>
    </row>
    <row r="29" spans="1:18" ht="26.25" customHeight="1" hidden="1">
      <c r="A29" s="99"/>
      <c r="B29" s="98"/>
      <c r="C29" s="106"/>
      <c r="D29" s="107"/>
      <c r="E29" s="104"/>
      <c r="F29" s="104"/>
      <c r="G29" s="89"/>
      <c r="H29" s="11" t="s">
        <v>526</v>
      </c>
      <c r="I29" s="10">
        <v>27</v>
      </c>
      <c r="J29" s="16">
        <v>1</v>
      </c>
      <c r="K29" s="16">
        <v>4</v>
      </c>
      <c r="L29" s="16">
        <v>91</v>
      </c>
      <c r="M29" s="96" t="s">
        <v>556</v>
      </c>
      <c r="N29" s="96" t="s">
        <v>576</v>
      </c>
      <c r="O29" s="96" t="s">
        <v>745</v>
      </c>
      <c r="P29" s="10">
        <v>120</v>
      </c>
      <c r="Q29" s="214">
        <v>0</v>
      </c>
      <c r="R29" s="214">
        <v>0</v>
      </c>
    </row>
    <row r="30" spans="1:18" ht="30" customHeight="1" hidden="1">
      <c r="A30" s="99"/>
      <c r="B30" s="98"/>
      <c r="C30" s="106"/>
      <c r="D30" s="107"/>
      <c r="E30" s="104"/>
      <c r="F30" s="104"/>
      <c r="G30" s="89"/>
      <c r="H30" s="11" t="s">
        <v>712</v>
      </c>
      <c r="I30" s="10">
        <v>27</v>
      </c>
      <c r="J30" s="16">
        <v>1</v>
      </c>
      <c r="K30" s="16">
        <v>4</v>
      </c>
      <c r="L30" s="16">
        <v>91</v>
      </c>
      <c r="M30" s="96" t="s">
        <v>556</v>
      </c>
      <c r="N30" s="96" t="s">
        <v>576</v>
      </c>
      <c r="O30" s="96" t="s">
        <v>745</v>
      </c>
      <c r="P30" s="10">
        <v>240</v>
      </c>
      <c r="Q30" s="215">
        <v>0</v>
      </c>
      <c r="R30" s="215">
        <v>0</v>
      </c>
    </row>
    <row r="31" spans="1:18" ht="27" customHeight="1" hidden="1">
      <c r="A31" s="99"/>
      <c r="B31" s="98"/>
      <c r="C31" s="106"/>
      <c r="D31" s="107"/>
      <c r="E31" s="104"/>
      <c r="F31" s="104"/>
      <c r="G31" s="89"/>
      <c r="H31" s="11" t="s">
        <v>748</v>
      </c>
      <c r="I31" s="10">
        <v>27</v>
      </c>
      <c r="J31" s="16">
        <v>1</v>
      </c>
      <c r="K31" s="16">
        <v>4</v>
      </c>
      <c r="L31" s="16">
        <v>91</v>
      </c>
      <c r="M31" s="96" t="s">
        <v>556</v>
      </c>
      <c r="N31" s="96" t="s">
        <v>576</v>
      </c>
      <c r="O31" s="96" t="s">
        <v>746</v>
      </c>
      <c r="P31" s="10"/>
      <c r="Q31" s="214">
        <f>Q32</f>
        <v>0</v>
      </c>
      <c r="R31" s="214">
        <f>R32</f>
        <v>0</v>
      </c>
    </row>
    <row r="32" spans="1:18" ht="24" customHeight="1" hidden="1">
      <c r="A32" s="99"/>
      <c r="B32" s="98"/>
      <c r="C32" s="106"/>
      <c r="D32" s="107"/>
      <c r="E32" s="104"/>
      <c r="F32" s="104"/>
      <c r="G32" s="89"/>
      <c r="H32" s="11" t="s">
        <v>526</v>
      </c>
      <c r="I32" s="10">
        <v>27</v>
      </c>
      <c r="J32" s="16">
        <v>1</v>
      </c>
      <c r="K32" s="16">
        <v>4</v>
      </c>
      <c r="L32" s="16">
        <v>91</v>
      </c>
      <c r="M32" s="96" t="s">
        <v>556</v>
      </c>
      <c r="N32" s="96" t="s">
        <v>576</v>
      </c>
      <c r="O32" s="96" t="s">
        <v>746</v>
      </c>
      <c r="P32" s="10">
        <v>120</v>
      </c>
      <c r="Q32" s="214"/>
      <c r="R32" s="214"/>
    </row>
    <row r="33" spans="1:18" ht="67.5" customHeight="1" hidden="1">
      <c r="A33" s="99"/>
      <c r="B33" s="98"/>
      <c r="C33" s="106"/>
      <c r="D33" s="107"/>
      <c r="E33" s="104"/>
      <c r="F33" s="104"/>
      <c r="G33" s="89"/>
      <c r="H33" s="11" t="s">
        <v>692</v>
      </c>
      <c r="I33" s="10">
        <v>27</v>
      </c>
      <c r="J33" s="16">
        <v>1</v>
      </c>
      <c r="K33" s="16">
        <v>4</v>
      </c>
      <c r="L33" s="16">
        <v>91</v>
      </c>
      <c r="M33" s="96" t="s">
        <v>556</v>
      </c>
      <c r="N33" s="96" t="s">
        <v>576</v>
      </c>
      <c r="O33" s="96" t="s">
        <v>5</v>
      </c>
      <c r="P33" s="10"/>
      <c r="Q33" s="214">
        <v>0</v>
      </c>
      <c r="R33" s="214">
        <v>0</v>
      </c>
    </row>
    <row r="34" spans="1:18" ht="24" customHeight="1" hidden="1">
      <c r="A34" s="99"/>
      <c r="B34" s="98"/>
      <c r="C34" s="106"/>
      <c r="D34" s="107"/>
      <c r="E34" s="104"/>
      <c r="F34" s="104"/>
      <c r="G34" s="89"/>
      <c r="H34" s="11" t="s">
        <v>712</v>
      </c>
      <c r="I34" s="10">
        <v>27</v>
      </c>
      <c r="J34" s="16">
        <v>1</v>
      </c>
      <c r="K34" s="16">
        <v>4</v>
      </c>
      <c r="L34" s="16">
        <v>91</v>
      </c>
      <c r="M34" s="96" t="s">
        <v>556</v>
      </c>
      <c r="N34" s="96" t="s">
        <v>576</v>
      </c>
      <c r="O34" s="96" t="s">
        <v>5</v>
      </c>
      <c r="P34" s="10">
        <v>240</v>
      </c>
      <c r="Q34" s="214">
        <v>0</v>
      </c>
      <c r="R34" s="214">
        <v>0</v>
      </c>
    </row>
    <row r="35" spans="1:18" s="179" customFormat="1" ht="27.75" customHeight="1">
      <c r="A35" s="142"/>
      <c r="B35" s="143"/>
      <c r="C35" s="157"/>
      <c r="D35" s="170"/>
      <c r="E35" s="145"/>
      <c r="F35" s="145"/>
      <c r="G35" s="136"/>
      <c r="H35" s="137" t="s">
        <v>609</v>
      </c>
      <c r="I35" s="138">
        <v>27</v>
      </c>
      <c r="J35" s="139">
        <v>1</v>
      </c>
      <c r="K35" s="139">
        <v>5</v>
      </c>
      <c r="L35" s="139"/>
      <c r="M35" s="141"/>
      <c r="N35" s="141"/>
      <c r="O35" s="141"/>
      <c r="P35" s="138"/>
      <c r="Q35" s="213">
        <f>Q36</f>
        <v>10.1</v>
      </c>
      <c r="R35" s="213">
        <f>R36</f>
        <v>28.7</v>
      </c>
    </row>
    <row r="36" spans="1:18" ht="36.75" customHeight="1">
      <c r="A36" s="99"/>
      <c r="B36" s="98"/>
      <c r="C36" s="106"/>
      <c r="D36" s="107"/>
      <c r="E36" s="104"/>
      <c r="F36" s="104"/>
      <c r="G36" s="89"/>
      <c r="H36" s="11" t="s">
        <v>756</v>
      </c>
      <c r="I36" s="10">
        <v>27</v>
      </c>
      <c r="J36" s="16">
        <v>1</v>
      </c>
      <c r="K36" s="16">
        <v>5</v>
      </c>
      <c r="L36" s="16">
        <v>91</v>
      </c>
      <c r="M36" s="96" t="s">
        <v>556</v>
      </c>
      <c r="N36" s="96" t="s">
        <v>576</v>
      </c>
      <c r="O36" s="96" t="s">
        <v>755</v>
      </c>
      <c r="P36" s="10"/>
      <c r="Q36" s="214">
        <f>Q37</f>
        <v>10.1</v>
      </c>
      <c r="R36" s="214">
        <f>R37</f>
        <v>28.7</v>
      </c>
    </row>
    <row r="37" spans="1:18" ht="27.75" customHeight="1">
      <c r="A37" s="99"/>
      <c r="B37" s="98"/>
      <c r="C37" s="106"/>
      <c r="D37" s="107"/>
      <c r="E37" s="104"/>
      <c r="F37" s="104"/>
      <c r="G37" s="89"/>
      <c r="H37" s="11" t="s">
        <v>712</v>
      </c>
      <c r="I37" s="10">
        <v>27</v>
      </c>
      <c r="J37" s="16">
        <v>1</v>
      </c>
      <c r="K37" s="16">
        <v>5</v>
      </c>
      <c r="L37" s="16">
        <v>91</v>
      </c>
      <c r="M37" s="96" t="s">
        <v>556</v>
      </c>
      <c r="N37" s="96" t="s">
        <v>576</v>
      </c>
      <c r="O37" s="96" t="s">
        <v>755</v>
      </c>
      <c r="P37" s="10">
        <v>240</v>
      </c>
      <c r="Q37" s="214">
        <v>10.1</v>
      </c>
      <c r="R37" s="214">
        <v>28.7</v>
      </c>
    </row>
    <row r="38" spans="1:18" s="179" customFormat="1" ht="18.75" customHeight="1">
      <c r="A38" s="375">
        <v>1200</v>
      </c>
      <c r="B38" s="375"/>
      <c r="C38" s="376"/>
      <c r="D38" s="376"/>
      <c r="E38" s="376"/>
      <c r="F38" s="376"/>
      <c r="G38" s="136">
        <v>622</v>
      </c>
      <c r="H38" s="137" t="s">
        <v>363</v>
      </c>
      <c r="I38" s="138">
        <v>27</v>
      </c>
      <c r="J38" s="139">
        <v>1</v>
      </c>
      <c r="K38" s="139">
        <v>11</v>
      </c>
      <c r="L38" s="140" t="s">
        <v>527</v>
      </c>
      <c r="M38" s="141" t="s">
        <v>527</v>
      </c>
      <c r="N38" s="141"/>
      <c r="O38" s="141" t="s">
        <v>527</v>
      </c>
      <c r="P38" s="138" t="s">
        <v>527</v>
      </c>
      <c r="Q38" s="213">
        <f aca="true" t="shared" si="0" ref="Q38:R40">Q39</f>
        <v>500</v>
      </c>
      <c r="R38" s="213">
        <f t="shared" si="0"/>
        <v>500</v>
      </c>
    </row>
    <row r="39" spans="1:18" ht="23.25" customHeight="1">
      <c r="A39" s="99"/>
      <c r="B39" s="98"/>
      <c r="C39" s="381">
        <v>1204</v>
      </c>
      <c r="D39" s="382"/>
      <c r="E39" s="382"/>
      <c r="F39" s="382"/>
      <c r="G39" s="89">
        <v>622</v>
      </c>
      <c r="H39" s="11" t="s">
        <v>363</v>
      </c>
      <c r="I39" s="10">
        <v>27</v>
      </c>
      <c r="J39" s="16">
        <v>1</v>
      </c>
      <c r="K39" s="16">
        <v>11</v>
      </c>
      <c r="L39" s="95">
        <v>70</v>
      </c>
      <c r="M39" s="96">
        <v>0</v>
      </c>
      <c r="N39" s="96" t="s">
        <v>576</v>
      </c>
      <c r="O39" s="96" t="s">
        <v>613</v>
      </c>
      <c r="P39" s="10" t="s">
        <v>527</v>
      </c>
      <c r="Q39" s="214">
        <f t="shared" si="0"/>
        <v>500</v>
      </c>
      <c r="R39" s="214">
        <f t="shared" si="0"/>
        <v>500</v>
      </c>
    </row>
    <row r="40" spans="1:18" ht="21" customHeight="1">
      <c r="A40" s="99"/>
      <c r="B40" s="98"/>
      <c r="C40" s="97"/>
      <c r="D40" s="368">
        <v>4440000</v>
      </c>
      <c r="E40" s="368"/>
      <c r="F40" s="368"/>
      <c r="G40" s="89">
        <v>621</v>
      </c>
      <c r="H40" s="11" t="s">
        <v>346</v>
      </c>
      <c r="I40" s="10">
        <v>27</v>
      </c>
      <c r="J40" s="16">
        <v>1</v>
      </c>
      <c r="K40" s="16">
        <v>11</v>
      </c>
      <c r="L40" s="95" t="s">
        <v>336</v>
      </c>
      <c r="M40" s="96" t="s">
        <v>579</v>
      </c>
      <c r="N40" s="96" t="s">
        <v>576</v>
      </c>
      <c r="O40" s="96" t="s">
        <v>613</v>
      </c>
      <c r="P40" s="10" t="s">
        <v>527</v>
      </c>
      <c r="Q40" s="214">
        <f t="shared" si="0"/>
        <v>500</v>
      </c>
      <c r="R40" s="214">
        <f t="shared" si="0"/>
        <v>500</v>
      </c>
    </row>
    <row r="41" spans="1:18" ht="23.25" customHeight="1">
      <c r="A41" s="99"/>
      <c r="B41" s="98"/>
      <c r="C41" s="103"/>
      <c r="D41" s="109"/>
      <c r="E41" s="104"/>
      <c r="F41" s="104"/>
      <c r="G41" s="105">
        <v>621</v>
      </c>
      <c r="H41" s="5" t="s">
        <v>544</v>
      </c>
      <c r="I41" s="8">
        <v>27</v>
      </c>
      <c r="J41" s="21">
        <v>1</v>
      </c>
      <c r="K41" s="16">
        <v>11</v>
      </c>
      <c r="L41" s="95" t="s">
        <v>336</v>
      </c>
      <c r="M41" s="96" t="s">
        <v>579</v>
      </c>
      <c r="N41" s="96" t="s">
        <v>576</v>
      </c>
      <c r="O41" s="96" t="s">
        <v>613</v>
      </c>
      <c r="P41" s="6">
        <v>870</v>
      </c>
      <c r="Q41" s="216">
        <v>500</v>
      </c>
      <c r="R41" s="216">
        <v>500</v>
      </c>
    </row>
    <row r="42" spans="1:18" s="179" customFormat="1" ht="23.25" customHeight="1">
      <c r="A42" s="142"/>
      <c r="B42" s="143"/>
      <c r="C42" s="142"/>
      <c r="D42" s="144"/>
      <c r="E42" s="145"/>
      <c r="F42" s="145"/>
      <c r="G42" s="136"/>
      <c r="H42" s="137" t="s">
        <v>528</v>
      </c>
      <c r="I42" s="146">
        <v>27</v>
      </c>
      <c r="J42" s="147">
        <v>1</v>
      </c>
      <c r="K42" s="139">
        <v>13</v>
      </c>
      <c r="L42" s="140"/>
      <c r="M42" s="141"/>
      <c r="N42" s="141"/>
      <c r="O42" s="141"/>
      <c r="P42" s="146"/>
      <c r="Q42" s="217">
        <f>Q43+Q51</f>
        <v>13437.5</v>
      </c>
      <c r="R42" s="217">
        <f>R43+R51</f>
        <v>29391.7</v>
      </c>
    </row>
    <row r="43" spans="1:18" s="179" customFormat="1" ht="41.25" customHeight="1" hidden="1">
      <c r="A43" s="142"/>
      <c r="B43" s="143"/>
      <c r="C43" s="142"/>
      <c r="D43" s="144"/>
      <c r="E43" s="145"/>
      <c r="F43" s="145"/>
      <c r="G43" s="136"/>
      <c r="H43" s="11" t="s">
        <v>612</v>
      </c>
      <c r="I43" s="6">
        <v>27</v>
      </c>
      <c r="J43" s="19">
        <v>1</v>
      </c>
      <c r="K43" s="16">
        <v>13</v>
      </c>
      <c r="L43" s="95" t="s">
        <v>555</v>
      </c>
      <c r="M43" s="96" t="s">
        <v>556</v>
      </c>
      <c r="N43" s="96" t="s">
        <v>576</v>
      </c>
      <c r="O43" s="96" t="s">
        <v>613</v>
      </c>
      <c r="P43" s="6"/>
      <c r="Q43" s="216"/>
      <c r="R43" s="216"/>
    </row>
    <row r="44" spans="1:18" s="179" customFormat="1" ht="23.25" customHeight="1" hidden="1">
      <c r="A44" s="142"/>
      <c r="B44" s="143"/>
      <c r="C44" s="142"/>
      <c r="D44" s="144"/>
      <c r="E44" s="145"/>
      <c r="F44" s="145"/>
      <c r="G44" s="136"/>
      <c r="H44" s="11" t="s">
        <v>782</v>
      </c>
      <c r="I44" s="6">
        <v>27</v>
      </c>
      <c r="J44" s="19">
        <v>1</v>
      </c>
      <c r="K44" s="16">
        <v>13</v>
      </c>
      <c r="L44" s="95" t="s">
        <v>555</v>
      </c>
      <c r="M44" s="96" t="s">
        <v>556</v>
      </c>
      <c r="N44" s="96" t="s">
        <v>585</v>
      </c>
      <c r="O44" s="96" t="s">
        <v>613</v>
      </c>
      <c r="P44" s="6"/>
      <c r="Q44" s="216"/>
      <c r="R44" s="216"/>
    </row>
    <row r="45" spans="1:18" s="179" customFormat="1" ht="41.25" customHeight="1" hidden="1">
      <c r="A45" s="142"/>
      <c r="B45" s="143"/>
      <c r="C45" s="142"/>
      <c r="D45" s="144"/>
      <c r="E45" s="145"/>
      <c r="F45" s="145"/>
      <c r="G45" s="136"/>
      <c r="H45" s="11" t="s">
        <v>780</v>
      </c>
      <c r="I45" s="6">
        <v>27</v>
      </c>
      <c r="J45" s="19">
        <v>1</v>
      </c>
      <c r="K45" s="16">
        <v>13</v>
      </c>
      <c r="L45" s="95" t="s">
        <v>555</v>
      </c>
      <c r="M45" s="96" t="s">
        <v>556</v>
      </c>
      <c r="N45" s="96" t="s">
        <v>585</v>
      </c>
      <c r="O45" s="96" t="s">
        <v>779</v>
      </c>
      <c r="P45" s="6"/>
      <c r="Q45" s="216"/>
      <c r="R45" s="216"/>
    </row>
    <row r="46" spans="1:18" s="179" customFormat="1" ht="23.25" customHeight="1" hidden="1">
      <c r="A46" s="142"/>
      <c r="B46" s="143"/>
      <c r="C46" s="142"/>
      <c r="D46" s="144"/>
      <c r="E46" s="145"/>
      <c r="F46" s="145"/>
      <c r="G46" s="136"/>
      <c r="H46" s="11" t="s">
        <v>640</v>
      </c>
      <c r="I46" s="6">
        <v>27</v>
      </c>
      <c r="J46" s="19">
        <v>1</v>
      </c>
      <c r="K46" s="16">
        <v>13</v>
      </c>
      <c r="L46" s="95" t="s">
        <v>555</v>
      </c>
      <c r="M46" s="96" t="s">
        <v>556</v>
      </c>
      <c r="N46" s="96" t="s">
        <v>585</v>
      </c>
      <c r="O46" s="96" t="s">
        <v>779</v>
      </c>
      <c r="P46" s="6">
        <v>540</v>
      </c>
      <c r="Q46" s="216"/>
      <c r="R46" s="216"/>
    </row>
    <row r="47" spans="1:18" s="179" customFormat="1" ht="23.25" customHeight="1" hidden="1">
      <c r="A47" s="142"/>
      <c r="B47" s="143"/>
      <c r="C47" s="142"/>
      <c r="D47" s="144"/>
      <c r="E47" s="145"/>
      <c r="F47" s="145"/>
      <c r="G47" s="136"/>
      <c r="H47" s="11" t="s">
        <v>787</v>
      </c>
      <c r="I47" s="6">
        <v>27</v>
      </c>
      <c r="J47" s="19">
        <v>1</v>
      </c>
      <c r="K47" s="16">
        <v>13</v>
      </c>
      <c r="L47" s="95" t="s">
        <v>555</v>
      </c>
      <c r="M47" s="96" t="s">
        <v>556</v>
      </c>
      <c r="N47" s="96" t="s">
        <v>585</v>
      </c>
      <c r="O47" s="96" t="s">
        <v>786</v>
      </c>
      <c r="P47" s="6"/>
      <c r="Q47" s="216"/>
      <c r="R47" s="216"/>
    </row>
    <row r="48" spans="1:18" s="179" customFormat="1" ht="23.25" customHeight="1" hidden="1">
      <c r="A48" s="142"/>
      <c r="B48" s="143"/>
      <c r="C48" s="142"/>
      <c r="D48" s="144"/>
      <c r="E48" s="145"/>
      <c r="F48" s="145"/>
      <c r="G48" s="136"/>
      <c r="H48" s="11" t="s">
        <v>640</v>
      </c>
      <c r="I48" s="6">
        <v>27</v>
      </c>
      <c r="J48" s="19">
        <v>1</v>
      </c>
      <c r="K48" s="16">
        <v>13</v>
      </c>
      <c r="L48" s="95" t="s">
        <v>555</v>
      </c>
      <c r="M48" s="96" t="s">
        <v>556</v>
      </c>
      <c r="N48" s="96" t="s">
        <v>585</v>
      </c>
      <c r="O48" s="96" t="s">
        <v>786</v>
      </c>
      <c r="P48" s="6">
        <v>540</v>
      </c>
      <c r="Q48" s="216"/>
      <c r="R48" s="216"/>
    </row>
    <row r="49" spans="1:18" s="179" customFormat="1" ht="23.25" customHeight="1" hidden="1">
      <c r="A49" s="142"/>
      <c r="B49" s="143"/>
      <c r="C49" s="142"/>
      <c r="D49" s="144"/>
      <c r="E49" s="145"/>
      <c r="F49" s="145"/>
      <c r="G49" s="136"/>
      <c r="H49" s="11" t="s">
        <v>762</v>
      </c>
      <c r="I49" s="6">
        <v>27</v>
      </c>
      <c r="J49" s="19">
        <v>1</v>
      </c>
      <c r="K49" s="16">
        <v>13</v>
      </c>
      <c r="L49" s="95" t="s">
        <v>555</v>
      </c>
      <c r="M49" s="96" t="s">
        <v>556</v>
      </c>
      <c r="N49" s="96" t="s">
        <v>585</v>
      </c>
      <c r="O49" s="96" t="s">
        <v>763</v>
      </c>
      <c r="P49" s="6"/>
      <c r="Q49" s="216"/>
      <c r="R49" s="216"/>
    </row>
    <row r="50" spans="1:18" s="179" customFormat="1" ht="23.25" customHeight="1" hidden="1">
      <c r="A50" s="142"/>
      <c r="B50" s="143"/>
      <c r="C50" s="142"/>
      <c r="D50" s="144"/>
      <c r="E50" s="145"/>
      <c r="F50" s="145"/>
      <c r="G50" s="136"/>
      <c r="H50" s="11" t="s">
        <v>640</v>
      </c>
      <c r="I50" s="6">
        <v>27</v>
      </c>
      <c r="J50" s="19">
        <v>1</v>
      </c>
      <c r="K50" s="16">
        <v>13</v>
      </c>
      <c r="L50" s="95" t="s">
        <v>555</v>
      </c>
      <c r="M50" s="96" t="s">
        <v>556</v>
      </c>
      <c r="N50" s="96" t="s">
        <v>585</v>
      </c>
      <c r="O50" s="96" t="s">
        <v>763</v>
      </c>
      <c r="P50" s="6">
        <v>540</v>
      </c>
      <c r="Q50" s="216"/>
      <c r="R50" s="216"/>
    </row>
    <row r="51" spans="1:18" s="179" customFormat="1" ht="23.25" customHeight="1">
      <c r="A51" s="142"/>
      <c r="B51" s="143"/>
      <c r="C51" s="142"/>
      <c r="D51" s="144"/>
      <c r="E51" s="145"/>
      <c r="F51" s="145"/>
      <c r="G51" s="136"/>
      <c r="H51" s="11" t="s">
        <v>292</v>
      </c>
      <c r="I51" s="6">
        <v>27</v>
      </c>
      <c r="J51" s="19">
        <v>1</v>
      </c>
      <c r="K51" s="16">
        <v>13</v>
      </c>
      <c r="L51" s="95" t="s">
        <v>573</v>
      </c>
      <c r="M51" s="96" t="s">
        <v>556</v>
      </c>
      <c r="N51" s="96" t="s">
        <v>576</v>
      </c>
      <c r="O51" s="96" t="s">
        <v>613</v>
      </c>
      <c r="P51" s="6"/>
      <c r="Q51" s="217">
        <f>Q52+Q55+Q60+Q63+Q65+Q68+Q70+Q58</f>
        <v>13437.5</v>
      </c>
      <c r="R51" s="217">
        <f>R52+R55+R60+R63+R65+R68+R70+R58</f>
        <v>29391.7</v>
      </c>
    </row>
    <row r="52" spans="1:18" ht="25.5" customHeight="1">
      <c r="A52" s="99"/>
      <c r="B52" s="98"/>
      <c r="C52" s="103"/>
      <c r="D52" s="101"/>
      <c r="E52" s="372">
        <v>5203500</v>
      </c>
      <c r="F52" s="372"/>
      <c r="G52" s="89">
        <v>521</v>
      </c>
      <c r="H52" s="11" t="s">
        <v>335</v>
      </c>
      <c r="I52" s="10">
        <v>27</v>
      </c>
      <c r="J52" s="16">
        <v>1</v>
      </c>
      <c r="K52" s="16">
        <v>13</v>
      </c>
      <c r="L52" s="95" t="s">
        <v>573</v>
      </c>
      <c r="M52" s="96" t="s">
        <v>556</v>
      </c>
      <c r="N52" s="96" t="s">
        <v>576</v>
      </c>
      <c r="O52" s="96" t="s">
        <v>641</v>
      </c>
      <c r="P52" s="10" t="s">
        <v>527</v>
      </c>
      <c r="Q52" s="214">
        <f>SUM(Q53:Q54)</f>
        <v>539.1999999999998</v>
      </c>
      <c r="R52" s="214">
        <f>SUM(R53:R54)</f>
        <v>1927.5</v>
      </c>
    </row>
    <row r="53" spans="1:18" ht="26.25" customHeight="1">
      <c r="A53" s="110"/>
      <c r="B53" s="111"/>
      <c r="C53" s="106"/>
      <c r="D53" s="107"/>
      <c r="E53" s="104"/>
      <c r="F53" s="104"/>
      <c r="G53" s="89"/>
      <c r="H53" s="11" t="s">
        <v>712</v>
      </c>
      <c r="I53" s="6">
        <v>27</v>
      </c>
      <c r="J53" s="19">
        <v>1</v>
      </c>
      <c r="K53" s="16">
        <v>13</v>
      </c>
      <c r="L53" s="95" t="s">
        <v>573</v>
      </c>
      <c r="M53" s="96" t="s">
        <v>556</v>
      </c>
      <c r="N53" s="96" t="s">
        <v>576</v>
      </c>
      <c r="O53" s="96" t="s">
        <v>641</v>
      </c>
      <c r="P53" s="6">
        <v>240</v>
      </c>
      <c r="Q53" s="216">
        <f>2512.2-1000-1055.5</f>
        <v>456.6999999999998</v>
      </c>
      <c r="R53" s="216">
        <f>1845-1500+1500</f>
        <v>1845</v>
      </c>
    </row>
    <row r="54" spans="1:18" ht="20.25" customHeight="1">
      <c r="A54" s="110"/>
      <c r="B54" s="112"/>
      <c r="C54" s="106"/>
      <c r="D54" s="109"/>
      <c r="E54" s="104"/>
      <c r="F54" s="104"/>
      <c r="G54" s="89"/>
      <c r="H54" s="11" t="s">
        <v>713</v>
      </c>
      <c r="I54" s="6">
        <v>27</v>
      </c>
      <c r="J54" s="21">
        <v>1</v>
      </c>
      <c r="K54" s="16">
        <v>13</v>
      </c>
      <c r="L54" s="95" t="s">
        <v>573</v>
      </c>
      <c r="M54" s="96" t="s">
        <v>556</v>
      </c>
      <c r="N54" s="96" t="s">
        <v>576</v>
      </c>
      <c r="O54" s="96" t="s">
        <v>641</v>
      </c>
      <c r="P54" s="6">
        <v>850</v>
      </c>
      <c r="Q54" s="216">
        <v>82.5</v>
      </c>
      <c r="R54" s="216">
        <v>82.5</v>
      </c>
    </row>
    <row r="55" spans="1:18" ht="26.25" customHeight="1">
      <c r="A55" s="99"/>
      <c r="B55" s="98"/>
      <c r="C55" s="97"/>
      <c r="D55" s="368">
        <v>5220000</v>
      </c>
      <c r="E55" s="369"/>
      <c r="F55" s="369"/>
      <c r="G55" s="89">
        <v>622</v>
      </c>
      <c r="H55" s="11" t="s">
        <v>337</v>
      </c>
      <c r="I55" s="10">
        <v>27</v>
      </c>
      <c r="J55" s="16">
        <v>1</v>
      </c>
      <c r="K55" s="16">
        <v>13</v>
      </c>
      <c r="L55" s="95" t="s">
        <v>573</v>
      </c>
      <c r="M55" s="96" t="s">
        <v>556</v>
      </c>
      <c r="N55" s="96" t="s">
        <v>576</v>
      </c>
      <c r="O55" s="96" t="s">
        <v>338</v>
      </c>
      <c r="P55" s="10"/>
      <c r="Q55" s="214">
        <f>SUM(Q56:Q57)</f>
        <v>4985.5</v>
      </c>
      <c r="R55" s="214">
        <f>SUM(R56:R57)</f>
        <v>19771.1</v>
      </c>
    </row>
    <row r="56" spans="1:18" ht="26.25" customHeight="1">
      <c r="A56" s="99"/>
      <c r="B56" s="98"/>
      <c r="C56" s="97"/>
      <c r="D56" s="101"/>
      <c r="E56" s="100"/>
      <c r="F56" s="100"/>
      <c r="G56" s="89"/>
      <c r="H56" s="11" t="s">
        <v>714</v>
      </c>
      <c r="I56" s="6">
        <v>27</v>
      </c>
      <c r="J56" s="19">
        <v>1</v>
      </c>
      <c r="K56" s="16">
        <v>13</v>
      </c>
      <c r="L56" s="95" t="s">
        <v>573</v>
      </c>
      <c r="M56" s="96" t="s">
        <v>556</v>
      </c>
      <c r="N56" s="96" t="s">
        <v>576</v>
      </c>
      <c r="O56" s="96" t="s">
        <v>338</v>
      </c>
      <c r="P56" s="10">
        <v>610</v>
      </c>
      <c r="Q56" s="214">
        <v>260</v>
      </c>
      <c r="R56" s="214">
        <v>260</v>
      </c>
    </row>
    <row r="57" spans="1:18" ht="24" customHeight="1">
      <c r="A57" s="99"/>
      <c r="B57" s="98"/>
      <c r="C57" s="103"/>
      <c r="D57" s="107"/>
      <c r="E57" s="178"/>
      <c r="F57" s="178"/>
      <c r="G57" s="89"/>
      <c r="H57" s="11" t="s">
        <v>749</v>
      </c>
      <c r="I57" s="10">
        <v>27</v>
      </c>
      <c r="J57" s="16">
        <v>1</v>
      </c>
      <c r="K57" s="16">
        <v>13</v>
      </c>
      <c r="L57" s="95" t="s">
        <v>573</v>
      </c>
      <c r="M57" s="96" t="s">
        <v>556</v>
      </c>
      <c r="N57" s="96" t="s">
        <v>576</v>
      </c>
      <c r="O57" s="96" t="s">
        <v>338</v>
      </c>
      <c r="P57" s="10">
        <v>620</v>
      </c>
      <c r="Q57" s="214">
        <f>4511.1+165.9+2500-2700+7793-2703.4-4841.1</f>
        <v>4725.5</v>
      </c>
      <c r="R57" s="214">
        <f>20511.1-1000-2390.4+2390.4</f>
        <v>19511.1</v>
      </c>
    </row>
    <row r="58" spans="1:18" ht="35.25" customHeight="1">
      <c r="A58" s="110"/>
      <c r="B58" s="111"/>
      <c r="C58" s="106"/>
      <c r="D58" s="107"/>
      <c r="E58" s="104"/>
      <c r="F58" s="104"/>
      <c r="G58" s="89"/>
      <c r="H58" s="11" t="s">
        <v>61</v>
      </c>
      <c r="I58" s="10">
        <v>27</v>
      </c>
      <c r="J58" s="16">
        <v>1</v>
      </c>
      <c r="K58" s="16">
        <v>13</v>
      </c>
      <c r="L58" s="95" t="s">
        <v>573</v>
      </c>
      <c r="M58" s="96" t="s">
        <v>556</v>
      </c>
      <c r="N58" s="96" t="s">
        <v>576</v>
      </c>
      <c r="O58" s="96" t="s">
        <v>60</v>
      </c>
      <c r="P58" s="10"/>
      <c r="Q58" s="214">
        <f>Q59</f>
        <v>2988.9</v>
      </c>
      <c r="R58" s="216">
        <f>R59</f>
        <v>2988.9</v>
      </c>
    </row>
    <row r="59" spans="1:18" ht="24" customHeight="1">
      <c r="A59" s="110"/>
      <c r="B59" s="111"/>
      <c r="C59" s="106"/>
      <c r="D59" s="107"/>
      <c r="E59" s="104"/>
      <c r="F59" s="104"/>
      <c r="G59" s="89"/>
      <c r="H59" s="11" t="s">
        <v>749</v>
      </c>
      <c r="I59" s="10">
        <v>27</v>
      </c>
      <c r="J59" s="16">
        <v>1</v>
      </c>
      <c r="K59" s="16">
        <v>13</v>
      </c>
      <c r="L59" s="95" t="s">
        <v>573</v>
      </c>
      <c r="M59" s="96" t="s">
        <v>556</v>
      </c>
      <c r="N59" s="96" t="s">
        <v>576</v>
      </c>
      <c r="O59" s="96" t="s">
        <v>60</v>
      </c>
      <c r="P59" s="10">
        <v>620</v>
      </c>
      <c r="Q59" s="214">
        <v>2988.9</v>
      </c>
      <c r="R59" s="216">
        <v>2988.9</v>
      </c>
    </row>
    <row r="60" spans="1:18" ht="47.25" customHeight="1">
      <c r="A60" s="110"/>
      <c r="B60" s="112"/>
      <c r="C60" s="106"/>
      <c r="D60" s="109"/>
      <c r="E60" s="104"/>
      <c r="F60" s="104"/>
      <c r="G60" s="89"/>
      <c r="H60" s="34" t="s">
        <v>653</v>
      </c>
      <c r="I60" s="10">
        <v>27</v>
      </c>
      <c r="J60" s="16">
        <v>1</v>
      </c>
      <c r="K60" s="16">
        <v>13</v>
      </c>
      <c r="L60" s="95" t="s">
        <v>573</v>
      </c>
      <c r="M60" s="96" t="s">
        <v>556</v>
      </c>
      <c r="N60" s="96" t="s">
        <v>576</v>
      </c>
      <c r="O60" s="96" t="s">
        <v>648</v>
      </c>
      <c r="P60" s="6"/>
      <c r="Q60" s="216">
        <f>SUM(Q61:Q62)</f>
        <v>480.79999999999995</v>
      </c>
      <c r="R60" s="216">
        <f>SUM(R61:R62)</f>
        <v>482.7</v>
      </c>
    </row>
    <row r="61" spans="1:18" ht="30" customHeight="1">
      <c r="A61" s="110"/>
      <c r="B61" s="112"/>
      <c r="C61" s="106"/>
      <c r="D61" s="109"/>
      <c r="E61" s="104"/>
      <c r="F61" s="104"/>
      <c r="G61" s="89"/>
      <c r="H61" s="34" t="s">
        <v>526</v>
      </c>
      <c r="I61" s="10">
        <v>27</v>
      </c>
      <c r="J61" s="16">
        <v>1</v>
      </c>
      <c r="K61" s="16">
        <v>13</v>
      </c>
      <c r="L61" s="95" t="s">
        <v>573</v>
      </c>
      <c r="M61" s="96" t="s">
        <v>556</v>
      </c>
      <c r="N61" s="96" t="s">
        <v>576</v>
      </c>
      <c r="O61" s="96" t="s">
        <v>648</v>
      </c>
      <c r="P61" s="10">
        <v>120</v>
      </c>
      <c r="Q61" s="214">
        <v>268.9</v>
      </c>
      <c r="R61" s="214">
        <v>268.9</v>
      </c>
    </row>
    <row r="62" spans="1:18" ht="30" customHeight="1">
      <c r="A62" s="110"/>
      <c r="B62" s="112"/>
      <c r="C62" s="106"/>
      <c r="D62" s="109"/>
      <c r="E62" s="104"/>
      <c r="F62" s="104"/>
      <c r="G62" s="89"/>
      <c r="H62" s="11" t="s">
        <v>712</v>
      </c>
      <c r="I62" s="10">
        <v>27</v>
      </c>
      <c r="J62" s="16">
        <v>1</v>
      </c>
      <c r="K62" s="16">
        <v>13</v>
      </c>
      <c r="L62" s="95" t="s">
        <v>573</v>
      </c>
      <c r="M62" s="96" t="s">
        <v>556</v>
      </c>
      <c r="N62" s="96" t="s">
        <v>576</v>
      </c>
      <c r="O62" s="96" t="s">
        <v>648</v>
      </c>
      <c r="P62" s="6">
        <v>240</v>
      </c>
      <c r="Q62" s="216">
        <v>211.9</v>
      </c>
      <c r="R62" s="216">
        <v>213.8</v>
      </c>
    </row>
    <row r="63" spans="1:18" ht="66" customHeight="1">
      <c r="A63" s="110"/>
      <c r="B63" s="112"/>
      <c r="C63" s="106"/>
      <c r="D63" s="109"/>
      <c r="E63" s="104"/>
      <c r="F63" s="104"/>
      <c r="G63" s="89"/>
      <c r="H63" s="11" t="s">
        <v>379</v>
      </c>
      <c r="I63" s="10">
        <v>27</v>
      </c>
      <c r="J63" s="16">
        <v>1</v>
      </c>
      <c r="K63" s="16">
        <v>13</v>
      </c>
      <c r="L63" s="95" t="s">
        <v>573</v>
      </c>
      <c r="M63" s="96" t="s">
        <v>556</v>
      </c>
      <c r="N63" s="96" t="s">
        <v>576</v>
      </c>
      <c r="O63" s="96" t="s">
        <v>642</v>
      </c>
      <c r="P63" s="6"/>
      <c r="Q63" s="216">
        <f>Q64</f>
        <v>3437.1</v>
      </c>
      <c r="R63" s="216">
        <f>R64</f>
        <v>3437.1</v>
      </c>
    </row>
    <row r="64" spans="1:18" ht="27" customHeight="1">
      <c r="A64" s="99"/>
      <c r="B64" s="98"/>
      <c r="C64" s="103"/>
      <c r="D64" s="101"/>
      <c r="E64" s="113"/>
      <c r="F64" s="113"/>
      <c r="G64" s="105">
        <v>120</v>
      </c>
      <c r="H64" s="11" t="s">
        <v>714</v>
      </c>
      <c r="I64" s="10">
        <v>27</v>
      </c>
      <c r="J64" s="16">
        <v>1</v>
      </c>
      <c r="K64" s="16">
        <v>13</v>
      </c>
      <c r="L64" s="95" t="s">
        <v>573</v>
      </c>
      <c r="M64" s="96" t="s">
        <v>556</v>
      </c>
      <c r="N64" s="96" t="s">
        <v>576</v>
      </c>
      <c r="O64" s="96" t="s">
        <v>642</v>
      </c>
      <c r="P64" s="6">
        <v>610</v>
      </c>
      <c r="Q64" s="216">
        <v>3437.1</v>
      </c>
      <c r="R64" s="216">
        <v>3437.1</v>
      </c>
    </row>
    <row r="65" spans="1:18" ht="21" customHeight="1">
      <c r="A65" s="97"/>
      <c r="B65" s="98"/>
      <c r="C65" s="106"/>
      <c r="D65" s="111"/>
      <c r="E65" s="114"/>
      <c r="F65" s="114"/>
      <c r="G65" s="89"/>
      <c r="H65" s="3" t="s">
        <v>807</v>
      </c>
      <c r="I65" s="10">
        <v>27</v>
      </c>
      <c r="J65" s="16">
        <v>1</v>
      </c>
      <c r="K65" s="16">
        <v>13</v>
      </c>
      <c r="L65" s="95" t="s">
        <v>573</v>
      </c>
      <c r="M65" s="96" t="s">
        <v>556</v>
      </c>
      <c r="N65" s="96" t="s">
        <v>576</v>
      </c>
      <c r="O65" s="96" t="s">
        <v>806</v>
      </c>
      <c r="P65" s="10"/>
      <c r="Q65" s="214">
        <f>SUM(Q66:Q67)</f>
        <v>784.4000000000001</v>
      </c>
      <c r="R65" s="214">
        <f>SUM(R66:R67)</f>
        <v>784.4000000000001</v>
      </c>
    </row>
    <row r="66" spans="1:18" ht="26.25" customHeight="1">
      <c r="A66" s="97"/>
      <c r="B66" s="98"/>
      <c r="C66" s="106"/>
      <c r="D66" s="111"/>
      <c r="E66" s="114"/>
      <c r="F66" s="114"/>
      <c r="G66" s="89"/>
      <c r="H66" s="34" t="s">
        <v>526</v>
      </c>
      <c r="I66" s="10">
        <v>27</v>
      </c>
      <c r="J66" s="16">
        <v>1</v>
      </c>
      <c r="K66" s="16">
        <v>13</v>
      </c>
      <c r="L66" s="95" t="s">
        <v>573</v>
      </c>
      <c r="M66" s="96" t="s">
        <v>556</v>
      </c>
      <c r="N66" s="96" t="s">
        <v>576</v>
      </c>
      <c r="O66" s="96" t="s">
        <v>806</v>
      </c>
      <c r="P66" s="10">
        <v>120</v>
      </c>
      <c r="Q66" s="215">
        <v>479.1</v>
      </c>
      <c r="R66" s="215">
        <v>479.1</v>
      </c>
    </row>
    <row r="67" spans="1:18" ht="30" customHeight="1">
      <c r="A67" s="97"/>
      <c r="B67" s="98"/>
      <c r="C67" s="106"/>
      <c r="D67" s="111"/>
      <c r="E67" s="114"/>
      <c r="F67" s="114"/>
      <c r="G67" s="89"/>
      <c r="H67" s="5" t="s">
        <v>712</v>
      </c>
      <c r="I67" s="10">
        <v>27</v>
      </c>
      <c r="J67" s="16">
        <v>1</v>
      </c>
      <c r="K67" s="16">
        <v>13</v>
      </c>
      <c r="L67" s="95" t="s">
        <v>573</v>
      </c>
      <c r="M67" s="96" t="s">
        <v>556</v>
      </c>
      <c r="N67" s="96" t="s">
        <v>576</v>
      </c>
      <c r="O67" s="96" t="s">
        <v>806</v>
      </c>
      <c r="P67" s="10">
        <v>240</v>
      </c>
      <c r="Q67" s="215">
        <v>305.3</v>
      </c>
      <c r="R67" s="215">
        <v>305.3</v>
      </c>
    </row>
    <row r="68" spans="1:18" ht="38.25" customHeight="1" hidden="1">
      <c r="A68" s="97"/>
      <c r="B68" s="98"/>
      <c r="C68" s="106"/>
      <c r="D68" s="111"/>
      <c r="E68" s="114"/>
      <c r="F68" s="114"/>
      <c r="G68" s="89"/>
      <c r="H68" s="3" t="s">
        <v>519</v>
      </c>
      <c r="I68" s="10">
        <v>27</v>
      </c>
      <c r="J68" s="16">
        <v>1</v>
      </c>
      <c r="K68" s="16">
        <v>13</v>
      </c>
      <c r="L68" s="95" t="s">
        <v>573</v>
      </c>
      <c r="M68" s="96" t="s">
        <v>556</v>
      </c>
      <c r="N68" s="96" t="s">
        <v>576</v>
      </c>
      <c r="O68" s="96" t="s">
        <v>520</v>
      </c>
      <c r="P68" s="10" t="s">
        <v>614</v>
      </c>
      <c r="Q68" s="214"/>
      <c r="R68" s="214"/>
    </row>
    <row r="69" spans="1:18" ht="28.5" customHeight="1" hidden="1">
      <c r="A69" s="97"/>
      <c r="B69" s="98"/>
      <c r="C69" s="106"/>
      <c r="D69" s="111"/>
      <c r="E69" s="114"/>
      <c r="F69" s="114"/>
      <c r="G69" s="89"/>
      <c r="H69" s="3" t="s">
        <v>712</v>
      </c>
      <c r="I69" s="10">
        <v>27</v>
      </c>
      <c r="J69" s="16">
        <v>1</v>
      </c>
      <c r="K69" s="16">
        <v>13</v>
      </c>
      <c r="L69" s="95" t="s">
        <v>573</v>
      </c>
      <c r="M69" s="96" t="s">
        <v>556</v>
      </c>
      <c r="N69" s="96" t="s">
        <v>576</v>
      </c>
      <c r="O69" s="96" t="s">
        <v>520</v>
      </c>
      <c r="P69" s="10">
        <v>240</v>
      </c>
      <c r="Q69" s="214"/>
      <c r="R69" s="214"/>
    </row>
    <row r="70" spans="1:18" ht="27.75" customHeight="1">
      <c r="A70" s="97"/>
      <c r="B70" s="98"/>
      <c r="C70" s="106"/>
      <c r="D70" s="111"/>
      <c r="E70" s="114"/>
      <c r="F70" s="114"/>
      <c r="G70" s="89"/>
      <c r="H70" s="3" t="s">
        <v>278</v>
      </c>
      <c r="I70" s="10">
        <v>27</v>
      </c>
      <c r="J70" s="16">
        <v>1</v>
      </c>
      <c r="K70" s="16">
        <v>13</v>
      </c>
      <c r="L70" s="95" t="s">
        <v>573</v>
      </c>
      <c r="M70" s="96" t="s">
        <v>556</v>
      </c>
      <c r="N70" s="96" t="s">
        <v>576</v>
      </c>
      <c r="O70" s="96" t="s">
        <v>6</v>
      </c>
      <c r="P70" s="10"/>
      <c r="Q70" s="214">
        <f>Q71</f>
        <v>221.6</v>
      </c>
      <c r="R70" s="214">
        <f>R71</f>
        <v>0</v>
      </c>
    </row>
    <row r="71" spans="1:18" ht="33.75" customHeight="1">
      <c r="A71" s="97"/>
      <c r="B71" s="98"/>
      <c r="C71" s="106"/>
      <c r="D71" s="111"/>
      <c r="E71" s="114"/>
      <c r="F71" s="114"/>
      <c r="G71" s="89"/>
      <c r="H71" s="3" t="s">
        <v>712</v>
      </c>
      <c r="I71" s="10">
        <v>27</v>
      </c>
      <c r="J71" s="16">
        <v>1</v>
      </c>
      <c r="K71" s="16">
        <v>13</v>
      </c>
      <c r="L71" s="95" t="s">
        <v>573</v>
      </c>
      <c r="M71" s="96" t="s">
        <v>556</v>
      </c>
      <c r="N71" s="96" t="s">
        <v>576</v>
      </c>
      <c r="O71" s="96" t="s">
        <v>6</v>
      </c>
      <c r="P71" s="10">
        <v>240</v>
      </c>
      <c r="Q71" s="215">
        <v>221.6</v>
      </c>
      <c r="R71" s="239">
        <v>0</v>
      </c>
    </row>
    <row r="72" spans="1:18" s="179" customFormat="1" ht="27" customHeight="1">
      <c r="A72" s="135"/>
      <c r="B72" s="135"/>
      <c r="C72" s="135"/>
      <c r="D72" s="135"/>
      <c r="E72" s="135"/>
      <c r="F72" s="135"/>
      <c r="G72" s="136"/>
      <c r="H72" s="137" t="s">
        <v>548</v>
      </c>
      <c r="I72" s="138">
        <v>27</v>
      </c>
      <c r="J72" s="139">
        <v>3</v>
      </c>
      <c r="K72" s="139" t="s">
        <v>614</v>
      </c>
      <c r="L72" s="140"/>
      <c r="M72" s="141"/>
      <c r="N72" s="141"/>
      <c r="O72" s="141"/>
      <c r="P72" s="146"/>
      <c r="Q72" s="217">
        <f>Q73+Q78</f>
        <v>1927</v>
      </c>
      <c r="R72" s="217">
        <f>R73+R78</f>
        <v>1927</v>
      </c>
    </row>
    <row r="73" spans="1:18" s="179" customFormat="1" ht="33" customHeight="1">
      <c r="A73" s="135"/>
      <c r="B73" s="135"/>
      <c r="C73" s="135"/>
      <c r="D73" s="135"/>
      <c r="E73" s="135"/>
      <c r="F73" s="135"/>
      <c r="G73" s="136"/>
      <c r="H73" s="137" t="s">
        <v>550</v>
      </c>
      <c r="I73" s="138">
        <v>27</v>
      </c>
      <c r="J73" s="139">
        <v>3</v>
      </c>
      <c r="K73" s="139">
        <v>9</v>
      </c>
      <c r="L73" s="140" t="s">
        <v>527</v>
      </c>
      <c r="M73" s="141" t="s">
        <v>527</v>
      </c>
      <c r="N73" s="141"/>
      <c r="O73" s="141" t="s">
        <v>527</v>
      </c>
      <c r="P73" s="146" t="s">
        <v>527</v>
      </c>
      <c r="Q73" s="217">
        <f>Q74</f>
        <v>1756</v>
      </c>
      <c r="R73" s="217">
        <f>R74</f>
        <v>1756</v>
      </c>
    </row>
    <row r="74" spans="1:18" s="179" customFormat="1" ht="33" customHeight="1">
      <c r="A74" s="135"/>
      <c r="B74" s="135"/>
      <c r="C74" s="135"/>
      <c r="D74" s="135"/>
      <c r="E74" s="135"/>
      <c r="F74" s="135"/>
      <c r="G74" s="136"/>
      <c r="H74" s="11" t="s">
        <v>292</v>
      </c>
      <c r="I74" s="10">
        <v>27</v>
      </c>
      <c r="J74" s="16">
        <v>3</v>
      </c>
      <c r="K74" s="16">
        <v>9</v>
      </c>
      <c r="L74" s="95" t="s">
        <v>573</v>
      </c>
      <c r="M74" s="96" t="s">
        <v>556</v>
      </c>
      <c r="N74" s="96" t="s">
        <v>576</v>
      </c>
      <c r="O74" s="96" t="s">
        <v>613</v>
      </c>
      <c r="P74" s="146"/>
      <c r="Q74" s="217">
        <f>Q75</f>
        <v>1756</v>
      </c>
      <c r="R74" s="217">
        <f>R75</f>
        <v>1756</v>
      </c>
    </row>
    <row r="75" spans="1:18" ht="26.25" customHeight="1">
      <c r="A75" s="88"/>
      <c r="B75" s="88"/>
      <c r="C75" s="88"/>
      <c r="D75" s="88"/>
      <c r="E75" s="88"/>
      <c r="F75" s="88"/>
      <c r="G75" s="89"/>
      <c r="H75" s="11" t="s">
        <v>337</v>
      </c>
      <c r="I75" s="10">
        <v>27</v>
      </c>
      <c r="J75" s="16">
        <v>3</v>
      </c>
      <c r="K75" s="16">
        <v>9</v>
      </c>
      <c r="L75" s="95" t="s">
        <v>573</v>
      </c>
      <c r="M75" s="96" t="s">
        <v>556</v>
      </c>
      <c r="N75" s="96" t="s">
        <v>576</v>
      </c>
      <c r="O75" s="96" t="s">
        <v>338</v>
      </c>
      <c r="P75" s="6" t="s">
        <v>527</v>
      </c>
      <c r="Q75" s="216">
        <f>SUM(Q76:Q77)</f>
        <v>1756</v>
      </c>
      <c r="R75" s="216">
        <f>SUM(R76:R77)</f>
        <v>1756</v>
      </c>
    </row>
    <row r="76" spans="1:18" ht="26.25" customHeight="1">
      <c r="A76" s="88"/>
      <c r="B76" s="88"/>
      <c r="C76" s="88"/>
      <c r="D76" s="88"/>
      <c r="E76" s="88"/>
      <c r="F76" s="88"/>
      <c r="G76" s="89"/>
      <c r="H76" s="11" t="s">
        <v>715</v>
      </c>
      <c r="I76" s="6">
        <v>27</v>
      </c>
      <c r="J76" s="19">
        <v>3</v>
      </c>
      <c r="K76" s="16">
        <v>9</v>
      </c>
      <c r="L76" s="95" t="s">
        <v>573</v>
      </c>
      <c r="M76" s="96" t="s">
        <v>556</v>
      </c>
      <c r="N76" s="96" t="s">
        <v>576</v>
      </c>
      <c r="O76" s="96" t="s">
        <v>338</v>
      </c>
      <c r="P76" s="6">
        <v>110</v>
      </c>
      <c r="Q76" s="216">
        <v>1690.1</v>
      </c>
      <c r="R76" s="216">
        <v>1690.1</v>
      </c>
    </row>
    <row r="77" spans="1:18" ht="23.25" customHeight="1">
      <c r="A77" s="88"/>
      <c r="B77" s="88"/>
      <c r="C77" s="88"/>
      <c r="D77" s="88"/>
      <c r="E77" s="88"/>
      <c r="F77" s="88"/>
      <c r="G77" s="89"/>
      <c r="H77" s="5" t="s">
        <v>712</v>
      </c>
      <c r="I77" s="8">
        <v>27</v>
      </c>
      <c r="J77" s="21">
        <v>3</v>
      </c>
      <c r="K77" s="16">
        <v>9</v>
      </c>
      <c r="L77" s="95" t="s">
        <v>573</v>
      </c>
      <c r="M77" s="96" t="s">
        <v>556</v>
      </c>
      <c r="N77" s="96" t="s">
        <v>576</v>
      </c>
      <c r="O77" s="96" t="s">
        <v>338</v>
      </c>
      <c r="P77" s="6">
        <v>240</v>
      </c>
      <c r="Q77" s="214">
        <v>65.9</v>
      </c>
      <c r="R77" s="214">
        <v>65.9</v>
      </c>
    </row>
    <row r="78" spans="1:18" s="179" customFormat="1" ht="25.5" customHeight="1">
      <c r="A78" s="135"/>
      <c r="B78" s="135"/>
      <c r="C78" s="135"/>
      <c r="D78" s="135"/>
      <c r="E78" s="135"/>
      <c r="F78" s="135"/>
      <c r="G78" s="136"/>
      <c r="H78" s="137" t="s">
        <v>549</v>
      </c>
      <c r="I78" s="138">
        <v>27</v>
      </c>
      <c r="J78" s="139">
        <v>3</v>
      </c>
      <c r="K78" s="139">
        <v>14</v>
      </c>
      <c r="L78" s="140"/>
      <c r="M78" s="141"/>
      <c r="N78" s="141"/>
      <c r="O78" s="141"/>
      <c r="P78" s="146"/>
      <c r="Q78" s="217">
        <f>Q79+Q84</f>
        <v>171</v>
      </c>
      <c r="R78" s="217">
        <f>R79+R84</f>
        <v>171</v>
      </c>
    </row>
    <row r="79" spans="1:18" ht="38.25" customHeight="1" hidden="1">
      <c r="A79" s="88"/>
      <c r="B79" s="88"/>
      <c r="C79" s="88"/>
      <c r="D79" s="88"/>
      <c r="E79" s="88"/>
      <c r="F79" s="88"/>
      <c r="G79" s="89"/>
      <c r="H79" s="11" t="s">
        <v>245</v>
      </c>
      <c r="I79" s="10">
        <v>27</v>
      </c>
      <c r="J79" s="16">
        <v>3</v>
      </c>
      <c r="K79" s="16">
        <v>14</v>
      </c>
      <c r="L79" s="95" t="s">
        <v>590</v>
      </c>
      <c r="M79" s="96" t="s">
        <v>556</v>
      </c>
      <c r="N79" s="96" t="s">
        <v>576</v>
      </c>
      <c r="O79" s="96" t="s">
        <v>613</v>
      </c>
      <c r="P79" s="6"/>
      <c r="Q79" s="216">
        <f aca="true" t="shared" si="1" ref="Q79:R82">Q80</f>
        <v>0</v>
      </c>
      <c r="R79" s="216">
        <f t="shared" si="1"/>
        <v>0</v>
      </c>
    </row>
    <row r="80" spans="1:18" ht="22.5" customHeight="1" hidden="1">
      <c r="A80" s="88"/>
      <c r="B80" s="88"/>
      <c r="C80" s="88"/>
      <c r="D80" s="88"/>
      <c r="E80" s="88"/>
      <c r="F80" s="88"/>
      <c r="G80" s="89"/>
      <c r="H80" s="11" t="s">
        <v>647</v>
      </c>
      <c r="I80" s="10">
        <v>27</v>
      </c>
      <c r="J80" s="16">
        <v>3</v>
      </c>
      <c r="K80" s="16">
        <v>14</v>
      </c>
      <c r="L80" s="95" t="s">
        <v>590</v>
      </c>
      <c r="M80" s="96" t="s">
        <v>552</v>
      </c>
      <c r="N80" s="96" t="s">
        <v>576</v>
      </c>
      <c r="O80" s="96" t="s">
        <v>613</v>
      </c>
      <c r="P80" s="6"/>
      <c r="Q80" s="216">
        <f t="shared" si="1"/>
        <v>0</v>
      </c>
      <c r="R80" s="216">
        <f t="shared" si="1"/>
        <v>0</v>
      </c>
    </row>
    <row r="81" spans="1:18" ht="36.75" customHeight="1" hidden="1">
      <c r="A81" s="88"/>
      <c r="B81" s="88"/>
      <c r="C81" s="88"/>
      <c r="D81" s="88"/>
      <c r="E81" s="88"/>
      <c r="F81" s="88"/>
      <c r="G81" s="89"/>
      <c r="H81" s="11" t="s">
        <v>270</v>
      </c>
      <c r="I81" s="10">
        <v>27</v>
      </c>
      <c r="J81" s="16">
        <v>3</v>
      </c>
      <c r="K81" s="16">
        <v>14</v>
      </c>
      <c r="L81" s="95" t="s">
        <v>590</v>
      </c>
      <c r="M81" s="96" t="s">
        <v>552</v>
      </c>
      <c r="N81" s="96" t="s">
        <v>581</v>
      </c>
      <c r="O81" s="96" t="s">
        <v>613</v>
      </c>
      <c r="P81" s="6"/>
      <c r="Q81" s="216">
        <f t="shared" si="1"/>
        <v>0</v>
      </c>
      <c r="R81" s="216">
        <f t="shared" si="1"/>
        <v>0</v>
      </c>
    </row>
    <row r="82" spans="1:18" ht="22.5" customHeight="1" hidden="1">
      <c r="A82" s="88"/>
      <c r="B82" s="88"/>
      <c r="C82" s="88"/>
      <c r="D82" s="88"/>
      <c r="E82" s="88"/>
      <c r="F82" s="88"/>
      <c r="G82" s="89"/>
      <c r="H82" s="34" t="s">
        <v>710</v>
      </c>
      <c r="I82" s="10">
        <v>27</v>
      </c>
      <c r="J82" s="16">
        <v>3</v>
      </c>
      <c r="K82" s="16">
        <v>14</v>
      </c>
      <c r="L82" s="16">
        <v>13</v>
      </c>
      <c r="M82" s="96" t="s">
        <v>552</v>
      </c>
      <c r="N82" s="96" t="s">
        <v>581</v>
      </c>
      <c r="O82" s="96" t="s">
        <v>344</v>
      </c>
      <c r="P82" s="6"/>
      <c r="Q82" s="216">
        <f t="shared" si="1"/>
        <v>0</v>
      </c>
      <c r="R82" s="216">
        <f t="shared" si="1"/>
        <v>0</v>
      </c>
    </row>
    <row r="83" spans="1:18" ht="22.5" customHeight="1" hidden="1">
      <c r="A83" s="88"/>
      <c r="B83" s="88"/>
      <c r="C83" s="88"/>
      <c r="D83" s="88"/>
      <c r="E83" s="88"/>
      <c r="F83" s="88"/>
      <c r="G83" s="89"/>
      <c r="H83" s="34" t="s">
        <v>712</v>
      </c>
      <c r="I83" s="6">
        <v>27</v>
      </c>
      <c r="J83" s="19">
        <v>3</v>
      </c>
      <c r="K83" s="16">
        <v>14</v>
      </c>
      <c r="L83" s="16">
        <v>13</v>
      </c>
      <c r="M83" s="96" t="s">
        <v>552</v>
      </c>
      <c r="N83" s="96" t="s">
        <v>581</v>
      </c>
      <c r="O83" s="96" t="s">
        <v>344</v>
      </c>
      <c r="P83" s="6">
        <v>240</v>
      </c>
      <c r="Q83" s="216"/>
      <c r="R83" s="216"/>
    </row>
    <row r="84" spans="1:18" ht="22.5" customHeight="1">
      <c r="A84" s="88"/>
      <c r="B84" s="88"/>
      <c r="C84" s="88"/>
      <c r="D84" s="88"/>
      <c r="E84" s="88"/>
      <c r="F84" s="88"/>
      <c r="G84" s="89"/>
      <c r="H84" s="11" t="s">
        <v>292</v>
      </c>
      <c r="I84" s="6">
        <v>27</v>
      </c>
      <c r="J84" s="19">
        <v>3</v>
      </c>
      <c r="K84" s="16">
        <v>14</v>
      </c>
      <c r="L84" s="16">
        <v>91</v>
      </c>
      <c r="M84" s="96" t="s">
        <v>556</v>
      </c>
      <c r="N84" s="96" t="s">
        <v>576</v>
      </c>
      <c r="O84" s="96" t="s">
        <v>613</v>
      </c>
      <c r="P84" s="6"/>
      <c r="Q84" s="216">
        <f>Q85</f>
        <v>171</v>
      </c>
      <c r="R84" s="216">
        <f>R85</f>
        <v>171</v>
      </c>
    </row>
    <row r="85" spans="1:18" ht="35.25" customHeight="1">
      <c r="A85" s="88"/>
      <c r="B85" s="88"/>
      <c r="C85" s="88"/>
      <c r="D85" s="88"/>
      <c r="E85" s="88"/>
      <c r="F85" s="88"/>
      <c r="G85" s="89"/>
      <c r="H85" s="11" t="s">
        <v>710</v>
      </c>
      <c r="I85" s="6">
        <v>27</v>
      </c>
      <c r="J85" s="21">
        <v>3</v>
      </c>
      <c r="K85" s="16">
        <v>14</v>
      </c>
      <c r="L85" s="16">
        <v>91</v>
      </c>
      <c r="M85" s="96" t="s">
        <v>556</v>
      </c>
      <c r="N85" s="96" t="s">
        <v>576</v>
      </c>
      <c r="O85" s="96" t="s">
        <v>344</v>
      </c>
      <c r="P85" s="6"/>
      <c r="Q85" s="216">
        <f>Q86</f>
        <v>171</v>
      </c>
      <c r="R85" s="216">
        <f>R86</f>
        <v>171</v>
      </c>
    </row>
    <row r="86" spans="1:18" ht="29.25" customHeight="1">
      <c r="A86" s="88"/>
      <c r="B86" s="88"/>
      <c r="C86" s="88"/>
      <c r="D86" s="88"/>
      <c r="E86" s="88"/>
      <c r="F86" s="88"/>
      <c r="G86" s="89"/>
      <c r="H86" s="11" t="s">
        <v>712</v>
      </c>
      <c r="I86" s="6">
        <v>27</v>
      </c>
      <c r="J86" s="21">
        <v>3</v>
      </c>
      <c r="K86" s="16">
        <v>14</v>
      </c>
      <c r="L86" s="16">
        <v>91</v>
      </c>
      <c r="M86" s="96" t="s">
        <v>556</v>
      </c>
      <c r="N86" s="96" t="s">
        <v>576</v>
      </c>
      <c r="O86" s="96" t="s">
        <v>344</v>
      </c>
      <c r="P86" s="6">
        <v>240</v>
      </c>
      <c r="Q86" s="240">
        <v>171</v>
      </c>
      <c r="R86" s="240">
        <v>171</v>
      </c>
    </row>
    <row r="87" spans="1:18" s="179" customFormat="1" ht="23.25" customHeight="1">
      <c r="A87" s="135"/>
      <c r="B87" s="135"/>
      <c r="C87" s="135"/>
      <c r="D87" s="135"/>
      <c r="E87" s="135"/>
      <c r="F87" s="135"/>
      <c r="G87" s="136"/>
      <c r="H87" s="137" t="s">
        <v>540</v>
      </c>
      <c r="I87" s="146">
        <v>27</v>
      </c>
      <c r="J87" s="148">
        <v>4</v>
      </c>
      <c r="K87" s="139"/>
      <c r="L87" s="140"/>
      <c r="M87" s="141"/>
      <c r="N87" s="141"/>
      <c r="O87" s="141"/>
      <c r="P87" s="146"/>
      <c r="Q87" s="217">
        <f>Q88+Q92+Q126</f>
        <v>21080.7</v>
      </c>
      <c r="R87" s="217">
        <f>R88+R92+R126</f>
        <v>21425.7</v>
      </c>
    </row>
    <row r="88" spans="1:18" s="179" customFormat="1" ht="26.25" customHeight="1">
      <c r="A88" s="142"/>
      <c r="B88" s="143"/>
      <c r="C88" s="153"/>
      <c r="D88" s="235"/>
      <c r="E88" s="166"/>
      <c r="F88" s="166"/>
      <c r="G88" s="136"/>
      <c r="H88" s="311" t="s">
        <v>345</v>
      </c>
      <c r="I88" s="152">
        <v>27</v>
      </c>
      <c r="J88" s="156">
        <v>4</v>
      </c>
      <c r="K88" s="139">
        <v>8</v>
      </c>
      <c r="L88" s="140"/>
      <c r="M88" s="141"/>
      <c r="N88" s="141"/>
      <c r="O88" s="141"/>
      <c r="P88" s="138"/>
      <c r="Q88" s="213">
        <f aca="true" t="shared" si="2" ref="Q88:R90">Q89</f>
        <v>600</v>
      </c>
      <c r="R88" s="213">
        <f t="shared" si="2"/>
        <v>600</v>
      </c>
    </row>
    <row r="89" spans="1:18" s="179" customFormat="1" ht="26.25" customHeight="1">
      <c r="A89" s="142"/>
      <c r="B89" s="143"/>
      <c r="C89" s="153"/>
      <c r="D89" s="235"/>
      <c r="E89" s="166"/>
      <c r="F89" s="166"/>
      <c r="G89" s="136"/>
      <c r="H89" s="11" t="s">
        <v>292</v>
      </c>
      <c r="I89" s="6">
        <v>27</v>
      </c>
      <c r="J89" s="21">
        <v>4</v>
      </c>
      <c r="K89" s="16">
        <v>8</v>
      </c>
      <c r="L89" s="95" t="s">
        <v>573</v>
      </c>
      <c r="M89" s="96" t="s">
        <v>556</v>
      </c>
      <c r="N89" s="96" t="s">
        <v>576</v>
      </c>
      <c r="O89" s="96" t="s">
        <v>613</v>
      </c>
      <c r="P89" s="138"/>
      <c r="Q89" s="213">
        <f t="shared" si="2"/>
        <v>600</v>
      </c>
      <c r="R89" s="213">
        <f t="shared" si="2"/>
        <v>600</v>
      </c>
    </row>
    <row r="90" spans="1:18" ht="26.25" customHeight="1">
      <c r="A90" s="99"/>
      <c r="B90" s="98"/>
      <c r="C90" s="103"/>
      <c r="D90" s="111"/>
      <c r="E90" s="114"/>
      <c r="F90" s="114"/>
      <c r="G90" s="89"/>
      <c r="H90" s="30" t="s">
        <v>738</v>
      </c>
      <c r="I90" s="8">
        <v>27</v>
      </c>
      <c r="J90" s="21">
        <v>4</v>
      </c>
      <c r="K90" s="16">
        <v>8</v>
      </c>
      <c r="L90" s="95" t="s">
        <v>573</v>
      </c>
      <c r="M90" s="96" t="s">
        <v>556</v>
      </c>
      <c r="N90" s="96" t="s">
        <v>576</v>
      </c>
      <c r="O90" s="96" t="s">
        <v>719</v>
      </c>
      <c r="P90" s="10"/>
      <c r="Q90" s="214">
        <f t="shared" si="2"/>
        <v>600</v>
      </c>
      <c r="R90" s="214">
        <f t="shared" si="2"/>
        <v>600</v>
      </c>
    </row>
    <row r="91" spans="1:18" ht="28.5" customHeight="1">
      <c r="A91" s="99"/>
      <c r="B91" s="98"/>
      <c r="C91" s="103"/>
      <c r="D91" s="111"/>
      <c r="E91" s="114"/>
      <c r="F91" s="114"/>
      <c r="G91" s="89"/>
      <c r="H91" s="30" t="s">
        <v>712</v>
      </c>
      <c r="I91" s="8">
        <v>27</v>
      </c>
      <c r="J91" s="21">
        <v>4</v>
      </c>
      <c r="K91" s="16">
        <v>8</v>
      </c>
      <c r="L91" s="95" t="s">
        <v>573</v>
      </c>
      <c r="M91" s="96" t="s">
        <v>556</v>
      </c>
      <c r="N91" s="96" t="s">
        <v>576</v>
      </c>
      <c r="O91" s="96" t="s">
        <v>719</v>
      </c>
      <c r="P91" s="10">
        <v>240</v>
      </c>
      <c r="Q91" s="214">
        <v>600</v>
      </c>
      <c r="R91" s="216">
        <v>600</v>
      </c>
    </row>
    <row r="92" spans="1:18" s="179" customFormat="1" ht="24.75" customHeight="1">
      <c r="A92" s="142"/>
      <c r="B92" s="143"/>
      <c r="C92" s="153"/>
      <c r="D92" s="150"/>
      <c r="E92" s="154"/>
      <c r="F92" s="154"/>
      <c r="G92" s="155">
        <v>321</v>
      </c>
      <c r="H92" s="149" t="s">
        <v>330</v>
      </c>
      <c r="I92" s="152">
        <v>27</v>
      </c>
      <c r="J92" s="156">
        <v>4</v>
      </c>
      <c r="K92" s="139">
        <v>9</v>
      </c>
      <c r="L92" s="140"/>
      <c r="M92" s="141"/>
      <c r="N92" s="141"/>
      <c r="O92" s="141"/>
      <c r="P92" s="146"/>
      <c r="Q92" s="217">
        <f>Q93</f>
        <v>12820.7</v>
      </c>
      <c r="R92" s="217">
        <f>R111</f>
        <v>13245.7</v>
      </c>
    </row>
    <row r="93" spans="1:18" ht="35.25" customHeight="1">
      <c r="A93" s="99"/>
      <c r="B93" s="98"/>
      <c r="C93" s="103"/>
      <c r="D93" s="101"/>
      <c r="E93" s="113"/>
      <c r="F93" s="113"/>
      <c r="G93" s="105">
        <v>530</v>
      </c>
      <c r="H93" s="5" t="s">
        <v>766</v>
      </c>
      <c r="I93" s="10">
        <v>27</v>
      </c>
      <c r="J93" s="16">
        <v>4</v>
      </c>
      <c r="K93" s="16">
        <v>9</v>
      </c>
      <c r="L93" s="95" t="s">
        <v>581</v>
      </c>
      <c r="M93" s="96" t="s">
        <v>556</v>
      </c>
      <c r="N93" s="96" t="s">
        <v>576</v>
      </c>
      <c r="O93" s="96" t="s">
        <v>613</v>
      </c>
      <c r="P93" s="6"/>
      <c r="Q93" s="216">
        <f>Q94+Q98+Q101+Q104+Q108</f>
        <v>12820.7</v>
      </c>
      <c r="R93" s="216">
        <f>R94+R98+R101+R104+R108</f>
        <v>0</v>
      </c>
    </row>
    <row r="94" spans="1:18" ht="29.25" customHeight="1">
      <c r="A94" s="99"/>
      <c r="B94" s="98"/>
      <c r="C94" s="103"/>
      <c r="D94" s="101"/>
      <c r="E94" s="113"/>
      <c r="F94" s="113"/>
      <c r="G94" s="105"/>
      <c r="H94" s="11" t="s">
        <v>654</v>
      </c>
      <c r="I94" s="10">
        <v>27</v>
      </c>
      <c r="J94" s="16">
        <v>4</v>
      </c>
      <c r="K94" s="16">
        <v>9</v>
      </c>
      <c r="L94" s="95" t="s">
        <v>581</v>
      </c>
      <c r="M94" s="96" t="s">
        <v>556</v>
      </c>
      <c r="N94" s="96" t="s">
        <v>557</v>
      </c>
      <c r="O94" s="96" t="s">
        <v>613</v>
      </c>
      <c r="P94" s="6"/>
      <c r="Q94" s="216">
        <f>Q95</f>
        <v>1428</v>
      </c>
      <c r="R94" s="216">
        <f>R95</f>
        <v>0</v>
      </c>
    </row>
    <row r="95" spans="1:18" ht="35.25" customHeight="1">
      <c r="A95" s="99"/>
      <c r="B95" s="98"/>
      <c r="C95" s="103"/>
      <c r="D95" s="101"/>
      <c r="E95" s="113"/>
      <c r="F95" s="113"/>
      <c r="G95" s="105"/>
      <c r="H95" s="11" t="s">
        <v>732</v>
      </c>
      <c r="I95" s="10">
        <v>27</v>
      </c>
      <c r="J95" s="16">
        <v>4</v>
      </c>
      <c r="K95" s="16">
        <v>9</v>
      </c>
      <c r="L95" s="95" t="s">
        <v>581</v>
      </c>
      <c r="M95" s="96" t="s">
        <v>556</v>
      </c>
      <c r="N95" s="96" t="s">
        <v>557</v>
      </c>
      <c r="O95" s="96" t="s">
        <v>342</v>
      </c>
      <c r="P95" s="6"/>
      <c r="Q95" s="216">
        <f>Q96+Q97</f>
        <v>1428</v>
      </c>
      <c r="R95" s="216">
        <f>R96+R97</f>
        <v>0</v>
      </c>
    </row>
    <row r="96" spans="1:18" ht="26.25" customHeight="1">
      <c r="A96" s="99"/>
      <c r="B96" s="98"/>
      <c r="C96" s="103"/>
      <c r="D96" s="101"/>
      <c r="E96" s="113"/>
      <c r="F96" s="113"/>
      <c r="G96" s="105"/>
      <c r="H96" s="30" t="s">
        <v>712</v>
      </c>
      <c r="I96" s="10">
        <v>27</v>
      </c>
      <c r="J96" s="16">
        <v>4</v>
      </c>
      <c r="K96" s="16">
        <v>9</v>
      </c>
      <c r="L96" s="95" t="s">
        <v>581</v>
      </c>
      <c r="M96" s="96" t="s">
        <v>556</v>
      </c>
      <c r="N96" s="96" t="s">
        <v>557</v>
      </c>
      <c r="O96" s="96" t="s">
        <v>342</v>
      </c>
      <c r="P96" s="6">
        <v>240</v>
      </c>
      <c r="Q96" s="216">
        <v>1428</v>
      </c>
      <c r="R96" s="216">
        <v>0</v>
      </c>
    </row>
    <row r="97" spans="1:18" ht="26.25" customHeight="1" hidden="1">
      <c r="A97" s="99"/>
      <c r="B97" s="98"/>
      <c r="C97" s="103"/>
      <c r="D97" s="101"/>
      <c r="E97" s="113"/>
      <c r="F97" s="113"/>
      <c r="G97" s="105"/>
      <c r="H97" s="11" t="s">
        <v>640</v>
      </c>
      <c r="I97" s="10">
        <v>27</v>
      </c>
      <c r="J97" s="16">
        <v>4</v>
      </c>
      <c r="K97" s="16">
        <v>9</v>
      </c>
      <c r="L97" s="95" t="s">
        <v>581</v>
      </c>
      <c r="M97" s="96" t="s">
        <v>556</v>
      </c>
      <c r="N97" s="96" t="s">
        <v>557</v>
      </c>
      <c r="O97" s="96" t="s">
        <v>342</v>
      </c>
      <c r="P97" s="6">
        <v>540</v>
      </c>
      <c r="Q97" s="216"/>
      <c r="R97" s="216"/>
    </row>
    <row r="98" spans="1:18" ht="25.5" customHeight="1" hidden="1">
      <c r="A98" s="99"/>
      <c r="B98" s="98"/>
      <c r="C98" s="103"/>
      <c r="D98" s="101"/>
      <c r="E98" s="113"/>
      <c r="F98" s="113"/>
      <c r="G98" s="105"/>
      <c r="H98" s="11" t="s">
        <v>815</v>
      </c>
      <c r="I98" s="10">
        <v>27</v>
      </c>
      <c r="J98" s="16">
        <v>4</v>
      </c>
      <c r="K98" s="16">
        <v>9</v>
      </c>
      <c r="L98" s="95" t="s">
        <v>581</v>
      </c>
      <c r="M98" s="96" t="s">
        <v>556</v>
      </c>
      <c r="N98" s="96" t="s">
        <v>585</v>
      </c>
      <c r="O98" s="96" t="s">
        <v>613</v>
      </c>
      <c r="P98" s="6"/>
      <c r="Q98" s="216">
        <f>Q99</f>
        <v>0</v>
      </c>
      <c r="R98" s="216">
        <f>R99</f>
        <v>0</v>
      </c>
    </row>
    <row r="99" spans="1:18" ht="24.75" customHeight="1" hidden="1">
      <c r="A99" s="99"/>
      <c r="B99" s="98"/>
      <c r="C99" s="103"/>
      <c r="D99" s="101"/>
      <c r="E99" s="113"/>
      <c r="F99" s="113"/>
      <c r="G99" s="105">
        <v>611</v>
      </c>
      <c r="H99" s="11" t="s">
        <v>754</v>
      </c>
      <c r="I99" s="10">
        <v>27</v>
      </c>
      <c r="J99" s="16">
        <v>4</v>
      </c>
      <c r="K99" s="16">
        <v>9</v>
      </c>
      <c r="L99" s="95" t="s">
        <v>581</v>
      </c>
      <c r="M99" s="96" t="s">
        <v>556</v>
      </c>
      <c r="N99" s="96" t="s">
        <v>585</v>
      </c>
      <c r="O99" s="96" t="s">
        <v>753</v>
      </c>
      <c r="P99" s="6"/>
      <c r="Q99" s="216">
        <f>Q100</f>
        <v>0</v>
      </c>
      <c r="R99" s="216">
        <f>R100</f>
        <v>0</v>
      </c>
    </row>
    <row r="100" spans="1:18" ht="27.75" customHeight="1" hidden="1">
      <c r="A100" s="99"/>
      <c r="B100" s="98"/>
      <c r="C100" s="103"/>
      <c r="D100" s="101"/>
      <c r="E100" s="104"/>
      <c r="F100" s="104"/>
      <c r="G100" s="105"/>
      <c r="H100" s="5" t="s">
        <v>712</v>
      </c>
      <c r="I100" s="13">
        <v>27</v>
      </c>
      <c r="J100" s="7">
        <v>4</v>
      </c>
      <c r="K100" s="16">
        <v>9</v>
      </c>
      <c r="L100" s="95" t="s">
        <v>581</v>
      </c>
      <c r="M100" s="96" t="s">
        <v>556</v>
      </c>
      <c r="N100" s="96" t="s">
        <v>585</v>
      </c>
      <c r="O100" s="96" t="s">
        <v>753</v>
      </c>
      <c r="P100" s="6">
        <v>240</v>
      </c>
      <c r="Q100" s="214"/>
      <c r="R100" s="214">
        <v>0</v>
      </c>
    </row>
    <row r="101" spans="1:18" ht="24.75" customHeight="1">
      <c r="A101" s="99"/>
      <c r="B101" s="98"/>
      <c r="C101" s="103"/>
      <c r="D101" s="101"/>
      <c r="E101" s="104"/>
      <c r="F101" s="104"/>
      <c r="G101" s="105"/>
      <c r="H101" s="5" t="s">
        <v>249</v>
      </c>
      <c r="I101" s="13">
        <v>27</v>
      </c>
      <c r="J101" s="7">
        <v>4</v>
      </c>
      <c r="K101" s="16">
        <v>9</v>
      </c>
      <c r="L101" s="95" t="s">
        <v>581</v>
      </c>
      <c r="M101" s="96" t="s">
        <v>556</v>
      </c>
      <c r="N101" s="96" t="s">
        <v>586</v>
      </c>
      <c r="O101" s="96" t="s">
        <v>613</v>
      </c>
      <c r="P101" s="6"/>
      <c r="Q101" s="216">
        <f>Q102</f>
        <v>10491</v>
      </c>
      <c r="R101" s="216">
        <f>R102</f>
        <v>0</v>
      </c>
    </row>
    <row r="102" spans="1:18" ht="24.75" customHeight="1">
      <c r="A102" s="99"/>
      <c r="B102" s="98"/>
      <c r="C102" s="103"/>
      <c r="D102" s="101"/>
      <c r="E102" s="104"/>
      <c r="F102" s="104"/>
      <c r="G102" s="105"/>
      <c r="H102" s="5" t="s">
        <v>754</v>
      </c>
      <c r="I102" s="13">
        <v>27</v>
      </c>
      <c r="J102" s="7">
        <v>4</v>
      </c>
      <c r="K102" s="16">
        <v>9</v>
      </c>
      <c r="L102" s="95" t="s">
        <v>581</v>
      </c>
      <c r="M102" s="96" t="s">
        <v>556</v>
      </c>
      <c r="N102" s="96" t="s">
        <v>586</v>
      </c>
      <c r="O102" s="96" t="s">
        <v>753</v>
      </c>
      <c r="P102" s="6"/>
      <c r="Q102" s="216">
        <f>Q103</f>
        <v>10491</v>
      </c>
      <c r="R102" s="216">
        <f>R103</f>
        <v>0</v>
      </c>
    </row>
    <row r="103" spans="1:18" ht="24.75" customHeight="1">
      <c r="A103" s="99"/>
      <c r="B103" s="98"/>
      <c r="C103" s="103"/>
      <c r="D103" s="101"/>
      <c r="E103" s="104"/>
      <c r="F103" s="104"/>
      <c r="G103" s="105"/>
      <c r="H103" s="5" t="s">
        <v>712</v>
      </c>
      <c r="I103" s="13">
        <v>27</v>
      </c>
      <c r="J103" s="7">
        <v>4</v>
      </c>
      <c r="K103" s="16">
        <v>9</v>
      </c>
      <c r="L103" s="95" t="s">
        <v>581</v>
      </c>
      <c r="M103" s="96" t="s">
        <v>556</v>
      </c>
      <c r="N103" s="96" t="s">
        <v>586</v>
      </c>
      <c r="O103" s="96" t="s">
        <v>753</v>
      </c>
      <c r="P103" s="6">
        <v>240</v>
      </c>
      <c r="Q103" s="216">
        <v>10491</v>
      </c>
      <c r="R103" s="216">
        <v>0</v>
      </c>
    </row>
    <row r="104" spans="1:18" ht="22.5" customHeight="1">
      <c r="A104" s="99"/>
      <c r="B104" s="98"/>
      <c r="C104" s="103"/>
      <c r="D104" s="101"/>
      <c r="E104" s="104"/>
      <c r="F104" s="104"/>
      <c r="G104" s="105"/>
      <c r="H104" s="5" t="s">
        <v>770</v>
      </c>
      <c r="I104" s="13">
        <v>27</v>
      </c>
      <c r="J104" s="7">
        <v>4</v>
      </c>
      <c r="K104" s="16">
        <v>9</v>
      </c>
      <c r="L104" s="95" t="s">
        <v>581</v>
      </c>
      <c r="M104" s="96" t="s">
        <v>556</v>
      </c>
      <c r="N104" s="96" t="s">
        <v>559</v>
      </c>
      <c r="O104" s="96" t="s">
        <v>613</v>
      </c>
      <c r="P104" s="6"/>
      <c r="Q104" s="216">
        <f>Q105</f>
        <v>901.7</v>
      </c>
      <c r="R104" s="216">
        <f>R105</f>
        <v>0</v>
      </c>
    </row>
    <row r="105" spans="1:18" ht="31.5" customHeight="1">
      <c r="A105" s="99"/>
      <c r="B105" s="98"/>
      <c r="C105" s="103"/>
      <c r="D105" s="101"/>
      <c r="E105" s="104"/>
      <c r="F105" s="104"/>
      <c r="G105" s="105"/>
      <c r="H105" s="5" t="s">
        <v>267</v>
      </c>
      <c r="I105" s="13">
        <v>27</v>
      </c>
      <c r="J105" s="7">
        <v>4</v>
      </c>
      <c r="K105" s="16">
        <v>9</v>
      </c>
      <c r="L105" s="95" t="s">
        <v>581</v>
      </c>
      <c r="M105" s="96" t="s">
        <v>556</v>
      </c>
      <c r="N105" s="96" t="s">
        <v>559</v>
      </c>
      <c r="O105" s="96" t="s">
        <v>266</v>
      </c>
      <c r="P105" s="6"/>
      <c r="Q105" s="216">
        <f>Q106</f>
        <v>901.7</v>
      </c>
      <c r="R105" s="216">
        <f>R106</f>
        <v>0</v>
      </c>
    </row>
    <row r="106" spans="1:18" ht="31.5" customHeight="1">
      <c r="A106" s="99"/>
      <c r="B106" s="98"/>
      <c r="C106" s="103"/>
      <c r="D106" s="101"/>
      <c r="E106" s="104"/>
      <c r="F106" s="104"/>
      <c r="G106" s="105"/>
      <c r="H106" s="5" t="s">
        <v>712</v>
      </c>
      <c r="I106" s="13">
        <v>27</v>
      </c>
      <c r="J106" s="7">
        <v>4</v>
      </c>
      <c r="K106" s="16">
        <v>9</v>
      </c>
      <c r="L106" s="95" t="s">
        <v>581</v>
      </c>
      <c r="M106" s="96" t="s">
        <v>556</v>
      </c>
      <c r="N106" s="96" t="s">
        <v>559</v>
      </c>
      <c r="O106" s="96" t="s">
        <v>266</v>
      </c>
      <c r="P106" s="6">
        <v>240</v>
      </c>
      <c r="Q106" s="216">
        <v>901.7</v>
      </c>
      <c r="R106" s="216">
        <v>0</v>
      </c>
    </row>
    <row r="107" spans="1:18" ht="22.5" customHeight="1" hidden="1">
      <c r="A107" s="99"/>
      <c r="B107" s="98"/>
      <c r="C107" s="103"/>
      <c r="D107" s="101"/>
      <c r="E107" s="104"/>
      <c r="F107" s="104"/>
      <c r="G107" s="105"/>
      <c r="H107" s="5" t="s">
        <v>640</v>
      </c>
      <c r="I107" s="13">
        <v>27</v>
      </c>
      <c r="J107" s="7">
        <v>4</v>
      </c>
      <c r="K107" s="16">
        <v>9</v>
      </c>
      <c r="L107" s="95" t="s">
        <v>581</v>
      </c>
      <c r="M107" s="96" t="s">
        <v>556</v>
      </c>
      <c r="N107" s="96" t="s">
        <v>559</v>
      </c>
      <c r="O107" s="96" t="s">
        <v>266</v>
      </c>
      <c r="P107" s="6">
        <v>540</v>
      </c>
      <c r="Q107" s="216"/>
      <c r="R107" s="216"/>
    </row>
    <row r="108" spans="1:18" ht="33.75" customHeight="1" hidden="1">
      <c r="A108" s="99"/>
      <c r="B108" s="98"/>
      <c r="C108" s="103"/>
      <c r="D108" s="101"/>
      <c r="E108" s="104"/>
      <c r="F108" s="104"/>
      <c r="G108" s="105"/>
      <c r="H108" s="5" t="s">
        <v>775</v>
      </c>
      <c r="I108" s="13">
        <v>27</v>
      </c>
      <c r="J108" s="7">
        <v>4</v>
      </c>
      <c r="K108" s="16">
        <v>9</v>
      </c>
      <c r="L108" s="95" t="s">
        <v>581</v>
      </c>
      <c r="M108" s="96" t="s">
        <v>556</v>
      </c>
      <c r="N108" s="96" t="s">
        <v>588</v>
      </c>
      <c r="O108" s="96" t="s">
        <v>613</v>
      </c>
      <c r="P108" s="6"/>
      <c r="Q108" s="216">
        <f>Q109</f>
        <v>0</v>
      </c>
      <c r="R108" s="216">
        <f>R109</f>
        <v>0</v>
      </c>
    </row>
    <row r="109" spans="1:18" ht="32.25" customHeight="1" hidden="1">
      <c r="A109" s="99"/>
      <c r="B109" s="98"/>
      <c r="C109" s="103"/>
      <c r="D109" s="101"/>
      <c r="E109" s="104"/>
      <c r="F109" s="104"/>
      <c r="G109" s="105"/>
      <c r="H109" s="5" t="s">
        <v>774</v>
      </c>
      <c r="I109" s="13">
        <v>27</v>
      </c>
      <c r="J109" s="7">
        <v>4</v>
      </c>
      <c r="K109" s="16">
        <v>9</v>
      </c>
      <c r="L109" s="95" t="s">
        <v>581</v>
      </c>
      <c r="M109" s="96" t="s">
        <v>556</v>
      </c>
      <c r="N109" s="96" t="s">
        <v>588</v>
      </c>
      <c r="O109" s="96" t="s">
        <v>248</v>
      </c>
      <c r="P109" s="6"/>
      <c r="Q109" s="216">
        <f>Q110</f>
        <v>0</v>
      </c>
      <c r="R109" s="216">
        <f>R110</f>
        <v>0</v>
      </c>
    </row>
    <row r="110" spans="1:18" ht="24.75" customHeight="1" hidden="1">
      <c r="A110" s="99"/>
      <c r="B110" s="98"/>
      <c r="C110" s="103"/>
      <c r="D110" s="101"/>
      <c r="E110" s="104"/>
      <c r="F110" s="104"/>
      <c r="G110" s="105"/>
      <c r="H110" s="5" t="s">
        <v>773</v>
      </c>
      <c r="I110" s="13">
        <v>27</v>
      </c>
      <c r="J110" s="7">
        <v>4</v>
      </c>
      <c r="K110" s="16">
        <v>9</v>
      </c>
      <c r="L110" s="95" t="s">
        <v>581</v>
      </c>
      <c r="M110" s="96" t="s">
        <v>556</v>
      </c>
      <c r="N110" s="96" t="s">
        <v>588</v>
      </c>
      <c r="O110" s="96" t="s">
        <v>248</v>
      </c>
      <c r="P110" s="6">
        <v>540</v>
      </c>
      <c r="Q110" s="216"/>
      <c r="R110" s="216"/>
    </row>
    <row r="111" spans="1:18" ht="35.25" customHeight="1">
      <c r="A111" s="99"/>
      <c r="B111" s="98"/>
      <c r="C111" s="103"/>
      <c r="D111" s="101"/>
      <c r="E111" s="113"/>
      <c r="F111" s="113"/>
      <c r="G111" s="105">
        <v>530</v>
      </c>
      <c r="H111" s="5" t="s">
        <v>375</v>
      </c>
      <c r="I111" s="10">
        <v>27</v>
      </c>
      <c r="J111" s="16">
        <v>4</v>
      </c>
      <c r="K111" s="16">
        <v>9</v>
      </c>
      <c r="L111" s="95" t="s">
        <v>702</v>
      </c>
      <c r="M111" s="96" t="s">
        <v>556</v>
      </c>
      <c r="N111" s="96" t="s">
        <v>576</v>
      </c>
      <c r="O111" s="96" t="s">
        <v>613</v>
      </c>
      <c r="P111" s="6"/>
      <c r="Q111" s="216">
        <v>0</v>
      </c>
      <c r="R111" s="216">
        <f>R112+R116+R119+R122</f>
        <v>13245.7</v>
      </c>
    </row>
    <row r="112" spans="1:18" ht="29.25" customHeight="1">
      <c r="A112" s="99"/>
      <c r="B112" s="98"/>
      <c r="C112" s="103"/>
      <c r="D112" s="101"/>
      <c r="E112" s="113"/>
      <c r="F112" s="113"/>
      <c r="G112" s="105"/>
      <c r="H112" s="11" t="s">
        <v>654</v>
      </c>
      <c r="I112" s="10">
        <v>27</v>
      </c>
      <c r="J112" s="16">
        <v>4</v>
      </c>
      <c r="K112" s="16">
        <v>9</v>
      </c>
      <c r="L112" s="95" t="s">
        <v>702</v>
      </c>
      <c r="M112" s="96" t="s">
        <v>556</v>
      </c>
      <c r="N112" s="96" t="s">
        <v>557</v>
      </c>
      <c r="O112" s="96" t="s">
        <v>613</v>
      </c>
      <c r="P112" s="6"/>
      <c r="Q112" s="216">
        <f>Q113</f>
        <v>0</v>
      </c>
      <c r="R112" s="216">
        <f>R113</f>
        <v>1428</v>
      </c>
    </row>
    <row r="113" spans="1:18" ht="35.25" customHeight="1">
      <c r="A113" s="99"/>
      <c r="B113" s="98"/>
      <c r="C113" s="103"/>
      <c r="D113" s="101"/>
      <c r="E113" s="113"/>
      <c r="F113" s="113"/>
      <c r="G113" s="105"/>
      <c r="H113" s="11" t="s">
        <v>732</v>
      </c>
      <c r="I113" s="10">
        <v>27</v>
      </c>
      <c r="J113" s="16">
        <v>4</v>
      </c>
      <c r="K113" s="16">
        <v>9</v>
      </c>
      <c r="L113" s="95" t="s">
        <v>702</v>
      </c>
      <c r="M113" s="96" t="s">
        <v>556</v>
      </c>
      <c r="N113" s="96" t="s">
        <v>557</v>
      </c>
      <c r="O113" s="96" t="s">
        <v>342</v>
      </c>
      <c r="P113" s="6"/>
      <c r="Q113" s="216">
        <f>Q114+Q115</f>
        <v>0</v>
      </c>
      <c r="R113" s="216">
        <f>R114+R115</f>
        <v>1428</v>
      </c>
    </row>
    <row r="114" spans="1:18" ht="26.25" customHeight="1">
      <c r="A114" s="99"/>
      <c r="B114" s="98"/>
      <c r="C114" s="103"/>
      <c r="D114" s="101"/>
      <c r="E114" s="113"/>
      <c r="F114" s="113"/>
      <c r="G114" s="105"/>
      <c r="H114" s="30" t="s">
        <v>712</v>
      </c>
      <c r="I114" s="10">
        <v>27</v>
      </c>
      <c r="J114" s="16">
        <v>4</v>
      </c>
      <c r="K114" s="16">
        <v>9</v>
      </c>
      <c r="L114" s="95" t="s">
        <v>702</v>
      </c>
      <c r="M114" s="96" t="s">
        <v>556</v>
      </c>
      <c r="N114" s="96" t="s">
        <v>557</v>
      </c>
      <c r="O114" s="96" t="s">
        <v>342</v>
      </c>
      <c r="P114" s="6">
        <v>240</v>
      </c>
      <c r="Q114" s="216">
        <v>0</v>
      </c>
      <c r="R114" s="216">
        <v>1428</v>
      </c>
    </row>
    <row r="115" spans="1:18" ht="26.25" customHeight="1" hidden="1">
      <c r="A115" s="99"/>
      <c r="B115" s="98"/>
      <c r="C115" s="103"/>
      <c r="D115" s="101"/>
      <c r="E115" s="113"/>
      <c r="F115" s="113"/>
      <c r="G115" s="105"/>
      <c r="H115" s="11" t="s">
        <v>640</v>
      </c>
      <c r="I115" s="10">
        <v>27</v>
      </c>
      <c r="J115" s="16">
        <v>4</v>
      </c>
      <c r="K115" s="16">
        <v>9</v>
      </c>
      <c r="L115" s="95" t="s">
        <v>702</v>
      </c>
      <c r="M115" s="96" t="s">
        <v>556</v>
      </c>
      <c r="N115" s="96" t="s">
        <v>557</v>
      </c>
      <c r="O115" s="96" t="s">
        <v>342</v>
      </c>
      <c r="P115" s="6">
        <v>540</v>
      </c>
      <c r="Q115" s="216"/>
      <c r="R115" s="216"/>
    </row>
    <row r="116" spans="1:18" ht="25.5" customHeight="1" hidden="1">
      <c r="A116" s="99"/>
      <c r="B116" s="98"/>
      <c r="C116" s="103"/>
      <c r="D116" s="101"/>
      <c r="E116" s="113"/>
      <c r="F116" s="113"/>
      <c r="G116" s="105"/>
      <c r="H116" s="11" t="s">
        <v>815</v>
      </c>
      <c r="I116" s="10">
        <v>27</v>
      </c>
      <c r="J116" s="16">
        <v>4</v>
      </c>
      <c r="K116" s="16">
        <v>9</v>
      </c>
      <c r="L116" s="95" t="s">
        <v>702</v>
      </c>
      <c r="M116" s="96" t="s">
        <v>556</v>
      </c>
      <c r="N116" s="96" t="s">
        <v>585</v>
      </c>
      <c r="O116" s="96" t="s">
        <v>613</v>
      </c>
      <c r="P116" s="6"/>
      <c r="Q116" s="216">
        <f>Q117</f>
        <v>0</v>
      </c>
      <c r="R116" s="216">
        <f>R117</f>
        <v>0</v>
      </c>
    </row>
    <row r="117" spans="1:18" ht="24.75" customHeight="1" hidden="1">
      <c r="A117" s="99"/>
      <c r="B117" s="98"/>
      <c r="C117" s="103"/>
      <c r="D117" s="101"/>
      <c r="E117" s="113"/>
      <c r="F117" s="113"/>
      <c r="G117" s="105">
        <v>611</v>
      </c>
      <c r="H117" s="11" t="s">
        <v>754</v>
      </c>
      <c r="I117" s="10">
        <v>27</v>
      </c>
      <c r="J117" s="16">
        <v>4</v>
      </c>
      <c r="K117" s="16">
        <v>9</v>
      </c>
      <c r="L117" s="95" t="s">
        <v>702</v>
      </c>
      <c r="M117" s="96" t="s">
        <v>556</v>
      </c>
      <c r="N117" s="96" t="s">
        <v>585</v>
      </c>
      <c r="O117" s="96" t="s">
        <v>753</v>
      </c>
      <c r="P117" s="6"/>
      <c r="Q117" s="216">
        <f>Q118</f>
        <v>0</v>
      </c>
      <c r="R117" s="216">
        <f>R118</f>
        <v>0</v>
      </c>
    </row>
    <row r="118" spans="1:18" ht="27.75" customHeight="1" hidden="1">
      <c r="A118" s="99"/>
      <c r="B118" s="98"/>
      <c r="C118" s="103"/>
      <c r="D118" s="101"/>
      <c r="E118" s="104"/>
      <c r="F118" s="104"/>
      <c r="G118" s="105"/>
      <c r="H118" s="5" t="s">
        <v>712</v>
      </c>
      <c r="I118" s="13">
        <v>27</v>
      </c>
      <c r="J118" s="7">
        <v>4</v>
      </c>
      <c r="K118" s="16">
        <v>9</v>
      </c>
      <c r="L118" s="95" t="s">
        <v>702</v>
      </c>
      <c r="M118" s="96" t="s">
        <v>556</v>
      </c>
      <c r="N118" s="96" t="s">
        <v>585</v>
      </c>
      <c r="O118" s="96" t="s">
        <v>753</v>
      </c>
      <c r="P118" s="6">
        <v>240</v>
      </c>
      <c r="Q118" s="214"/>
      <c r="R118" s="214"/>
    </row>
    <row r="119" spans="1:18" ht="24.75" customHeight="1">
      <c r="A119" s="99"/>
      <c r="B119" s="98"/>
      <c r="C119" s="103"/>
      <c r="D119" s="101"/>
      <c r="E119" s="104"/>
      <c r="F119" s="104"/>
      <c r="G119" s="105"/>
      <c r="H119" s="5" t="s">
        <v>249</v>
      </c>
      <c r="I119" s="13">
        <v>27</v>
      </c>
      <c r="J119" s="7">
        <v>4</v>
      </c>
      <c r="K119" s="16">
        <v>9</v>
      </c>
      <c r="L119" s="95" t="s">
        <v>702</v>
      </c>
      <c r="M119" s="96" t="s">
        <v>556</v>
      </c>
      <c r="N119" s="96" t="s">
        <v>586</v>
      </c>
      <c r="O119" s="96" t="s">
        <v>613</v>
      </c>
      <c r="P119" s="6"/>
      <c r="Q119" s="216">
        <f>Q120</f>
        <v>0</v>
      </c>
      <c r="R119" s="216">
        <f>R120</f>
        <v>10916</v>
      </c>
    </row>
    <row r="120" spans="1:18" ht="24.75" customHeight="1">
      <c r="A120" s="99"/>
      <c r="B120" s="98"/>
      <c r="C120" s="103"/>
      <c r="D120" s="101"/>
      <c r="E120" s="104"/>
      <c r="F120" s="104"/>
      <c r="G120" s="105"/>
      <c r="H120" s="5" t="s">
        <v>754</v>
      </c>
      <c r="I120" s="13">
        <v>27</v>
      </c>
      <c r="J120" s="7">
        <v>4</v>
      </c>
      <c r="K120" s="16">
        <v>9</v>
      </c>
      <c r="L120" s="95" t="s">
        <v>702</v>
      </c>
      <c r="M120" s="96" t="s">
        <v>556</v>
      </c>
      <c r="N120" s="96" t="s">
        <v>586</v>
      </c>
      <c r="O120" s="96" t="s">
        <v>753</v>
      </c>
      <c r="P120" s="6"/>
      <c r="Q120" s="216">
        <f>Q121</f>
        <v>0</v>
      </c>
      <c r="R120" s="216">
        <f>R121</f>
        <v>10916</v>
      </c>
    </row>
    <row r="121" spans="1:18" ht="24.75" customHeight="1">
      <c r="A121" s="99"/>
      <c r="B121" s="98"/>
      <c r="C121" s="103"/>
      <c r="D121" s="101"/>
      <c r="E121" s="104"/>
      <c r="F121" s="104"/>
      <c r="G121" s="105"/>
      <c r="H121" s="5" t="s">
        <v>712</v>
      </c>
      <c r="I121" s="13">
        <v>27</v>
      </c>
      <c r="J121" s="7">
        <v>4</v>
      </c>
      <c r="K121" s="16">
        <v>9</v>
      </c>
      <c r="L121" s="95" t="s">
        <v>702</v>
      </c>
      <c r="M121" s="96" t="s">
        <v>556</v>
      </c>
      <c r="N121" s="96" t="s">
        <v>586</v>
      </c>
      <c r="O121" s="96" t="s">
        <v>753</v>
      </c>
      <c r="P121" s="6">
        <v>240</v>
      </c>
      <c r="Q121" s="216">
        <v>0</v>
      </c>
      <c r="R121" s="216">
        <v>10916</v>
      </c>
    </row>
    <row r="122" spans="1:18" ht="22.5" customHeight="1">
      <c r="A122" s="99"/>
      <c r="B122" s="98"/>
      <c r="C122" s="103"/>
      <c r="D122" s="101"/>
      <c r="E122" s="104"/>
      <c r="F122" s="104"/>
      <c r="G122" s="105"/>
      <c r="H122" s="5" t="s">
        <v>770</v>
      </c>
      <c r="I122" s="13">
        <v>27</v>
      </c>
      <c r="J122" s="7">
        <v>4</v>
      </c>
      <c r="K122" s="16">
        <v>9</v>
      </c>
      <c r="L122" s="95" t="s">
        <v>702</v>
      </c>
      <c r="M122" s="96" t="s">
        <v>556</v>
      </c>
      <c r="N122" s="96" t="s">
        <v>559</v>
      </c>
      <c r="O122" s="96" t="s">
        <v>613</v>
      </c>
      <c r="P122" s="6"/>
      <c r="Q122" s="216">
        <f>Q123</f>
        <v>0</v>
      </c>
      <c r="R122" s="216">
        <f>R123</f>
        <v>901.7</v>
      </c>
    </row>
    <row r="123" spans="1:18" ht="31.5" customHeight="1">
      <c r="A123" s="99"/>
      <c r="B123" s="98"/>
      <c r="C123" s="103"/>
      <c r="D123" s="101"/>
      <c r="E123" s="104"/>
      <c r="F123" s="104"/>
      <c r="G123" s="105"/>
      <c r="H123" s="5" t="s">
        <v>267</v>
      </c>
      <c r="I123" s="13">
        <v>27</v>
      </c>
      <c r="J123" s="7">
        <v>4</v>
      </c>
      <c r="K123" s="16">
        <v>9</v>
      </c>
      <c r="L123" s="95" t="s">
        <v>702</v>
      </c>
      <c r="M123" s="96" t="s">
        <v>556</v>
      </c>
      <c r="N123" s="96" t="s">
        <v>559</v>
      </c>
      <c r="O123" s="96" t="s">
        <v>266</v>
      </c>
      <c r="P123" s="6"/>
      <c r="Q123" s="216">
        <f>Q124</f>
        <v>0</v>
      </c>
      <c r="R123" s="216">
        <f>R124</f>
        <v>901.7</v>
      </c>
    </row>
    <row r="124" spans="1:18" ht="31.5" customHeight="1">
      <c r="A124" s="99"/>
      <c r="B124" s="98"/>
      <c r="C124" s="103"/>
      <c r="D124" s="101"/>
      <c r="E124" s="104"/>
      <c r="F124" s="104"/>
      <c r="G124" s="105"/>
      <c r="H124" s="5" t="s">
        <v>712</v>
      </c>
      <c r="I124" s="13">
        <v>27</v>
      </c>
      <c r="J124" s="7">
        <v>4</v>
      </c>
      <c r="K124" s="16">
        <v>9</v>
      </c>
      <c r="L124" s="95" t="s">
        <v>702</v>
      </c>
      <c r="M124" s="96" t="s">
        <v>556</v>
      </c>
      <c r="N124" s="96" t="s">
        <v>559</v>
      </c>
      <c r="O124" s="96" t="s">
        <v>266</v>
      </c>
      <c r="P124" s="6">
        <v>240</v>
      </c>
      <c r="Q124" s="216">
        <v>0</v>
      </c>
      <c r="R124" s="216">
        <v>901.7</v>
      </c>
    </row>
    <row r="125" spans="1:18" ht="22.5" customHeight="1" hidden="1">
      <c r="A125" s="99"/>
      <c r="B125" s="98"/>
      <c r="C125" s="103"/>
      <c r="D125" s="101"/>
      <c r="E125" s="104"/>
      <c r="F125" s="104"/>
      <c r="G125" s="105"/>
      <c r="H125" s="5" t="s">
        <v>640</v>
      </c>
      <c r="I125" s="13">
        <v>27</v>
      </c>
      <c r="J125" s="7">
        <v>4</v>
      </c>
      <c r="K125" s="16">
        <v>9</v>
      </c>
      <c r="L125" s="95" t="s">
        <v>702</v>
      </c>
      <c r="M125" s="96" t="s">
        <v>556</v>
      </c>
      <c r="N125" s="96" t="s">
        <v>559</v>
      </c>
      <c r="O125" s="96" t="s">
        <v>266</v>
      </c>
      <c r="P125" s="6">
        <v>540</v>
      </c>
      <c r="Q125" s="216"/>
      <c r="R125" s="216"/>
    </row>
    <row r="126" spans="1:18" s="179" customFormat="1" ht="24.75" customHeight="1">
      <c r="A126" s="142"/>
      <c r="B126" s="143"/>
      <c r="C126" s="153"/>
      <c r="D126" s="150"/>
      <c r="E126" s="145"/>
      <c r="F126" s="145"/>
      <c r="G126" s="155">
        <v>850</v>
      </c>
      <c r="H126" s="149" t="s">
        <v>539</v>
      </c>
      <c r="I126" s="152">
        <v>27</v>
      </c>
      <c r="J126" s="156">
        <v>4</v>
      </c>
      <c r="K126" s="139">
        <v>12</v>
      </c>
      <c r="L126" s="140"/>
      <c r="M126" s="141"/>
      <c r="N126" s="141"/>
      <c r="O126" s="141"/>
      <c r="P126" s="146"/>
      <c r="Q126" s="217">
        <f>Q127+Q139+Q143+Q155</f>
        <v>7660</v>
      </c>
      <c r="R126" s="217">
        <f>R127+R139+R143+R155</f>
        <v>7580</v>
      </c>
    </row>
    <row r="127" spans="1:18" ht="40.5" customHeight="1">
      <c r="A127" s="99"/>
      <c r="B127" s="98"/>
      <c r="C127" s="97"/>
      <c r="D127" s="101"/>
      <c r="E127" s="115"/>
      <c r="F127" s="115"/>
      <c r="G127" s="89"/>
      <c r="H127" s="200" t="s">
        <v>376</v>
      </c>
      <c r="I127" s="6">
        <v>27</v>
      </c>
      <c r="J127" s="19">
        <v>4</v>
      </c>
      <c r="K127" s="16">
        <v>12</v>
      </c>
      <c r="L127" s="95" t="s">
        <v>703</v>
      </c>
      <c r="M127" s="96" t="s">
        <v>556</v>
      </c>
      <c r="N127" s="96" t="s">
        <v>576</v>
      </c>
      <c r="O127" s="96" t="s">
        <v>613</v>
      </c>
      <c r="P127" s="6"/>
      <c r="Q127" s="216">
        <f>Q128+Q131+Q136</f>
        <v>7300</v>
      </c>
      <c r="R127" s="216">
        <f>R128+R131+R136</f>
        <v>7250</v>
      </c>
    </row>
    <row r="128" spans="1:18" ht="36" customHeight="1">
      <c r="A128" s="99"/>
      <c r="B128" s="98"/>
      <c r="C128" s="97"/>
      <c r="D128" s="101"/>
      <c r="E128" s="115"/>
      <c r="F128" s="115"/>
      <c r="G128" s="89"/>
      <c r="H128" s="108" t="s">
        <v>341</v>
      </c>
      <c r="I128" s="6">
        <v>27</v>
      </c>
      <c r="J128" s="19">
        <v>4</v>
      </c>
      <c r="K128" s="16">
        <v>12</v>
      </c>
      <c r="L128" s="95" t="s">
        <v>703</v>
      </c>
      <c r="M128" s="96" t="s">
        <v>556</v>
      </c>
      <c r="N128" s="96" t="s">
        <v>557</v>
      </c>
      <c r="O128" s="96" t="s">
        <v>613</v>
      </c>
      <c r="P128" s="6"/>
      <c r="Q128" s="216">
        <f>Q129</f>
        <v>200</v>
      </c>
      <c r="R128" s="216">
        <f>R129</f>
        <v>150</v>
      </c>
    </row>
    <row r="129" spans="1:18" ht="21.75" customHeight="1">
      <c r="A129" s="99"/>
      <c r="B129" s="98"/>
      <c r="C129" s="97"/>
      <c r="D129" s="101"/>
      <c r="E129" s="115"/>
      <c r="F129" s="115"/>
      <c r="G129" s="89"/>
      <c r="H129" s="108" t="s">
        <v>255</v>
      </c>
      <c r="I129" s="6">
        <v>27</v>
      </c>
      <c r="J129" s="19">
        <v>4</v>
      </c>
      <c r="K129" s="16">
        <v>12</v>
      </c>
      <c r="L129" s="95" t="s">
        <v>703</v>
      </c>
      <c r="M129" s="96" t="s">
        <v>556</v>
      </c>
      <c r="N129" s="96" t="s">
        <v>557</v>
      </c>
      <c r="O129" s="96" t="s">
        <v>256</v>
      </c>
      <c r="P129" s="6"/>
      <c r="Q129" s="216">
        <f>Q130</f>
        <v>200</v>
      </c>
      <c r="R129" s="216">
        <f>R130</f>
        <v>150</v>
      </c>
    </row>
    <row r="130" spans="1:18" ht="24" customHeight="1">
      <c r="A130" s="99"/>
      <c r="B130" s="98"/>
      <c r="C130" s="97"/>
      <c r="D130" s="101"/>
      <c r="E130" s="115"/>
      <c r="F130" s="115"/>
      <c r="G130" s="89"/>
      <c r="H130" s="108" t="s">
        <v>714</v>
      </c>
      <c r="I130" s="6">
        <v>27</v>
      </c>
      <c r="J130" s="19">
        <v>4</v>
      </c>
      <c r="K130" s="16">
        <v>12</v>
      </c>
      <c r="L130" s="95" t="s">
        <v>703</v>
      </c>
      <c r="M130" s="96" t="s">
        <v>556</v>
      </c>
      <c r="N130" s="96" t="s">
        <v>557</v>
      </c>
      <c r="O130" s="96" t="s">
        <v>256</v>
      </c>
      <c r="P130" s="6">
        <v>610</v>
      </c>
      <c r="Q130" s="216">
        <v>200</v>
      </c>
      <c r="R130" s="216">
        <v>150</v>
      </c>
    </row>
    <row r="131" spans="1:18" ht="27.75" customHeight="1">
      <c r="A131" s="99"/>
      <c r="B131" s="98"/>
      <c r="C131" s="97"/>
      <c r="D131" s="101"/>
      <c r="E131" s="115"/>
      <c r="F131" s="115"/>
      <c r="G131" s="89"/>
      <c r="H131" s="5" t="s">
        <v>652</v>
      </c>
      <c r="I131" s="8">
        <v>27</v>
      </c>
      <c r="J131" s="19">
        <v>4</v>
      </c>
      <c r="K131" s="16">
        <v>12</v>
      </c>
      <c r="L131" s="95" t="s">
        <v>703</v>
      </c>
      <c r="M131" s="96" t="s">
        <v>556</v>
      </c>
      <c r="N131" s="96" t="s">
        <v>559</v>
      </c>
      <c r="O131" s="96" t="s">
        <v>613</v>
      </c>
      <c r="P131" s="6"/>
      <c r="Q131" s="216">
        <f>Q132+Q134</f>
        <v>6750</v>
      </c>
      <c r="R131" s="216">
        <f>R132+R134</f>
        <v>6800</v>
      </c>
    </row>
    <row r="132" spans="1:18" ht="27.75" customHeight="1">
      <c r="A132" s="99"/>
      <c r="B132" s="98"/>
      <c r="C132" s="97"/>
      <c r="D132" s="101"/>
      <c r="E132" s="115"/>
      <c r="F132" s="115"/>
      <c r="G132" s="89"/>
      <c r="H132" s="5" t="s">
        <v>255</v>
      </c>
      <c r="I132" s="8">
        <v>27</v>
      </c>
      <c r="J132" s="19">
        <v>4</v>
      </c>
      <c r="K132" s="16">
        <v>12</v>
      </c>
      <c r="L132" s="95" t="s">
        <v>703</v>
      </c>
      <c r="M132" s="96" t="s">
        <v>556</v>
      </c>
      <c r="N132" s="96" t="s">
        <v>559</v>
      </c>
      <c r="O132" s="96" t="s">
        <v>256</v>
      </c>
      <c r="P132" s="6"/>
      <c r="Q132" s="216">
        <f>Q133</f>
        <v>5881.6</v>
      </c>
      <c r="R132" s="216">
        <f>R133</f>
        <v>5689.3</v>
      </c>
    </row>
    <row r="133" spans="1:18" ht="27.75" customHeight="1">
      <c r="A133" s="99"/>
      <c r="B133" s="98"/>
      <c r="C133" s="97"/>
      <c r="D133" s="101"/>
      <c r="E133" s="115"/>
      <c r="F133" s="115"/>
      <c r="G133" s="89"/>
      <c r="H133" s="5" t="s">
        <v>714</v>
      </c>
      <c r="I133" s="8">
        <v>27</v>
      </c>
      <c r="J133" s="19">
        <v>4</v>
      </c>
      <c r="K133" s="16">
        <v>12</v>
      </c>
      <c r="L133" s="95" t="s">
        <v>703</v>
      </c>
      <c r="M133" s="96" t="s">
        <v>556</v>
      </c>
      <c r="N133" s="96" t="s">
        <v>559</v>
      </c>
      <c r="O133" s="96" t="s">
        <v>256</v>
      </c>
      <c r="P133" s="6">
        <v>610</v>
      </c>
      <c r="Q133" s="216">
        <v>5881.6</v>
      </c>
      <c r="R133" s="216">
        <v>5689.3</v>
      </c>
    </row>
    <row r="134" spans="1:18" ht="31.5" customHeight="1">
      <c r="A134" s="99"/>
      <c r="B134" s="98"/>
      <c r="C134" s="97"/>
      <c r="D134" s="101"/>
      <c r="E134" s="115"/>
      <c r="F134" s="115"/>
      <c r="G134" s="89"/>
      <c r="H134" s="5" t="s">
        <v>61</v>
      </c>
      <c r="I134" s="8">
        <v>27</v>
      </c>
      <c r="J134" s="19">
        <v>4</v>
      </c>
      <c r="K134" s="16">
        <v>12</v>
      </c>
      <c r="L134" s="95" t="s">
        <v>703</v>
      </c>
      <c r="M134" s="96" t="s">
        <v>556</v>
      </c>
      <c r="N134" s="96" t="s">
        <v>559</v>
      </c>
      <c r="O134" s="96" t="s">
        <v>60</v>
      </c>
      <c r="P134" s="6"/>
      <c r="Q134" s="216">
        <f>Q135</f>
        <v>868.4</v>
      </c>
      <c r="R134" s="216">
        <f>R135</f>
        <v>1110.7</v>
      </c>
    </row>
    <row r="135" spans="1:18" ht="27.75" customHeight="1">
      <c r="A135" s="99"/>
      <c r="B135" s="98"/>
      <c r="C135" s="97"/>
      <c r="D135" s="101"/>
      <c r="E135" s="115"/>
      <c r="F135" s="115"/>
      <c r="G135" s="89"/>
      <c r="H135" s="5" t="s">
        <v>714</v>
      </c>
      <c r="I135" s="8">
        <v>27</v>
      </c>
      <c r="J135" s="19">
        <v>4</v>
      </c>
      <c r="K135" s="16">
        <v>12</v>
      </c>
      <c r="L135" s="95" t="s">
        <v>703</v>
      </c>
      <c r="M135" s="96" t="s">
        <v>556</v>
      </c>
      <c r="N135" s="96" t="s">
        <v>559</v>
      </c>
      <c r="O135" s="96" t="s">
        <v>60</v>
      </c>
      <c r="P135" s="6">
        <v>610</v>
      </c>
      <c r="Q135" s="216">
        <v>868.4</v>
      </c>
      <c r="R135" s="216">
        <v>1110.7</v>
      </c>
    </row>
    <row r="136" spans="1:18" ht="39" customHeight="1">
      <c r="A136" s="99"/>
      <c r="B136" s="98"/>
      <c r="C136" s="97"/>
      <c r="D136" s="101"/>
      <c r="E136" s="115"/>
      <c r="F136" s="115"/>
      <c r="G136" s="89"/>
      <c r="H136" s="5" t="s">
        <v>279</v>
      </c>
      <c r="I136" s="8">
        <v>27</v>
      </c>
      <c r="J136" s="19">
        <v>4</v>
      </c>
      <c r="K136" s="16">
        <v>12</v>
      </c>
      <c r="L136" s="95" t="s">
        <v>703</v>
      </c>
      <c r="M136" s="96" t="s">
        <v>556</v>
      </c>
      <c r="N136" s="96" t="s">
        <v>561</v>
      </c>
      <c r="O136" s="96" t="s">
        <v>613</v>
      </c>
      <c r="P136" s="6"/>
      <c r="Q136" s="216">
        <f>Q137</f>
        <v>350</v>
      </c>
      <c r="R136" s="216">
        <f>R137</f>
        <v>300</v>
      </c>
    </row>
    <row r="137" spans="1:18" ht="29.25" customHeight="1">
      <c r="A137" s="99"/>
      <c r="B137" s="98"/>
      <c r="C137" s="97"/>
      <c r="D137" s="101"/>
      <c r="E137" s="115"/>
      <c r="F137" s="115"/>
      <c r="G137" s="89"/>
      <c r="H137" s="5" t="s">
        <v>255</v>
      </c>
      <c r="I137" s="8">
        <v>27</v>
      </c>
      <c r="J137" s="19">
        <v>4</v>
      </c>
      <c r="K137" s="16">
        <v>12</v>
      </c>
      <c r="L137" s="95" t="s">
        <v>703</v>
      </c>
      <c r="M137" s="96" t="s">
        <v>556</v>
      </c>
      <c r="N137" s="96" t="s">
        <v>561</v>
      </c>
      <c r="O137" s="96" t="s">
        <v>256</v>
      </c>
      <c r="P137" s="6"/>
      <c r="Q137" s="216">
        <f>Q138</f>
        <v>350</v>
      </c>
      <c r="R137" s="216">
        <f>R138</f>
        <v>300</v>
      </c>
    </row>
    <row r="138" spans="1:18" ht="20.25" customHeight="1">
      <c r="A138" s="99"/>
      <c r="B138" s="98"/>
      <c r="C138" s="97"/>
      <c r="D138" s="101"/>
      <c r="E138" s="115"/>
      <c r="F138" s="115"/>
      <c r="G138" s="89"/>
      <c r="H138" s="5" t="s">
        <v>714</v>
      </c>
      <c r="I138" s="8">
        <v>27</v>
      </c>
      <c r="J138" s="19">
        <v>4</v>
      </c>
      <c r="K138" s="16">
        <v>12</v>
      </c>
      <c r="L138" s="95" t="s">
        <v>703</v>
      </c>
      <c r="M138" s="96" t="s">
        <v>556</v>
      </c>
      <c r="N138" s="96" t="s">
        <v>561</v>
      </c>
      <c r="O138" s="96" t="s">
        <v>256</v>
      </c>
      <c r="P138" s="6">
        <v>610</v>
      </c>
      <c r="Q138" s="216">
        <v>350</v>
      </c>
      <c r="R138" s="216">
        <v>300</v>
      </c>
    </row>
    <row r="139" spans="1:18" ht="39" customHeight="1">
      <c r="A139" s="99"/>
      <c r="B139" s="98"/>
      <c r="C139" s="97"/>
      <c r="D139" s="101"/>
      <c r="E139" s="115"/>
      <c r="F139" s="115"/>
      <c r="G139" s="89"/>
      <c r="H139" s="117" t="s">
        <v>282</v>
      </c>
      <c r="I139" s="6">
        <v>27</v>
      </c>
      <c r="J139" s="19">
        <v>4</v>
      </c>
      <c r="K139" s="16">
        <v>12</v>
      </c>
      <c r="L139" s="95" t="s">
        <v>551</v>
      </c>
      <c r="M139" s="96" t="s">
        <v>556</v>
      </c>
      <c r="N139" s="96" t="s">
        <v>576</v>
      </c>
      <c r="O139" s="96" t="s">
        <v>613</v>
      </c>
      <c r="P139" s="6"/>
      <c r="Q139" s="216">
        <f aca="true" t="shared" si="3" ref="Q139:R141">Q140</f>
        <v>30</v>
      </c>
      <c r="R139" s="216">
        <f t="shared" si="3"/>
        <v>0</v>
      </c>
    </row>
    <row r="140" spans="1:18" ht="41.25" customHeight="1">
      <c r="A140" s="99"/>
      <c r="B140" s="98"/>
      <c r="C140" s="97"/>
      <c r="D140" s="101"/>
      <c r="E140" s="115"/>
      <c r="F140" s="115"/>
      <c r="G140" s="89"/>
      <c r="H140" s="5" t="s">
        <v>283</v>
      </c>
      <c r="I140" s="6">
        <v>27</v>
      </c>
      <c r="J140" s="19">
        <v>4</v>
      </c>
      <c r="K140" s="16">
        <v>12</v>
      </c>
      <c r="L140" s="95" t="s">
        <v>551</v>
      </c>
      <c r="M140" s="96" t="s">
        <v>556</v>
      </c>
      <c r="N140" s="96" t="s">
        <v>557</v>
      </c>
      <c r="O140" s="96" t="s">
        <v>613</v>
      </c>
      <c r="P140" s="6"/>
      <c r="Q140" s="216">
        <f t="shared" si="3"/>
        <v>30</v>
      </c>
      <c r="R140" s="216">
        <f t="shared" si="3"/>
        <v>0</v>
      </c>
    </row>
    <row r="141" spans="1:18" ht="30.75" customHeight="1">
      <c r="A141" s="99"/>
      <c r="B141" s="98"/>
      <c r="C141" s="97"/>
      <c r="D141" s="101"/>
      <c r="E141" s="115"/>
      <c r="F141" s="115"/>
      <c r="G141" s="89"/>
      <c r="H141" s="5" t="s">
        <v>285</v>
      </c>
      <c r="I141" s="6">
        <v>27</v>
      </c>
      <c r="J141" s="19">
        <v>4</v>
      </c>
      <c r="K141" s="16">
        <v>12</v>
      </c>
      <c r="L141" s="95" t="s">
        <v>551</v>
      </c>
      <c r="M141" s="96" t="s">
        <v>556</v>
      </c>
      <c r="N141" s="96" t="s">
        <v>557</v>
      </c>
      <c r="O141" s="96" t="s">
        <v>284</v>
      </c>
      <c r="P141" s="6"/>
      <c r="Q141" s="216">
        <f t="shared" si="3"/>
        <v>30</v>
      </c>
      <c r="R141" s="216">
        <f t="shared" si="3"/>
        <v>0</v>
      </c>
    </row>
    <row r="142" spans="1:18" ht="29.25" customHeight="1">
      <c r="A142" s="99"/>
      <c r="B142" s="98"/>
      <c r="C142" s="97"/>
      <c r="D142" s="101"/>
      <c r="E142" s="115"/>
      <c r="F142" s="115"/>
      <c r="G142" s="89"/>
      <c r="H142" s="5" t="s">
        <v>712</v>
      </c>
      <c r="I142" s="6">
        <v>27</v>
      </c>
      <c r="J142" s="19">
        <v>4</v>
      </c>
      <c r="K142" s="16">
        <v>12</v>
      </c>
      <c r="L142" s="95" t="s">
        <v>551</v>
      </c>
      <c r="M142" s="96" t="s">
        <v>556</v>
      </c>
      <c r="N142" s="96" t="s">
        <v>557</v>
      </c>
      <c r="O142" s="96" t="s">
        <v>284</v>
      </c>
      <c r="P142" s="6">
        <v>240</v>
      </c>
      <c r="Q142" s="216">
        <v>30</v>
      </c>
      <c r="R142" s="216">
        <v>0</v>
      </c>
    </row>
    <row r="143" spans="1:18" ht="34.5" customHeight="1" hidden="1">
      <c r="A143" s="99"/>
      <c r="B143" s="98"/>
      <c r="C143" s="103"/>
      <c r="D143" s="101"/>
      <c r="E143" s="372">
        <v>4210200</v>
      </c>
      <c r="F143" s="372"/>
      <c r="G143" s="89">
        <v>521</v>
      </c>
      <c r="H143" s="5" t="s">
        <v>32</v>
      </c>
      <c r="I143" s="8">
        <v>27</v>
      </c>
      <c r="J143" s="7">
        <v>4</v>
      </c>
      <c r="K143" s="16">
        <v>12</v>
      </c>
      <c r="L143" s="95" t="s">
        <v>45</v>
      </c>
      <c r="M143" s="96" t="s">
        <v>556</v>
      </c>
      <c r="N143" s="96" t="s">
        <v>576</v>
      </c>
      <c r="O143" s="96" t="s">
        <v>613</v>
      </c>
      <c r="P143" s="10"/>
      <c r="Q143" s="214"/>
      <c r="R143" s="214"/>
    </row>
    <row r="144" spans="1:18" ht="34.5" customHeight="1" hidden="1">
      <c r="A144" s="99"/>
      <c r="B144" s="98"/>
      <c r="C144" s="103"/>
      <c r="D144" s="109"/>
      <c r="E144" s="104"/>
      <c r="F144" s="104"/>
      <c r="G144" s="105">
        <v>521</v>
      </c>
      <c r="H144" s="18" t="s">
        <v>30</v>
      </c>
      <c r="I144" s="8">
        <v>27</v>
      </c>
      <c r="J144" s="7">
        <v>4</v>
      </c>
      <c r="K144" s="16">
        <v>12</v>
      </c>
      <c r="L144" s="95" t="s">
        <v>45</v>
      </c>
      <c r="M144" s="96" t="s">
        <v>556</v>
      </c>
      <c r="N144" s="96" t="s">
        <v>557</v>
      </c>
      <c r="O144" s="96" t="s">
        <v>613</v>
      </c>
      <c r="P144" s="6"/>
      <c r="Q144" s="216"/>
      <c r="R144" s="216"/>
    </row>
    <row r="145" spans="1:18" ht="23.25" customHeight="1" hidden="1">
      <c r="A145" s="99"/>
      <c r="B145" s="98"/>
      <c r="C145" s="97"/>
      <c r="D145" s="109"/>
      <c r="E145" s="104"/>
      <c r="F145" s="104"/>
      <c r="G145" s="89"/>
      <c r="H145" s="18" t="s">
        <v>252</v>
      </c>
      <c r="I145" s="8">
        <v>27</v>
      </c>
      <c r="J145" s="21">
        <v>4</v>
      </c>
      <c r="K145" s="16">
        <v>12</v>
      </c>
      <c r="L145" s="95" t="s">
        <v>45</v>
      </c>
      <c r="M145" s="96" t="s">
        <v>556</v>
      </c>
      <c r="N145" s="96" t="s">
        <v>557</v>
      </c>
      <c r="O145" s="96" t="s">
        <v>251</v>
      </c>
      <c r="P145" s="6"/>
      <c r="Q145" s="216"/>
      <c r="R145" s="216"/>
    </row>
    <row r="146" spans="1:18" ht="30" customHeight="1" hidden="1">
      <c r="A146" s="99"/>
      <c r="B146" s="98"/>
      <c r="C146" s="97"/>
      <c r="D146" s="109"/>
      <c r="E146" s="104"/>
      <c r="F146" s="104"/>
      <c r="G146" s="89"/>
      <c r="H146" s="18" t="s">
        <v>712</v>
      </c>
      <c r="I146" s="8">
        <v>27</v>
      </c>
      <c r="J146" s="21">
        <v>4</v>
      </c>
      <c r="K146" s="16">
        <v>12</v>
      </c>
      <c r="L146" s="95" t="s">
        <v>45</v>
      </c>
      <c r="M146" s="96" t="s">
        <v>556</v>
      </c>
      <c r="N146" s="96" t="s">
        <v>557</v>
      </c>
      <c r="O146" s="96" t="s">
        <v>251</v>
      </c>
      <c r="P146" s="6">
        <v>240</v>
      </c>
      <c r="Q146" s="216"/>
      <c r="R146" s="216"/>
    </row>
    <row r="147" spans="1:18" ht="38.25" customHeight="1" hidden="1">
      <c r="A147" s="99"/>
      <c r="B147" s="98"/>
      <c r="C147" s="97"/>
      <c r="D147" s="101"/>
      <c r="E147" s="115"/>
      <c r="F147" s="115"/>
      <c r="G147" s="89"/>
      <c r="H147" s="5" t="s">
        <v>9</v>
      </c>
      <c r="I147" s="8">
        <v>27</v>
      </c>
      <c r="J147" s="19">
        <v>4</v>
      </c>
      <c r="K147" s="16">
        <v>12</v>
      </c>
      <c r="L147" s="95" t="s">
        <v>45</v>
      </c>
      <c r="M147" s="96" t="s">
        <v>556</v>
      </c>
      <c r="N147" s="96" t="s">
        <v>557</v>
      </c>
      <c r="O147" s="96" t="s">
        <v>251</v>
      </c>
      <c r="P147" s="6">
        <v>810</v>
      </c>
      <c r="Q147" s="216"/>
      <c r="R147" s="216"/>
    </row>
    <row r="148" spans="1:18" ht="32.25" customHeight="1" hidden="1">
      <c r="A148" s="99"/>
      <c r="B148" s="98"/>
      <c r="C148" s="97"/>
      <c r="D148" s="101"/>
      <c r="E148" s="115"/>
      <c r="F148" s="115"/>
      <c r="G148" s="89"/>
      <c r="H148" s="5" t="s">
        <v>800</v>
      </c>
      <c r="I148" s="8">
        <v>27</v>
      </c>
      <c r="J148" s="19">
        <v>4</v>
      </c>
      <c r="K148" s="16">
        <v>12</v>
      </c>
      <c r="L148" s="95" t="s">
        <v>45</v>
      </c>
      <c r="M148" s="96" t="s">
        <v>556</v>
      </c>
      <c r="N148" s="96" t="s">
        <v>557</v>
      </c>
      <c r="O148" s="96" t="s">
        <v>799</v>
      </c>
      <c r="P148" s="6"/>
      <c r="Q148" s="216"/>
      <c r="R148" s="216"/>
    </row>
    <row r="149" spans="1:18" ht="32.25" customHeight="1" hidden="1">
      <c r="A149" s="99"/>
      <c r="B149" s="98"/>
      <c r="C149" s="97"/>
      <c r="D149" s="101"/>
      <c r="E149" s="115"/>
      <c r="F149" s="115"/>
      <c r="G149" s="89"/>
      <c r="H149" s="5" t="s">
        <v>9</v>
      </c>
      <c r="I149" s="8">
        <v>27</v>
      </c>
      <c r="J149" s="19">
        <v>4</v>
      </c>
      <c r="K149" s="16">
        <v>12</v>
      </c>
      <c r="L149" s="95" t="s">
        <v>45</v>
      </c>
      <c r="M149" s="96" t="s">
        <v>556</v>
      </c>
      <c r="N149" s="96" t="s">
        <v>557</v>
      </c>
      <c r="O149" s="96" t="s">
        <v>799</v>
      </c>
      <c r="P149" s="6">
        <v>810</v>
      </c>
      <c r="Q149" s="216"/>
      <c r="R149" s="216"/>
    </row>
    <row r="150" spans="1:18" ht="32.25" customHeight="1" hidden="1">
      <c r="A150" s="99"/>
      <c r="B150" s="98"/>
      <c r="C150" s="97"/>
      <c r="D150" s="101"/>
      <c r="E150" s="115"/>
      <c r="F150" s="115"/>
      <c r="G150" s="89"/>
      <c r="H150" s="5" t="s">
        <v>8</v>
      </c>
      <c r="I150" s="8">
        <v>27</v>
      </c>
      <c r="J150" s="19">
        <v>4</v>
      </c>
      <c r="K150" s="16">
        <v>12</v>
      </c>
      <c r="L150" s="95" t="s">
        <v>45</v>
      </c>
      <c r="M150" s="96" t="s">
        <v>556</v>
      </c>
      <c r="N150" s="96" t="s">
        <v>557</v>
      </c>
      <c r="O150" s="96" t="s">
        <v>7</v>
      </c>
      <c r="P150" s="6"/>
      <c r="Q150" s="216"/>
      <c r="R150" s="216"/>
    </row>
    <row r="151" spans="1:18" ht="32.25" customHeight="1" hidden="1">
      <c r="A151" s="99"/>
      <c r="B151" s="98"/>
      <c r="C151" s="97"/>
      <c r="D151" s="101"/>
      <c r="E151" s="115"/>
      <c r="F151" s="115"/>
      <c r="G151" s="89"/>
      <c r="H151" s="5" t="s">
        <v>9</v>
      </c>
      <c r="I151" s="8">
        <v>27</v>
      </c>
      <c r="J151" s="19">
        <v>4</v>
      </c>
      <c r="K151" s="16">
        <v>12</v>
      </c>
      <c r="L151" s="95" t="s">
        <v>45</v>
      </c>
      <c r="M151" s="96" t="s">
        <v>556</v>
      </c>
      <c r="N151" s="96" t="s">
        <v>557</v>
      </c>
      <c r="O151" s="96" t="s">
        <v>7</v>
      </c>
      <c r="P151" s="6">
        <v>810</v>
      </c>
      <c r="Q151" s="216"/>
      <c r="R151" s="216"/>
    </row>
    <row r="152" spans="1:18" ht="24.75" customHeight="1" hidden="1">
      <c r="A152" s="99"/>
      <c r="B152" s="98"/>
      <c r="C152" s="97"/>
      <c r="D152" s="101"/>
      <c r="E152" s="115"/>
      <c r="F152" s="115"/>
      <c r="G152" s="89"/>
      <c r="H152" s="5" t="s">
        <v>31</v>
      </c>
      <c r="I152" s="8">
        <v>27</v>
      </c>
      <c r="J152" s="19">
        <v>4</v>
      </c>
      <c r="K152" s="16">
        <v>12</v>
      </c>
      <c r="L152" s="95" t="s">
        <v>45</v>
      </c>
      <c r="M152" s="96" t="s">
        <v>556</v>
      </c>
      <c r="N152" s="96" t="s">
        <v>585</v>
      </c>
      <c r="O152" s="96" t="s">
        <v>613</v>
      </c>
      <c r="P152" s="6"/>
      <c r="Q152" s="216"/>
      <c r="R152" s="216"/>
    </row>
    <row r="153" spans="1:18" ht="30" customHeight="1" hidden="1">
      <c r="A153" s="99"/>
      <c r="B153" s="98"/>
      <c r="C153" s="97"/>
      <c r="D153" s="101"/>
      <c r="E153" s="115"/>
      <c r="F153" s="115"/>
      <c r="G153" s="89"/>
      <c r="H153" s="5" t="s">
        <v>254</v>
      </c>
      <c r="I153" s="8">
        <v>27</v>
      </c>
      <c r="J153" s="19">
        <v>4</v>
      </c>
      <c r="K153" s="16">
        <v>12</v>
      </c>
      <c r="L153" s="95" t="s">
        <v>45</v>
      </c>
      <c r="M153" s="96" t="s">
        <v>556</v>
      </c>
      <c r="N153" s="96" t="s">
        <v>585</v>
      </c>
      <c r="O153" s="96" t="s">
        <v>253</v>
      </c>
      <c r="P153" s="6"/>
      <c r="Q153" s="216"/>
      <c r="R153" s="216"/>
    </row>
    <row r="154" spans="1:18" ht="33" customHeight="1" hidden="1">
      <c r="A154" s="99"/>
      <c r="B154" s="98"/>
      <c r="C154" s="97"/>
      <c r="D154" s="101"/>
      <c r="E154" s="115"/>
      <c r="F154" s="115"/>
      <c r="G154" s="89"/>
      <c r="H154" s="5" t="s">
        <v>712</v>
      </c>
      <c r="I154" s="8">
        <v>27</v>
      </c>
      <c r="J154" s="19">
        <v>4</v>
      </c>
      <c r="K154" s="16">
        <v>12</v>
      </c>
      <c r="L154" s="95" t="s">
        <v>45</v>
      </c>
      <c r="M154" s="96" t="s">
        <v>556</v>
      </c>
      <c r="N154" s="96" t="s">
        <v>585</v>
      </c>
      <c r="O154" s="96" t="s">
        <v>253</v>
      </c>
      <c r="P154" s="6">
        <v>240</v>
      </c>
      <c r="Q154" s="216"/>
      <c r="R154" s="216"/>
    </row>
    <row r="155" spans="1:18" ht="33" customHeight="1">
      <c r="A155" s="99"/>
      <c r="B155" s="98"/>
      <c r="C155" s="97"/>
      <c r="D155" s="101"/>
      <c r="E155" s="115"/>
      <c r="F155" s="115"/>
      <c r="G155" s="89"/>
      <c r="H155" s="11" t="s">
        <v>292</v>
      </c>
      <c r="I155" s="6">
        <v>27</v>
      </c>
      <c r="J155" s="19">
        <v>4</v>
      </c>
      <c r="K155" s="16">
        <v>12</v>
      </c>
      <c r="L155" s="95" t="s">
        <v>573</v>
      </c>
      <c r="M155" s="96" t="s">
        <v>556</v>
      </c>
      <c r="N155" s="96" t="s">
        <v>576</v>
      </c>
      <c r="O155" s="96" t="s">
        <v>613</v>
      </c>
      <c r="P155" s="6"/>
      <c r="Q155" s="216">
        <f>Q156</f>
        <v>330</v>
      </c>
      <c r="R155" s="216">
        <f>R156</f>
        <v>330</v>
      </c>
    </row>
    <row r="156" spans="1:18" ht="20.25" customHeight="1">
      <c r="A156" s="99"/>
      <c r="B156" s="98"/>
      <c r="C156" s="97"/>
      <c r="D156" s="101"/>
      <c r="E156" s="115"/>
      <c r="F156" s="115"/>
      <c r="G156" s="89"/>
      <c r="H156" s="5" t="s">
        <v>8</v>
      </c>
      <c r="I156" s="8">
        <v>27</v>
      </c>
      <c r="J156" s="19">
        <v>4</v>
      </c>
      <c r="K156" s="16">
        <v>12</v>
      </c>
      <c r="L156" s="95" t="s">
        <v>573</v>
      </c>
      <c r="M156" s="96" t="s">
        <v>556</v>
      </c>
      <c r="N156" s="96" t="s">
        <v>576</v>
      </c>
      <c r="O156" s="96" t="s">
        <v>7</v>
      </c>
      <c r="P156" s="6"/>
      <c r="Q156" s="216">
        <f>Q157</f>
        <v>330</v>
      </c>
      <c r="R156" s="216">
        <f>R157</f>
        <v>330</v>
      </c>
    </row>
    <row r="157" spans="1:18" ht="37.5" customHeight="1">
      <c r="A157" s="99"/>
      <c r="B157" s="98"/>
      <c r="C157" s="97"/>
      <c r="D157" s="101"/>
      <c r="E157" s="115"/>
      <c r="F157" s="115"/>
      <c r="G157" s="89"/>
      <c r="H157" s="5" t="s">
        <v>9</v>
      </c>
      <c r="I157" s="8">
        <v>27</v>
      </c>
      <c r="J157" s="19">
        <v>4</v>
      </c>
      <c r="K157" s="16">
        <v>12</v>
      </c>
      <c r="L157" s="95" t="s">
        <v>573</v>
      </c>
      <c r="M157" s="96" t="s">
        <v>556</v>
      </c>
      <c r="N157" s="96" t="s">
        <v>576</v>
      </c>
      <c r="O157" s="96" t="s">
        <v>7</v>
      </c>
      <c r="P157" s="6">
        <v>810</v>
      </c>
      <c r="Q157" s="216">
        <v>330</v>
      </c>
      <c r="R157" s="216">
        <v>330</v>
      </c>
    </row>
    <row r="158" spans="1:18" s="179" customFormat="1" ht="26.25" customHeight="1">
      <c r="A158" s="142"/>
      <c r="B158" s="143"/>
      <c r="C158" s="142"/>
      <c r="D158" s="150"/>
      <c r="E158" s="151"/>
      <c r="F158" s="151"/>
      <c r="G158" s="136"/>
      <c r="H158" s="312" t="s">
        <v>610</v>
      </c>
      <c r="I158" s="152">
        <v>27</v>
      </c>
      <c r="J158" s="147">
        <v>5</v>
      </c>
      <c r="K158" s="139"/>
      <c r="L158" s="140"/>
      <c r="M158" s="141"/>
      <c r="N158" s="141"/>
      <c r="O158" s="141"/>
      <c r="P158" s="146"/>
      <c r="Q158" s="217">
        <f>Q159+Q168+Q187+Q192+Q178</f>
        <v>67967.5</v>
      </c>
      <c r="R158" s="217">
        <f>R159+R168+R187+R192+R178</f>
        <v>4425.2</v>
      </c>
    </row>
    <row r="159" spans="1:18" s="179" customFormat="1" ht="29.25" customHeight="1">
      <c r="A159" s="142"/>
      <c r="B159" s="143"/>
      <c r="C159" s="142"/>
      <c r="D159" s="150"/>
      <c r="E159" s="151"/>
      <c r="F159" s="151"/>
      <c r="G159" s="136"/>
      <c r="H159" s="312" t="s">
        <v>611</v>
      </c>
      <c r="I159" s="152">
        <v>27</v>
      </c>
      <c r="J159" s="147">
        <v>5</v>
      </c>
      <c r="K159" s="139">
        <v>1</v>
      </c>
      <c r="L159" s="140"/>
      <c r="M159" s="141"/>
      <c r="N159" s="141"/>
      <c r="O159" s="141"/>
      <c r="P159" s="146"/>
      <c r="Q159" s="217">
        <f>Q160</f>
        <v>3941.9</v>
      </c>
      <c r="R159" s="217">
        <f>R160</f>
        <v>3299.5</v>
      </c>
    </row>
    <row r="160" spans="1:18" ht="39.75" customHeight="1">
      <c r="A160" s="97"/>
      <c r="B160" s="98"/>
      <c r="C160" s="97"/>
      <c r="D160" s="101"/>
      <c r="E160" s="115"/>
      <c r="F160" s="115"/>
      <c r="G160" s="89"/>
      <c r="H160" s="18" t="s">
        <v>808</v>
      </c>
      <c r="I160" s="8">
        <v>27</v>
      </c>
      <c r="J160" s="19">
        <v>5</v>
      </c>
      <c r="K160" s="16">
        <v>1</v>
      </c>
      <c r="L160" s="95" t="s">
        <v>275</v>
      </c>
      <c r="M160" s="96" t="s">
        <v>556</v>
      </c>
      <c r="N160" s="96" t="s">
        <v>576</v>
      </c>
      <c r="O160" s="96" t="s">
        <v>613</v>
      </c>
      <c r="P160" s="6"/>
      <c r="Q160" s="216">
        <f>Q161</f>
        <v>3941.9</v>
      </c>
      <c r="R160" s="216">
        <f>R161</f>
        <v>3299.5</v>
      </c>
    </row>
    <row r="161" spans="1:18" ht="34.5" customHeight="1">
      <c r="A161" s="97"/>
      <c r="B161" s="98"/>
      <c r="C161" s="97"/>
      <c r="D161" s="101"/>
      <c r="E161" s="115"/>
      <c r="F161" s="115"/>
      <c r="G161" s="89"/>
      <c r="H161" s="18" t="s">
        <v>117</v>
      </c>
      <c r="I161" s="8">
        <v>27</v>
      </c>
      <c r="J161" s="19">
        <v>5</v>
      </c>
      <c r="K161" s="16">
        <v>1</v>
      </c>
      <c r="L161" s="95" t="s">
        <v>275</v>
      </c>
      <c r="M161" s="96" t="s">
        <v>556</v>
      </c>
      <c r="N161" s="96" t="s">
        <v>809</v>
      </c>
      <c r="O161" s="96" t="s">
        <v>613</v>
      </c>
      <c r="P161" s="6"/>
      <c r="Q161" s="216">
        <f>Q162+Q164+Q166</f>
        <v>3941.9</v>
      </c>
      <c r="R161" s="216">
        <f>R162+R164+R166</f>
        <v>3299.5</v>
      </c>
    </row>
    <row r="162" spans="1:18" ht="38.25" customHeight="1" hidden="1">
      <c r="A162" s="99"/>
      <c r="B162" s="98"/>
      <c r="C162" s="97"/>
      <c r="D162" s="101"/>
      <c r="E162" s="115"/>
      <c r="F162" s="115"/>
      <c r="G162" s="89"/>
      <c r="H162" s="18" t="s">
        <v>802</v>
      </c>
      <c r="I162" s="8">
        <v>27</v>
      </c>
      <c r="J162" s="19">
        <v>5</v>
      </c>
      <c r="K162" s="16">
        <v>1</v>
      </c>
      <c r="L162" s="95" t="s">
        <v>275</v>
      </c>
      <c r="M162" s="96" t="s">
        <v>556</v>
      </c>
      <c r="N162" s="96" t="s">
        <v>809</v>
      </c>
      <c r="O162" s="96" t="s">
        <v>812</v>
      </c>
      <c r="P162" s="6"/>
      <c r="Q162" s="216"/>
      <c r="R162" s="216"/>
    </row>
    <row r="163" spans="1:18" ht="23.25" customHeight="1" hidden="1">
      <c r="A163" s="99"/>
      <c r="B163" s="98"/>
      <c r="C163" s="97"/>
      <c r="D163" s="101"/>
      <c r="E163" s="115"/>
      <c r="F163" s="115"/>
      <c r="G163" s="89"/>
      <c r="H163" s="18" t="s">
        <v>518</v>
      </c>
      <c r="I163" s="8">
        <v>27</v>
      </c>
      <c r="J163" s="19">
        <v>5</v>
      </c>
      <c r="K163" s="16">
        <v>1</v>
      </c>
      <c r="L163" s="95" t="s">
        <v>275</v>
      </c>
      <c r="M163" s="96" t="s">
        <v>556</v>
      </c>
      <c r="N163" s="96" t="s">
        <v>809</v>
      </c>
      <c r="O163" s="96" t="s">
        <v>812</v>
      </c>
      <c r="P163" s="6">
        <v>410</v>
      </c>
      <c r="Q163" s="216"/>
      <c r="R163" s="216"/>
    </row>
    <row r="164" spans="1:18" ht="39.75" customHeight="1">
      <c r="A164" s="99"/>
      <c r="B164" s="98"/>
      <c r="C164" s="97"/>
      <c r="D164" s="101"/>
      <c r="E164" s="115"/>
      <c r="F164" s="115"/>
      <c r="G164" s="89"/>
      <c r="H164" s="18" t="s">
        <v>803</v>
      </c>
      <c r="I164" s="8">
        <v>27</v>
      </c>
      <c r="J164" s="19">
        <v>5</v>
      </c>
      <c r="K164" s="16">
        <v>1</v>
      </c>
      <c r="L164" s="95" t="s">
        <v>275</v>
      </c>
      <c r="M164" s="96" t="s">
        <v>556</v>
      </c>
      <c r="N164" s="96" t="s">
        <v>809</v>
      </c>
      <c r="O164" s="96" t="s">
        <v>813</v>
      </c>
      <c r="P164" s="6"/>
      <c r="Q164" s="216">
        <f>Q165</f>
        <v>2941.9</v>
      </c>
      <c r="R164" s="216">
        <f>R165</f>
        <v>2299.5</v>
      </c>
    </row>
    <row r="165" spans="1:18" ht="24" customHeight="1">
      <c r="A165" s="99"/>
      <c r="B165" s="98"/>
      <c r="C165" s="97"/>
      <c r="D165" s="101"/>
      <c r="E165" s="115"/>
      <c r="F165" s="115"/>
      <c r="G165" s="89"/>
      <c r="H165" s="18" t="s">
        <v>518</v>
      </c>
      <c r="I165" s="8">
        <v>27</v>
      </c>
      <c r="J165" s="19">
        <v>5</v>
      </c>
      <c r="K165" s="16">
        <v>1</v>
      </c>
      <c r="L165" s="95" t="s">
        <v>275</v>
      </c>
      <c r="M165" s="96" t="s">
        <v>556</v>
      </c>
      <c r="N165" s="96" t="s">
        <v>809</v>
      </c>
      <c r="O165" s="96" t="s">
        <v>813</v>
      </c>
      <c r="P165" s="6">
        <v>410</v>
      </c>
      <c r="Q165" s="216">
        <v>2941.9</v>
      </c>
      <c r="R165" s="216">
        <v>2299.5</v>
      </c>
    </row>
    <row r="166" spans="1:18" ht="42" customHeight="1">
      <c r="A166" s="99"/>
      <c r="B166" s="98"/>
      <c r="C166" s="97"/>
      <c r="D166" s="101"/>
      <c r="E166" s="115"/>
      <c r="F166" s="115"/>
      <c r="G166" s="89"/>
      <c r="H166" s="18" t="s">
        <v>817</v>
      </c>
      <c r="I166" s="8">
        <v>27</v>
      </c>
      <c r="J166" s="19">
        <v>5</v>
      </c>
      <c r="K166" s="16">
        <v>1</v>
      </c>
      <c r="L166" s="95" t="s">
        <v>275</v>
      </c>
      <c r="M166" s="96" t="s">
        <v>556</v>
      </c>
      <c r="N166" s="96" t="s">
        <v>809</v>
      </c>
      <c r="O166" s="96" t="s">
        <v>816</v>
      </c>
      <c r="P166" s="6"/>
      <c r="Q166" s="216">
        <f>Q167</f>
        <v>1000</v>
      </c>
      <c r="R166" s="216">
        <f>R167</f>
        <v>1000</v>
      </c>
    </row>
    <row r="167" spans="1:18" ht="24" customHeight="1">
      <c r="A167" s="99"/>
      <c r="B167" s="98"/>
      <c r="C167" s="97"/>
      <c r="D167" s="101"/>
      <c r="E167" s="115"/>
      <c r="F167" s="115"/>
      <c r="G167" s="89"/>
      <c r="H167" s="18" t="s">
        <v>712</v>
      </c>
      <c r="I167" s="8">
        <v>27</v>
      </c>
      <c r="J167" s="19">
        <v>5</v>
      </c>
      <c r="K167" s="16">
        <v>1</v>
      </c>
      <c r="L167" s="95" t="s">
        <v>275</v>
      </c>
      <c r="M167" s="96" t="s">
        <v>556</v>
      </c>
      <c r="N167" s="96" t="s">
        <v>809</v>
      </c>
      <c r="O167" s="96" t="s">
        <v>816</v>
      </c>
      <c r="P167" s="6">
        <v>240</v>
      </c>
      <c r="Q167" s="216">
        <v>1000</v>
      </c>
      <c r="R167" s="216">
        <v>1000</v>
      </c>
    </row>
    <row r="168" spans="1:18" s="179" customFormat="1" ht="21" customHeight="1" hidden="1">
      <c r="A168" s="142"/>
      <c r="B168" s="143"/>
      <c r="C168" s="142"/>
      <c r="D168" s="150"/>
      <c r="E168" s="151"/>
      <c r="F168" s="151"/>
      <c r="G168" s="136"/>
      <c r="H168" s="312" t="s">
        <v>731</v>
      </c>
      <c r="I168" s="146">
        <v>27</v>
      </c>
      <c r="J168" s="147">
        <v>5</v>
      </c>
      <c r="K168" s="139">
        <v>2</v>
      </c>
      <c r="L168" s="140"/>
      <c r="M168" s="141"/>
      <c r="N168" s="141"/>
      <c r="O168" s="141"/>
      <c r="P168" s="146"/>
      <c r="Q168" s="217"/>
      <c r="R168" s="217"/>
    </row>
    <row r="169" spans="1:18" ht="39.75" customHeight="1" hidden="1">
      <c r="A169" s="99"/>
      <c r="B169" s="98"/>
      <c r="C169" s="97"/>
      <c r="D169" s="101"/>
      <c r="E169" s="115"/>
      <c r="F169" s="115"/>
      <c r="G169" s="89"/>
      <c r="H169" s="18" t="s">
        <v>637</v>
      </c>
      <c r="I169" s="27">
        <v>27</v>
      </c>
      <c r="J169" s="19">
        <v>5</v>
      </c>
      <c r="K169" s="16">
        <v>2</v>
      </c>
      <c r="L169" s="95" t="s">
        <v>577</v>
      </c>
      <c r="M169" s="96" t="s">
        <v>556</v>
      </c>
      <c r="N169" s="96" t="s">
        <v>576</v>
      </c>
      <c r="O169" s="96" t="s">
        <v>613</v>
      </c>
      <c r="P169" s="6"/>
      <c r="Q169" s="216"/>
      <c r="R169" s="216"/>
    </row>
    <row r="170" spans="1:18" ht="39.75" customHeight="1" hidden="1">
      <c r="A170" s="99"/>
      <c r="B170" s="98"/>
      <c r="C170" s="97"/>
      <c r="D170" s="101"/>
      <c r="E170" s="115"/>
      <c r="F170" s="115"/>
      <c r="G170" s="89"/>
      <c r="H170" s="18" t="s">
        <v>301</v>
      </c>
      <c r="I170" s="27">
        <v>27</v>
      </c>
      <c r="J170" s="19">
        <v>5</v>
      </c>
      <c r="K170" s="16">
        <v>2</v>
      </c>
      <c r="L170" s="95" t="s">
        <v>577</v>
      </c>
      <c r="M170" s="96" t="s">
        <v>556</v>
      </c>
      <c r="N170" s="96" t="s">
        <v>557</v>
      </c>
      <c r="O170" s="96" t="s">
        <v>613</v>
      </c>
      <c r="P170" s="6"/>
      <c r="Q170" s="216"/>
      <c r="R170" s="216"/>
    </row>
    <row r="171" spans="1:18" ht="27" customHeight="1" hidden="1">
      <c r="A171" s="99"/>
      <c r="B171" s="98"/>
      <c r="C171" s="97"/>
      <c r="D171" s="101"/>
      <c r="E171" s="115"/>
      <c r="F171" s="115"/>
      <c r="G171" s="89"/>
      <c r="H171" s="18" t="s">
        <v>262</v>
      </c>
      <c r="I171" s="27">
        <v>27</v>
      </c>
      <c r="J171" s="19">
        <v>5</v>
      </c>
      <c r="K171" s="16">
        <v>2</v>
      </c>
      <c r="L171" s="95" t="s">
        <v>577</v>
      </c>
      <c r="M171" s="96" t="s">
        <v>556</v>
      </c>
      <c r="N171" s="96" t="s">
        <v>557</v>
      </c>
      <c r="O171" s="96" t="s">
        <v>261</v>
      </c>
      <c r="P171" s="6"/>
      <c r="Q171" s="216"/>
      <c r="R171" s="216"/>
    </row>
    <row r="172" spans="1:18" ht="22.5" customHeight="1" hidden="1">
      <c r="A172" s="99"/>
      <c r="B172" s="98"/>
      <c r="C172" s="97"/>
      <c r="D172" s="101"/>
      <c r="E172" s="115"/>
      <c r="F172" s="115"/>
      <c r="G172" s="89"/>
      <c r="H172" s="18" t="s">
        <v>712</v>
      </c>
      <c r="I172" s="27">
        <v>27</v>
      </c>
      <c r="J172" s="19">
        <v>5</v>
      </c>
      <c r="K172" s="16">
        <v>2</v>
      </c>
      <c r="L172" s="95" t="s">
        <v>577</v>
      </c>
      <c r="M172" s="96" t="s">
        <v>556</v>
      </c>
      <c r="N172" s="96" t="s">
        <v>557</v>
      </c>
      <c r="O172" s="96" t="s">
        <v>261</v>
      </c>
      <c r="P172" s="6">
        <v>240</v>
      </c>
      <c r="Q172" s="216"/>
      <c r="R172" s="216"/>
    </row>
    <row r="173" spans="1:18" ht="22.5" customHeight="1" hidden="1">
      <c r="A173" s="99"/>
      <c r="B173" s="98"/>
      <c r="C173" s="97"/>
      <c r="D173" s="101"/>
      <c r="E173" s="115"/>
      <c r="F173" s="115"/>
      <c r="G173" s="89"/>
      <c r="H173" s="18" t="s">
        <v>657</v>
      </c>
      <c r="I173" s="27">
        <v>27</v>
      </c>
      <c r="J173" s="19">
        <v>5</v>
      </c>
      <c r="K173" s="16">
        <v>2</v>
      </c>
      <c r="L173" s="95" t="s">
        <v>577</v>
      </c>
      <c r="M173" s="96" t="s">
        <v>556</v>
      </c>
      <c r="N173" s="96" t="s">
        <v>656</v>
      </c>
      <c r="O173" s="96" t="s">
        <v>778</v>
      </c>
      <c r="P173" s="6"/>
      <c r="Q173" s="216"/>
      <c r="R173" s="216"/>
    </row>
    <row r="174" spans="1:18" ht="22.5" customHeight="1" hidden="1">
      <c r="A174" s="99"/>
      <c r="B174" s="98"/>
      <c r="C174" s="97"/>
      <c r="D174" s="101"/>
      <c r="E174" s="115"/>
      <c r="F174" s="115"/>
      <c r="G174" s="89"/>
      <c r="H174" s="18" t="s">
        <v>712</v>
      </c>
      <c r="I174" s="27">
        <v>27</v>
      </c>
      <c r="J174" s="19">
        <v>5</v>
      </c>
      <c r="K174" s="16">
        <v>2</v>
      </c>
      <c r="L174" s="95" t="s">
        <v>577</v>
      </c>
      <c r="M174" s="96" t="s">
        <v>556</v>
      </c>
      <c r="N174" s="96" t="s">
        <v>656</v>
      </c>
      <c r="O174" s="96" t="s">
        <v>778</v>
      </c>
      <c r="P174" s="6">
        <v>240</v>
      </c>
      <c r="Q174" s="216"/>
      <c r="R174" s="216"/>
    </row>
    <row r="175" spans="1:18" ht="22.5" customHeight="1" hidden="1">
      <c r="A175" s="99"/>
      <c r="B175" s="98"/>
      <c r="C175" s="97"/>
      <c r="D175" s="101"/>
      <c r="E175" s="115"/>
      <c r="F175" s="115"/>
      <c r="G175" s="89"/>
      <c r="H175" s="11" t="s">
        <v>292</v>
      </c>
      <c r="I175" s="27">
        <v>27</v>
      </c>
      <c r="J175" s="19">
        <v>5</v>
      </c>
      <c r="K175" s="16">
        <v>2</v>
      </c>
      <c r="L175" s="95" t="s">
        <v>573</v>
      </c>
      <c r="M175" s="96" t="s">
        <v>556</v>
      </c>
      <c r="N175" s="96" t="s">
        <v>576</v>
      </c>
      <c r="O175" s="96" t="s">
        <v>613</v>
      </c>
      <c r="P175" s="6"/>
      <c r="Q175" s="216"/>
      <c r="R175" s="216"/>
    </row>
    <row r="176" spans="1:18" ht="21" customHeight="1" hidden="1">
      <c r="A176" s="99"/>
      <c r="B176" s="98"/>
      <c r="C176" s="97"/>
      <c r="D176" s="101"/>
      <c r="E176" s="115"/>
      <c r="F176" s="115"/>
      <c r="G176" s="89"/>
      <c r="H176" s="18" t="s">
        <v>740</v>
      </c>
      <c r="I176" s="27">
        <v>27</v>
      </c>
      <c r="J176" s="19">
        <v>5</v>
      </c>
      <c r="K176" s="16">
        <v>2</v>
      </c>
      <c r="L176" s="95" t="s">
        <v>573</v>
      </c>
      <c r="M176" s="96" t="s">
        <v>556</v>
      </c>
      <c r="N176" s="96" t="s">
        <v>576</v>
      </c>
      <c r="O176" s="96" t="s">
        <v>739</v>
      </c>
      <c r="P176" s="6"/>
      <c r="Q176" s="216"/>
      <c r="R176" s="216"/>
    </row>
    <row r="177" spans="1:18" ht="21" customHeight="1" hidden="1">
      <c r="A177" s="99"/>
      <c r="B177" s="98"/>
      <c r="C177" s="97"/>
      <c r="D177" s="101"/>
      <c r="E177" s="115"/>
      <c r="F177" s="115"/>
      <c r="G177" s="89"/>
      <c r="H177" s="18" t="s">
        <v>712</v>
      </c>
      <c r="I177" s="27">
        <v>27</v>
      </c>
      <c r="J177" s="19">
        <v>5</v>
      </c>
      <c r="K177" s="16">
        <v>2</v>
      </c>
      <c r="L177" s="95" t="s">
        <v>573</v>
      </c>
      <c r="M177" s="96" t="s">
        <v>556</v>
      </c>
      <c r="N177" s="96" t="s">
        <v>576</v>
      </c>
      <c r="O177" s="96" t="s">
        <v>739</v>
      </c>
      <c r="P177" s="6">
        <v>240</v>
      </c>
      <c r="Q177" s="216"/>
      <c r="R177" s="216"/>
    </row>
    <row r="178" spans="1:18" s="179" customFormat="1" ht="29.25" customHeight="1">
      <c r="A178" s="142"/>
      <c r="B178" s="143"/>
      <c r="C178" s="142"/>
      <c r="D178" s="150"/>
      <c r="E178" s="151"/>
      <c r="F178" s="151"/>
      <c r="G178" s="136"/>
      <c r="H178" s="312" t="s">
        <v>731</v>
      </c>
      <c r="I178" s="152">
        <v>27</v>
      </c>
      <c r="J178" s="147">
        <v>5</v>
      </c>
      <c r="K178" s="139">
        <v>2</v>
      </c>
      <c r="L178" s="140"/>
      <c r="M178" s="141"/>
      <c r="N178" s="141"/>
      <c r="O178" s="141"/>
      <c r="P178" s="146"/>
      <c r="Q178" s="217">
        <f>Q179</f>
        <v>63341.3</v>
      </c>
      <c r="R178" s="217">
        <f>R179</f>
        <v>500</v>
      </c>
    </row>
    <row r="179" spans="1:18" ht="33.75" customHeight="1">
      <c r="A179" s="99"/>
      <c r="B179" s="98"/>
      <c r="C179" s="97"/>
      <c r="D179" s="101"/>
      <c r="E179" s="115"/>
      <c r="F179" s="115"/>
      <c r="G179" s="89"/>
      <c r="H179" s="18" t="s">
        <v>190</v>
      </c>
      <c r="I179" s="27">
        <v>27</v>
      </c>
      <c r="J179" s="19">
        <v>5</v>
      </c>
      <c r="K179" s="16">
        <v>2</v>
      </c>
      <c r="L179" s="95" t="s">
        <v>189</v>
      </c>
      <c r="M179" s="96" t="s">
        <v>556</v>
      </c>
      <c r="N179" s="96" t="s">
        <v>576</v>
      </c>
      <c r="O179" s="96" t="s">
        <v>613</v>
      </c>
      <c r="P179" s="6"/>
      <c r="Q179" s="216">
        <f>Q185+Q180</f>
        <v>63341.3</v>
      </c>
      <c r="R179" s="216">
        <f>R185+R180</f>
        <v>500</v>
      </c>
    </row>
    <row r="180" spans="1:18" ht="33.75" customHeight="1">
      <c r="A180" s="99"/>
      <c r="B180" s="98"/>
      <c r="C180" s="97"/>
      <c r="D180" s="101"/>
      <c r="E180" s="115"/>
      <c r="F180" s="115"/>
      <c r="G180" s="89"/>
      <c r="H180" s="18" t="s">
        <v>301</v>
      </c>
      <c r="I180" s="27">
        <v>27</v>
      </c>
      <c r="J180" s="19">
        <v>5</v>
      </c>
      <c r="K180" s="16">
        <v>2</v>
      </c>
      <c r="L180" s="95" t="s">
        <v>189</v>
      </c>
      <c r="M180" s="96" t="s">
        <v>556</v>
      </c>
      <c r="N180" s="96" t="s">
        <v>557</v>
      </c>
      <c r="O180" s="96" t="s">
        <v>613</v>
      </c>
      <c r="P180" s="6"/>
      <c r="Q180" s="216">
        <f>Q181+Q183</f>
        <v>20000</v>
      </c>
      <c r="R180" s="216">
        <f>R181</f>
        <v>500</v>
      </c>
    </row>
    <row r="181" spans="1:18" ht="33.75" customHeight="1">
      <c r="A181" s="99"/>
      <c r="B181" s="98"/>
      <c r="C181" s="97"/>
      <c r="D181" s="101"/>
      <c r="E181" s="115"/>
      <c r="F181" s="115"/>
      <c r="G181" s="89"/>
      <c r="H181" s="116" t="s">
        <v>862</v>
      </c>
      <c r="I181" s="27">
        <v>27</v>
      </c>
      <c r="J181" s="19">
        <v>5</v>
      </c>
      <c r="K181" s="16">
        <v>2</v>
      </c>
      <c r="L181" s="95" t="s">
        <v>189</v>
      </c>
      <c r="M181" s="96" t="s">
        <v>556</v>
      </c>
      <c r="N181" s="96" t="s">
        <v>557</v>
      </c>
      <c r="O181" s="96" t="s">
        <v>261</v>
      </c>
      <c r="P181" s="6"/>
      <c r="Q181" s="216">
        <f>Q182</f>
        <v>0</v>
      </c>
      <c r="R181" s="216">
        <f>R182</f>
        <v>500</v>
      </c>
    </row>
    <row r="182" spans="1:18" ht="33.75" customHeight="1">
      <c r="A182" s="99"/>
      <c r="B182" s="98"/>
      <c r="C182" s="97"/>
      <c r="D182" s="101"/>
      <c r="E182" s="115"/>
      <c r="F182" s="115"/>
      <c r="G182" s="89"/>
      <c r="H182" s="116" t="s">
        <v>712</v>
      </c>
      <c r="I182" s="27">
        <v>27</v>
      </c>
      <c r="J182" s="19">
        <v>5</v>
      </c>
      <c r="K182" s="16">
        <v>2</v>
      </c>
      <c r="L182" s="95" t="s">
        <v>189</v>
      </c>
      <c r="M182" s="96" t="s">
        <v>556</v>
      </c>
      <c r="N182" s="96" t="s">
        <v>557</v>
      </c>
      <c r="O182" s="96" t="s">
        <v>261</v>
      </c>
      <c r="P182" s="6">
        <v>240</v>
      </c>
      <c r="Q182" s="216">
        <v>0</v>
      </c>
      <c r="R182" s="216">
        <v>500</v>
      </c>
    </row>
    <row r="183" spans="1:18" ht="33.75" customHeight="1">
      <c r="A183" s="99"/>
      <c r="B183" s="98"/>
      <c r="C183" s="97"/>
      <c r="D183" s="101"/>
      <c r="E183" s="115"/>
      <c r="F183" s="115"/>
      <c r="G183" s="89"/>
      <c r="H183" s="116" t="s">
        <v>857</v>
      </c>
      <c r="I183" s="27">
        <v>27</v>
      </c>
      <c r="J183" s="19">
        <v>5</v>
      </c>
      <c r="K183" s="16">
        <v>2</v>
      </c>
      <c r="L183" s="95" t="s">
        <v>189</v>
      </c>
      <c r="M183" s="96" t="s">
        <v>556</v>
      </c>
      <c r="N183" s="96" t="s">
        <v>557</v>
      </c>
      <c r="O183" s="96" t="s">
        <v>856</v>
      </c>
      <c r="P183" s="6"/>
      <c r="Q183" s="216">
        <f>Q184</f>
        <v>20000</v>
      </c>
      <c r="R183" s="216">
        <f>R184</f>
        <v>0</v>
      </c>
    </row>
    <row r="184" spans="1:18" ht="33.75" customHeight="1">
      <c r="A184" s="99"/>
      <c r="B184" s="98"/>
      <c r="C184" s="97"/>
      <c r="D184" s="101"/>
      <c r="E184" s="115"/>
      <c r="F184" s="115"/>
      <c r="G184" s="89"/>
      <c r="H184" s="116" t="s">
        <v>712</v>
      </c>
      <c r="I184" s="27">
        <v>27</v>
      </c>
      <c r="J184" s="19">
        <v>5</v>
      </c>
      <c r="K184" s="16">
        <v>2</v>
      </c>
      <c r="L184" s="95" t="s">
        <v>189</v>
      </c>
      <c r="M184" s="96" t="s">
        <v>556</v>
      </c>
      <c r="N184" s="96" t="s">
        <v>557</v>
      </c>
      <c r="O184" s="96" t="s">
        <v>856</v>
      </c>
      <c r="P184" s="6">
        <v>240</v>
      </c>
      <c r="Q184" s="216">
        <v>20000</v>
      </c>
      <c r="R184" s="216">
        <v>0</v>
      </c>
    </row>
    <row r="185" spans="1:18" ht="33.75" customHeight="1">
      <c r="A185" s="99"/>
      <c r="B185" s="98"/>
      <c r="C185" s="97"/>
      <c r="D185" s="101"/>
      <c r="E185" s="115"/>
      <c r="F185" s="115"/>
      <c r="G185" s="89"/>
      <c r="H185" s="116" t="s">
        <v>119</v>
      </c>
      <c r="I185" s="27">
        <v>27</v>
      </c>
      <c r="J185" s="19">
        <v>5</v>
      </c>
      <c r="K185" s="16">
        <v>2</v>
      </c>
      <c r="L185" s="95" t="s">
        <v>189</v>
      </c>
      <c r="M185" s="96" t="s">
        <v>556</v>
      </c>
      <c r="N185" s="96" t="s">
        <v>656</v>
      </c>
      <c r="O185" s="96" t="s">
        <v>613</v>
      </c>
      <c r="P185" s="6"/>
      <c r="Q185" s="216">
        <f>Q186</f>
        <v>43341.3</v>
      </c>
      <c r="R185" s="216">
        <f>R186</f>
        <v>0</v>
      </c>
    </row>
    <row r="186" spans="1:18" ht="21" customHeight="1">
      <c r="A186" s="99"/>
      <c r="B186" s="98"/>
      <c r="C186" s="97"/>
      <c r="D186" s="101"/>
      <c r="E186" s="115"/>
      <c r="F186" s="115"/>
      <c r="G186" s="89"/>
      <c r="H186" s="18" t="s">
        <v>657</v>
      </c>
      <c r="I186" s="27">
        <v>27</v>
      </c>
      <c r="J186" s="19">
        <v>5</v>
      </c>
      <c r="K186" s="16">
        <v>2</v>
      </c>
      <c r="L186" s="95" t="s">
        <v>189</v>
      </c>
      <c r="M186" s="96" t="s">
        <v>556</v>
      </c>
      <c r="N186" s="96" t="s">
        <v>656</v>
      </c>
      <c r="O186" s="96" t="s">
        <v>74</v>
      </c>
      <c r="P186" s="6">
        <v>244</v>
      </c>
      <c r="Q186" s="216">
        <f>43275+66.3</f>
        <v>43341.3</v>
      </c>
      <c r="R186" s="216">
        <v>0</v>
      </c>
    </row>
    <row r="187" spans="1:18" s="179" customFormat="1" ht="26.25" customHeight="1">
      <c r="A187" s="142"/>
      <c r="B187" s="143"/>
      <c r="C187" s="142"/>
      <c r="D187" s="150"/>
      <c r="E187" s="151"/>
      <c r="F187" s="151"/>
      <c r="G187" s="136"/>
      <c r="H187" s="236" t="s">
        <v>274</v>
      </c>
      <c r="I187" s="248">
        <v>27</v>
      </c>
      <c r="J187" s="147">
        <v>5</v>
      </c>
      <c r="K187" s="139">
        <v>3</v>
      </c>
      <c r="L187" s="140"/>
      <c r="M187" s="141"/>
      <c r="N187" s="141"/>
      <c r="O187" s="141"/>
      <c r="P187" s="146"/>
      <c r="Q187" s="217">
        <f aca="true" t="shared" si="4" ref="Q187:R190">Q188</f>
        <v>284.3</v>
      </c>
      <c r="R187" s="217">
        <f t="shared" si="4"/>
        <v>225.7</v>
      </c>
    </row>
    <row r="188" spans="1:18" ht="34.5" customHeight="1">
      <c r="A188" s="97"/>
      <c r="B188" s="98"/>
      <c r="C188" s="97"/>
      <c r="D188" s="101"/>
      <c r="E188" s="115"/>
      <c r="F188" s="115"/>
      <c r="G188" s="89"/>
      <c r="H188" s="18" t="s">
        <v>792</v>
      </c>
      <c r="I188" s="6">
        <v>27</v>
      </c>
      <c r="J188" s="19">
        <v>5</v>
      </c>
      <c r="K188" s="16">
        <v>3</v>
      </c>
      <c r="L188" s="95" t="s">
        <v>790</v>
      </c>
      <c r="M188" s="96" t="s">
        <v>556</v>
      </c>
      <c r="N188" s="96" t="s">
        <v>576</v>
      </c>
      <c r="O188" s="96" t="s">
        <v>613</v>
      </c>
      <c r="P188" s="6"/>
      <c r="Q188" s="216">
        <f t="shared" si="4"/>
        <v>284.3</v>
      </c>
      <c r="R188" s="216">
        <f t="shared" si="4"/>
        <v>225.7</v>
      </c>
    </row>
    <row r="189" spans="1:18" ht="31.5" customHeight="1">
      <c r="A189" s="97"/>
      <c r="B189" s="98"/>
      <c r="C189" s="97"/>
      <c r="D189" s="101"/>
      <c r="E189" s="115"/>
      <c r="F189" s="115"/>
      <c r="G189" s="89"/>
      <c r="H189" s="128" t="s">
        <v>120</v>
      </c>
      <c r="I189" s="6">
        <v>27</v>
      </c>
      <c r="J189" s="19">
        <v>5</v>
      </c>
      <c r="K189" s="16">
        <v>3</v>
      </c>
      <c r="L189" s="95" t="s">
        <v>790</v>
      </c>
      <c r="M189" s="96" t="s">
        <v>556</v>
      </c>
      <c r="N189" s="96" t="s">
        <v>810</v>
      </c>
      <c r="O189" s="96" t="s">
        <v>613</v>
      </c>
      <c r="P189" s="6"/>
      <c r="Q189" s="216">
        <f t="shared" si="4"/>
        <v>284.3</v>
      </c>
      <c r="R189" s="216">
        <f t="shared" si="4"/>
        <v>225.7</v>
      </c>
    </row>
    <row r="190" spans="1:18" ht="33" customHeight="1">
      <c r="A190" s="97"/>
      <c r="B190" s="98"/>
      <c r="C190" s="97"/>
      <c r="D190" s="101"/>
      <c r="E190" s="115"/>
      <c r="F190" s="115"/>
      <c r="G190" s="89"/>
      <c r="H190" s="18" t="s">
        <v>791</v>
      </c>
      <c r="I190" s="6">
        <v>27</v>
      </c>
      <c r="J190" s="19">
        <v>5</v>
      </c>
      <c r="K190" s="16">
        <v>3</v>
      </c>
      <c r="L190" s="95" t="s">
        <v>790</v>
      </c>
      <c r="M190" s="96" t="s">
        <v>556</v>
      </c>
      <c r="N190" s="96" t="s">
        <v>810</v>
      </c>
      <c r="O190" s="96" t="s">
        <v>811</v>
      </c>
      <c r="P190" s="6"/>
      <c r="Q190" s="216">
        <f t="shared" si="4"/>
        <v>284.3</v>
      </c>
      <c r="R190" s="216">
        <f t="shared" si="4"/>
        <v>225.7</v>
      </c>
    </row>
    <row r="191" spans="1:18" ht="27" customHeight="1">
      <c r="A191" s="97"/>
      <c r="B191" s="98"/>
      <c r="C191" s="97"/>
      <c r="D191" s="101"/>
      <c r="E191" s="115"/>
      <c r="F191" s="115"/>
      <c r="G191" s="89"/>
      <c r="H191" s="18" t="s">
        <v>712</v>
      </c>
      <c r="I191" s="6">
        <v>27</v>
      </c>
      <c r="J191" s="19">
        <v>5</v>
      </c>
      <c r="K191" s="16">
        <v>3</v>
      </c>
      <c r="L191" s="95" t="s">
        <v>790</v>
      </c>
      <c r="M191" s="96" t="s">
        <v>556</v>
      </c>
      <c r="N191" s="96" t="s">
        <v>810</v>
      </c>
      <c r="O191" s="96" t="s">
        <v>811</v>
      </c>
      <c r="P191" s="6">
        <v>240</v>
      </c>
      <c r="Q191" s="216">
        <v>284.3</v>
      </c>
      <c r="R191" s="216">
        <f>225.7</f>
        <v>225.7</v>
      </c>
    </row>
    <row r="192" spans="1:18" s="179" customFormat="1" ht="24.75" customHeight="1">
      <c r="A192" s="142"/>
      <c r="B192" s="143"/>
      <c r="C192" s="142"/>
      <c r="D192" s="150"/>
      <c r="E192" s="151"/>
      <c r="F192" s="151"/>
      <c r="G192" s="136"/>
      <c r="H192" s="249" t="s">
        <v>639</v>
      </c>
      <c r="I192" s="250">
        <v>27</v>
      </c>
      <c r="J192" s="147">
        <v>5</v>
      </c>
      <c r="K192" s="139">
        <v>5</v>
      </c>
      <c r="L192" s="140"/>
      <c r="M192" s="141"/>
      <c r="N192" s="141"/>
      <c r="O192" s="141"/>
      <c r="P192" s="146"/>
      <c r="Q192" s="217">
        <f>Q193+Q198</f>
        <v>400</v>
      </c>
      <c r="R192" s="217">
        <f>R193+R198</f>
        <v>400</v>
      </c>
    </row>
    <row r="193" spans="1:18" s="179" customFormat="1" ht="24.75" customHeight="1">
      <c r="A193" s="142"/>
      <c r="B193" s="143"/>
      <c r="C193" s="142"/>
      <c r="D193" s="150"/>
      <c r="E193" s="151"/>
      <c r="F193" s="151"/>
      <c r="G193" s="136"/>
      <c r="H193" s="11" t="s">
        <v>292</v>
      </c>
      <c r="I193" s="6">
        <v>27</v>
      </c>
      <c r="J193" s="19">
        <v>5</v>
      </c>
      <c r="K193" s="16">
        <v>5</v>
      </c>
      <c r="L193" s="95" t="s">
        <v>573</v>
      </c>
      <c r="M193" s="96" t="s">
        <v>556</v>
      </c>
      <c r="N193" s="96" t="s">
        <v>576</v>
      </c>
      <c r="O193" s="96" t="s">
        <v>613</v>
      </c>
      <c r="P193" s="146"/>
      <c r="Q193" s="217">
        <f>Q194+Q196</f>
        <v>0</v>
      </c>
      <c r="R193" s="217">
        <f>R194+R196</f>
        <v>0</v>
      </c>
    </row>
    <row r="194" spans="1:18" ht="48" customHeight="1" hidden="1">
      <c r="A194" s="99"/>
      <c r="B194" s="98"/>
      <c r="C194" s="97"/>
      <c r="D194" s="101"/>
      <c r="E194" s="115"/>
      <c r="F194" s="115"/>
      <c r="G194" s="89"/>
      <c r="H194" s="116" t="s">
        <v>696</v>
      </c>
      <c r="I194" s="8">
        <v>27</v>
      </c>
      <c r="J194" s="19">
        <v>5</v>
      </c>
      <c r="K194" s="16">
        <v>5</v>
      </c>
      <c r="L194" s="95" t="s">
        <v>573</v>
      </c>
      <c r="M194" s="96" t="s">
        <v>556</v>
      </c>
      <c r="N194" s="96" t="s">
        <v>576</v>
      </c>
      <c r="O194" s="96" t="s">
        <v>645</v>
      </c>
      <c r="P194" s="6"/>
      <c r="Q194" s="216">
        <f>Q195</f>
        <v>0</v>
      </c>
      <c r="R194" s="216">
        <f>R195</f>
        <v>0</v>
      </c>
    </row>
    <row r="195" spans="1:18" ht="26.25" customHeight="1" hidden="1">
      <c r="A195" s="99"/>
      <c r="B195" s="98"/>
      <c r="C195" s="97"/>
      <c r="D195" s="101"/>
      <c r="E195" s="115"/>
      <c r="F195" s="115"/>
      <c r="G195" s="89"/>
      <c r="H195" s="116" t="s">
        <v>640</v>
      </c>
      <c r="I195" s="8">
        <v>27</v>
      </c>
      <c r="J195" s="19">
        <v>5</v>
      </c>
      <c r="K195" s="16">
        <v>5</v>
      </c>
      <c r="L195" s="95" t="s">
        <v>573</v>
      </c>
      <c r="M195" s="96" t="s">
        <v>556</v>
      </c>
      <c r="N195" s="96" t="s">
        <v>576</v>
      </c>
      <c r="O195" s="96" t="s">
        <v>645</v>
      </c>
      <c r="P195" s="6">
        <v>540</v>
      </c>
      <c r="Q195" s="216"/>
      <c r="R195" s="216"/>
    </row>
    <row r="196" spans="1:18" ht="39" customHeight="1" hidden="1">
      <c r="A196" s="99"/>
      <c r="B196" s="98"/>
      <c r="C196" s="97"/>
      <c r="D196" s="101"/>
      <c r="E196" s="115"/>
      <c r="F196" s="115"/>
      <c r="G196" s="89"/>
      <c r="H196" s="116" t="s">
        <v>259</v>
      </c>
      <c r="I196" s="8">
        <v>27</v>
      </c>
      <c r="J196" s="19">
        <v>5</v>
      </c>
      <c r="K196" s="16">
        <v>5</v>
      </c>
      <c r="L196" s="95" t="s">
        <v>573</v>
      </c>
      <c r="M196" s="96" t="s">
        <v>556</v>
      </c>
      <c r="N196" s="96" t="s">
        <v>576</v>
      </c>
      <c r="O196" s="96" t="s">
        <v>258</v>
      </c>
      <c r="P196" s="6"/>
      <c r="Q196" s="216"/>
      <c r="R196" s="216"/>
    </row>
    <row r="197" spans="1:18" ht="26.25" customHeight="1" hidden="1">
      <c r="A197" s="99"/>
      <c r="B197" s="98"/>
      <c r="C197" s="97"/>
      <c r="D197" s="101"/>
      <c r="E197" s="115"/>
      <c r="F197" s="115"/>
      <c r="G197" s="89"/>
      <c r="H197" s="116" t="s">
        <v>640</v>
      </c>
      <c r="I197" s="8">
        <v>27</v>
      </c>
      <c r="J197" s="19">
        <v>5</v>
      </c>
      <c r="K197" s="16">
        <v>5</v>
      </c>
      <c r="L197" s="95" t="s">
        <v>573</v>
      </c>
      <c r="M197" s="96" t="s">
        <v>556</v>
      </c>
      <c r="N197" s="96" t="s">
        <v>576</v>
      </c>
      <c r="O197" s="96" t="s">
        <v>258</v>
      </c>
      <c r="P197" s="6">
        <v>540</v>
      </c>
      <c r="Q197" s="216"/>
      <c r="R197" s="216"/>
    </row>
    <row r="198" spans="1:18" ht="28.5" customHeight="1">
      <c r="A198" s="99"/>
      <c r="B198" s="98"/>
      <c r="C198" s="97"/>
      <c r="D198" s="101"/>
      <c r="E198" s="115"/>
      <c r="F198" s="115"/>
      <c r="G198" s="89"/>
      <c r="H198" s="5" t="s">
        <v>260</v>
      </c>
      <c r="I198" s="8">
        <v>27</v>
      </c>
      <c r="J198" s="19">
        <v>5</v>
      </c>
      <c r="K198" s="16">
        <v>5</v>
      </c>
      <c r="L198" s="95" t="s">
        <v>578</v>
      </c>
      <c r="M198" s="96" t="s">
        <v>558</v>
      </c>
      <c r="N198" s="96" t="s">
        <v>576</v>
      </c>
      <c r="O198" s="96" t="s">
        <v>347</v>
      </c>
      <c r="P198" s="6"/>
      <c r="Q198" s="216">
        <f>Q199</f>
        <v>400</v>
      </c>
      <c r="R198" s="216">
        <f>R199</f>
        <v>400</v>
      </c>
    </row>
    <row r="199" spans="1:18" ht="28.5" customHeight="1">
      <c r="A199" s="99"/>
      <c r="B199" s="98"/>
      <c r="C199" s="97"/>
      <c r="D199" s="101"/>
      <c r="E199" s="115"/>
      <c r="F199" s="115"/>
      <c r="G199" s="89"/>
      <c r="H199" s="117" t="s">
        <v>712</v>
      </c>
      <c r="I199" s="6">
        <v>27</v>
      </c>
      <c r="J199" s="19">
        <v>5</v>
      </c>
      <c r="K199" s="16">
        <v>5</v>
      </c>
      <c r="L199" s="95" t="s">
        <v>578</v>
      </c>
      <c r="M199" s="96" t="s">
        <v>558</v>
      </c>
      <c r="N199" s="96" t="s">
        <v>576</v>
      </c>
      <c r="O199" s="96" t="s">
        <v>347</v>
      </c>
      <c r="P199" s="6">
        <v>240</v>
      </c>
      <c r="Q199" s="216">
        <v>400</v>
      </c>
      <c r="R199" s="216">
        <v>400</v>
      </c>
    </row>
    <row r="200" spans="1:18" s="179" customFormat="1" ht="24" customHeight="1">
      <c r="A200" s="142"/>
      <c r="B200" s="143"/>
      <c r="C200" s="153"/>
      <c r="D200" s="150"/>
      <c r="E200" s="154"/>
      <c r="F200" s="154"/>
      <c r="G200" s="155">
        <v>611</v>
      </c>
      <c r="H200" s="149" t="s">
        <v>543</v>
      </c>
      <c r="I200" s="152">
        <v>27</v>
      </c>
      <c r="J200" s="156">
        <v>6</v>
      </c>
      <c r="K200" s="139"/>
      <c r="L200" s="140"/>
      <c r="M200" s="141"/>
      <c r="N200" s="141"/>
      <c r="O200" s="141"/>
      <c r="P200" s="146"/>
      <c r="Q200" s="217">
        <f>Q201+Q204</f>
        <v>136.9</v>
      </c>
      <c r="R200" s="217">
        <f>R201+R204</f>
        <v>636.8</v>
      </c>
    </row>
    <row r="201" spans="1:18" s="179" customFormat="1" ht="24" customHeight="1">
      <c r="A201" s="142"/>
      <c r="B201" s="143"/>
      <c r="C201" s="153"/>
      <c r="D201" s="150"/>
      <c r="E201" s="154"/>
      <c r="F201" s="154"/>
      <c r="G201" s="155"/>
      <c r="H201" s="149" t="s">
        <v>542</v>
      </c>
      <c r="I201" s="152">
        <v>27</v>
      </c>
      <c r="J201" s="156">
        <v>6</v>
      </c>
      <c r="K201" s="139">
        <v>3</v>
      </c>
      <c r="L201" s="140"/>
      <c r="M201" s="141"/>
      <c r="N201" s="141"/>
      <c r="O201" s="141"/>
      <c r="P201" s="146"/>
      <c r="Q201" s="217">
        <f>Q202</f>
        <v>27.4</v>
      </c>
      <c r="R201" s="217">
        <f>R202</f>
        <v>27.4</v>
      </c>
    </row>
    <row r="202" spans="1:18" ht="48" customHeight="1">
      <c r="A202" s="97"/>
      <c r="B202" s="98"/>
      <c r="C202" s="103"/>
      <c r="D202" s="101"/>
      <c r="E202" s="113"/>
      <c r="F202" s="113"/>
      <c r="G202" s="105"/>
      <c r="H202" s="5" t="s">
        <v>760</v>
      </c>
      <c r="I202" s="8">
        <v>27</v>
      </c>
      <c r="J202" s="21">
        <v>6</v>
      </c>
      <c r="K202" s="16">
        <v>3</v>
      </c>
      <c r="L202" s="95" t="s">
        <v>573</v>
      </c>
      <c r="M202" s="96" t="s">
        <v>556</v>
      </c>
      <c r="N202" s="96" t="s">
        <v>576</v>
      </c>
      <c r="O202" s="96" t="s">
        <v>759</v>
      </c>
      <c r="P202" s="6"/>
      <c r="Q202" s="216">
        <f>Q203</f>
        <v>27.4</v>
      </c>
      <c r="R202" s="216">
        <f>R203</f>
        <v>27.4</v>
      </c>
    </row>
    <row r="203" spans="1:18" ht="24" customHeight="1">
      <c r="A203" s="97"/>
      <c r="B203" s="98"/>
      <c r="C203" s="103"/>
      <c r="D203" s="101"/>
      <c r="E203" s="113"/>
      <c r="F203" s="113"/>
      <c r="G203" s="105"/>
      <c r="H203" s="5" t="s">
        <v>712</v>
      </c>
      <c r="I203" s="8">
        <v>27</v>
      </c>
      <c r="J203" s="21">
        <v>6</v>
      </c>
      <c r="K203" s="16">
        <v>3</v>
      </c>
      <c r="L203" s="95" t="s">
        <v>573</v>
      </c>
      <c r="M203" s="96" t="s">
        <v>556</v>
      </c>
      <c r="N203" s="96" t="s">
        <v>576</v>
      </c>
      <c r="O203" s="96" t="s">
        <v>759</v>
      </c>
      <c r="P203" s="6">
        <v>240</v>
      </c>
      <c r="Q203" s="216">
        <v>27.4</v>
      </c>
      <c r="R203" s="216">
        <v>27.4</v>
      </c>
    </row>
    <row r="204" spans="1:18" s="179" customFormat="1" ht="24.75" customHeight="1">
      <c r="A204" s="142"/>
      <c r="B204" s="143"/>
      <c r="C204" s="153"/>
      <c r="D204" s="150"/>
      <c r="E204" s="154"/>
      <c r="F204" s="154"/>
      <c r="G204" s="155">
        <v>621</v>
      </c>
      <c r="H204" s="149" t="s">
        <v>541</v>
      </c>
      <c r="I204" s="152">
        <v>27</v>
      </c>
      <c r="J204" s="156">
        <v>6</v>
      </c>
      <c r="K204" s="139">
        <v>5</v>
      </c>
      <c r="L204" s="140"/>
      <c r="M204" s="141"/>
      <c r="N204" s="141"/>
      <c r="O204" s="141"/>
      <c r="P204" s="146"/>
      <c r="Q204" s="217">
        <f>Q205+Q207</f>
        <v>109.5</v>
      </c>
      <c r="R204" s="217">
        <f>R205+R207</f>
        <v>609.4</v>
      </c>
    </row>
    <row r="205" spans="1:18" ht="18.75" customHeight="1">
      <c r="A205" s="99"/>
      <c r="B205" s="98"/>
      <c r="C205" s="103"/>
      <c r="D205" s="107"/>
      <c r="E205" s="104"/>
      <c r="F205" s="104"/>
      <c r="G205" s="105"/>
      <c r="H205" s="172" t="s">
        <v>807</v>
      </c>
      <c r="I205" s="8">
        <v>27</v>
      </c>
      <c r="J205" s="19">
        <v>6</v>
      </c>
      <c r="K205" s="16">
        <v>5</v>
      </c>
      <c r="L205" s="95" t="s">
        <v>573</v>
      </c>
      <c r="M205" s="96" t="s">
        <v>556</v>
      </c>
      <c r="N205" s="96" t="s">
        <v>576</v>
      </c>
      <c r="O205" s="96" t="s">
        <v>806</v>
      </c>
      <c r="P205" s="6"/>
      <c r="Q205" s="216">
        <f>SUM(Q206:Q206)</f>
        <v>109.5</v>
      </c>
      <c r="R205" s="216">
        <f>SUM(R206:R206)</f>
        <v>109.4</v>
      </c>
    </row>
    <row r="206" spans="1:18" ht="23.25" customHeight="1">
      <c r="A206" s="99"/>
      <c r="B206" s="98"/>
      <c r="C206" s="103"/>
      <c r="D206" s="107"/>
      <c r="E206" s="104"/>
      <c r="F206" s="104"/>
      <c r="G206" s="105"/>
      <c r="H206" s="3" t="s">
        <v>526</v>
      </c>
      <c r="I206" s="8">
        <v>27</v>
      </c>
      <c r="J206" s="19">
        <v>6</v>
      </c>
      <c r="K206" s="16">
        <v>5</v>
      </c>
      <c r="L206" s="95" t="s">
        <v>573</v>
      </c>
      <c r="M206" s="96" t="s">
        <v>556</v>
      </c>
      <c r="N206" s="96" t="s">
        <v>576</v>
      </c>
      <c r="O206" s="96" t="s">
        <v>806</v>
      </c>
      <c r="P206" s="6">
        <v>120</v>
      </c>
      <c r="Q206" s="239">
        <v>109.5</v>
      </c>
      <c r="R206" s="239">
        <v>109.4</v>
      </c>
    </row>
    <row r="207" spans="1:18" ht="35.25" customHeight="1">
      <c r="A207" s="99"/>
      <c r="B207" s="98"/>
      <c r="C207" s="103"/>
      <c r="D207" s="109"/>
      <c r="E207" s="104"/>
      <c r="F207" s="104"/>
      <c r="G207" s="105">
        <v>622</v>
      </c>
      <c r="H207" s="3" t="s">
        <v>190</v>
      </c>
      <c r="I207" s="8">
        <v>27</v>
      </c>
      <c r="J207" s="21">
        <v>6</v>
      </c>
      <c r="K207" s="16">
        <v>5</v>
      </c>
      <c r="L207" s="95" t="s">
        <v>189</v>
      </c>
      <c r="M207" s="96" t="s">
        <v>556</v>
      </c>
      <c r="N207" s="96" t="s">
        <v>576</v>
      </c>
      <c r="O207" s="96" t="s">
        <v>613</v>
      </c>
      <c r="P207" s="6"/>
      <c r="Q207" s="216">
        <f aca="true" t="shared" si="5" ref="Q207:R209">Q208</f>
        <v>0</v>
      </c>
      <c r="R207" s="216">
        <f t="shared" si="5"/>
        <v>500</v>
      </c>
    </row>
    <row r="208" spans="1:18" ht="33.75" customHeight="1">
      <c r="A208" s="99"/>
      <c r="B208" s="98"/>
      <c r="C208" s="106"/>
      <c r="D208" s="107"/>
      <c r="E208" s="104"/>
      <c r="F208" s="104"/>
      <c r="G208" s="105"/>
      <c r="H208" s="116" t="s">
        <v>303</v>
      </c>
      <c r="I208" s="8">
        <v>27</v>
      </c>
      <c r="J208" s="21">
        <v>6</v>
      </c>
      <c r="K208" s="16">
        <v>5</v>
      </c>
      <c r="L208" s="95" t="s">
        <v>189</v>
      </c>
      <c r="M208" s="96" t="s">
        <v>556</v>
      </c>
      <c r="N208" s="96" t="s">
        <v>585</v>
      </c>
      <c r="O208" s="96" t="s">
        <v>613</v>
      </c>
      <c r="P208" s="6"/>
      <c r="Q208" s="216">
        <f t="shared" si="5"/>
        <v>0</v>
      </c>
      <c r="R208" s="216">
        <f t="shared" si="5"/>
        <v>500</v>
      </c>
    </row>
    <row r="209" spans="1:18" ht="24.75" customHeight="1">
      <c r="A209" s="99"/>
      <c r="B209" s="98"/>
      <c r="C209" s="106"/>
      <c r="D209" s="107"/>
      <c r="E209" s="104"/>
      <c r="F209" s="104"/>
      <c r="G209" s="105"/>
      <c r="H209" s="116" t="s">
        <v>262</v>
      </c>
      <c r="I209" s="8">
        <v>27</v>
      </c>
      <c r="J209" s="21">
        <v>6</v>
      </c>
      <c r="K209" s="16">
        <v>5</v>
      </c>
      <c r="L209" s="95" t="s">
        <v>189</v>
      </c>
      <c r="M209" s="96" t="s">
        <v>556</v>
      </c>
      <c r="N209" s="96" t="s">
        <v>585</v>
      </c>
      <c r="O209" s="96" t="s">
        <v>261</v>
      </c>
      <c r="P209" s="6"/>
      <c r="Q209" s="216">
        <f t="shared" si="5"/>
        <v>0</v>
      </c>
      <c r="R209" s="216">
        <f t="shared" si="5"/>
        <v>500</v>
      </c>
    </row>
    <row r="210" spans="1:18" ht="33.75" customHeight="1">
      <c r="A210" s="99"/>
      <c r="B210" s="98"/>
      <c r="C210" s="106"/>
      <c r="D210" s="107"/>
      <c r="E210" s="104"/>
      <c r="F210" s="104"/>
      <c r="G210" s="105"/>
      <c r="H210" s="116" t="s">
        <v>712</v>
      </c>
      <c r="I210" s="8">
        <v>27</v>
      </c>
      <c r="J210" s="21">
        <v>6</v>
      </c>
      <c r="K210" s="16">
        <v>5</v>
      </c>
      <c r="L210" s="95" t="s">
        <v>189</v>
      </c>
      <c r="M210" s="96" t="s">
        <v>556</v>
      </c>
      <c r="N210" s="96" t="s">
        <v>585</v>
      </c>
      <c r="O210" s="96" t="s">
        <v>261</v>
      </c>
      <c r="P210" s="6">
        <v>240</v>
      </c>
      <c r="Q210" s="216">
        <v>0</v>
      </c>
      <c r="R210" s="216">
        <v>500</v>
      </c>
    </row>
    <row r="211" spans="1:18" s="179" customFormat="1" ht="26.25" customHeight="1">
      <c r="A211" s="142"/>
      <c r="B211" s="143"/>
      <c r="C211" s="157"/>
      <c r="D211" s="144"/>
      <c r="E211" s="145"/>
      <c r="F211" s="145"/>
      <c r="G211" s="155">
        <v>612</v>
      </c>
      <c r="H211" s="149" t="s">
        <v>538</v>
      </c>
      <c r="I211" s="152">
        <v>27</v>
      </c>
      <c r="J211" s="156">
        <v>7</v>
      </c>
      <c r="K211" s="139"/>
      <c r="L211" s="140"/>
      <c r="M211" s="141"/>
      <c r="N211" s="141"/>
      <c r="O211" s="141"/>
      <c r="P211" s="146"/>
      <c r="Q211" s="217">
        <f>Q212+Q219</f>
        <v>8550</v>
      </c>
      <c r="R211" s="217">
        <f>R212+R219</f>
        <v>8550</v>
      </c>
    </row>
    <row r="212" spans="1:18" s="179" customFormat="1" ht="20.25" customHeight="1">
      <c r="A212" s="142"/>
      <c r="B212" s="143"/>
      <c r="C212" s="375">
        <v>703</v>
      </c>
      <c r="D212" s="376"/>
      <c r="E212" s="376"/>
      <c r="F212" s="376"/>
      <c r="G212" s="136">
        <v>612</v>
      </c>
      <c r="H212" s="137" t="s">
        <v>340</v>
      </c>
      <c r="I212" s="146">
        <v>27</v>
      </c>
      <c r="J212" s="139">
        <v>7</v>
      </c>
      <c r="K212" s="139">
        <v>3</v>
      </c>
      <c r="L212" s="140"/>
      <c r="M212" s="141"/>
      <c r="N212" s="141"/>
      <c r="O212" s="141"/>
      <c r="P212" s="146"/>
      <c r="Q212" s="217">
        <f aca="true" t="shared" si="6" ref="Q212:R215">Q213</f>
        <v>8000</v>
      </c>
      <c r="R212" s="217">
        <f t="shared" si="6"/>
        <v>8000</v>
      </c>
    </row>
    <row r="213" spans="1:18" s="179" customFormat="1" ht="29.25" customHeight="1">
      <c r="A213" s="142"/>
      <c r="B213" s="143"/>
      <c r="C213" s="153"/>
      <c r="D213" s="235"/>
      <c r="E213" s="166"/>
      <c r="F213" s="166"/>
      <c r="G213" s="136"/>
      <c r="H213" s="257" t="s">
        <v>658</v>
      </c>
      <c r="I213" s="10">
        <v>27</v>
      </c>
      <c r="J213" s="16">
        <v>7</v>
      </c>
      <c r="K213" s="16">
        <v>3</v>
      </c>
      <c r="L213" s="95" t="s">
        <v>659</v>
      </c>
      <c r="M213" s="96" t="s">
        <v>556</v>
      </c>
      <c r="N213" s="96" t="s">
        <v>576</v>
      </c>
      <c r="O213" s="96" t="s">
        <v>613</v>
      </c>
      <c r="P213" s="6"/>
      <c r="Q213" s="216">
        <f t="shared" si="6"/>
        <v>8000</v>
      </c>
      <c r="R213" s="216">
        <f t="shared" si="6"/>
        <v>8000</v>
      </c>
    </row>
    <row r="214" spans="1:18" s="179" customFormat="1" ht="35.25" customHeight="1">
      <c r="A214" s="142"/>
      <c r="B214" s="143"/>
      <c r="C214" s="153"/>
      <c r="D214" s="235"/>
      <c r="E214" s="166"/>
      <c r="F214" s="166"/>
      <c r="G214" s="136"/>
      <c r="H214" s="257" t="s">
        <v>660</v>
      </c>
      <c r="I214" s="10">
        <v>27</v>
      </c>
      <c r="J214" s="16">
        <v>7</v>
      </c>
      <c r="K214" s="16">
        <v>3</v>
      </c>
      <c r="L214" s="95" t="s">
        <v>659</v>
      </c>
      <c r="M214" s="96" t="s">
        <v>556</v>
      </c>
      <c r="N214" s="96" t="s">
        <v>581</v>
      </c>
      <c r="O214" s="96" t="s">
        <v>613</v>
      </c>
      <c r="P214" s="6"/>
      <c r="Q214" s="216">
        <f>Q215+Q217</f>
        <v>8000</v>
      </c>
      <c r="R214" s="216">
        <f>R215+R217</f>
        <v>8000</v>
      </c>
    </row>
    <row r="215" spans="1:18" s="179" customFormat="1" ht="20.25" customHeight="1">
      <c r="A215" s="142"/>
      <c r="B215" s="143"/>
      <c r="C215" s="153"/>
      <c r="D215" s="235"/>
      <c r="E215" s="166"/>
      <c r="F215" s="166"/>
      <c r="G215" s="136"/>
      <c r="H215" s="257" t="s">
        <v>328</v>
      </c>
      <c r="I215" s="10">
        <v>27</v>
      </c>
      <c r="J215" s="16">
        <v>7</v>
      </c>
      <c r="K215" s="16">
        <v>3</v>
      </c>
      <c r="L215" s="95" t="s">
        <v>659</v>
      </c>
      <c r="M215" s="96" t="s">
        <v>556</v>
      </c>
      <c r="N215" s="96" t="s">
        <v>581</v>
      </c>
      <c r="O215" s="96" t="s">
        <v>263</v>
      </c>
      <c r="P215" s="6"/>
      <c r="Q215" s="216">
        <f t="shared" si="6"/>
        <v>6506.6</v>
      </c>
      <c r="R215" s="216">
        <f t="shared" si="6"/>
        <v>6179.4</v>
      </c>
    </row>
    <row r="216" spans="1:18" s="179" customFormat="1" ht="20.25" customHeight="1">
      <c r="A216" s="142"/>
      <c r="B216" s="143"/>
      <c r="C216" s="153"/>
      <c r="D216" s="235"/>
      <c r="E216" s="166"/>
      <c r="F216" s="166"/>
      <c r="G216" s="136"/>
      <c r="H216" s="257" t="s">
        <v>714</v>
      </c>
      <c r="I216" s="10">
        <v>27</v>
      </c>
      <c r="J216" s="16">
        <v>7</v>
      </c>
      <c r="K216" s="16">
        <v>3</v>
      </c>
      <c r="L216" s="95" t="s">
        <v>659</v>
      </c>
      <c r="M216" s="96" t="s">
        <v>556</v>
      </c>
      <c r="N216" s="96" t="s">
        <v>581</v>
      </c>
      <c r="O216" s="96" t="s">
        <v>263</v>
      </c>
      <c r="P216" s="6">
        <v>610</v>
      </c>
      <c r="Q216" s="216">
        <v>6506.6</v>
      </c>
      <c r="R216" s="216">
        <v>6179.4</v>
      </c>
    </row>
    <row r="217" spans="1:18" s="179" customFormat="1" ht="41.25" customHeight="1">
      <c r="A217" s="142"/>
      <c r="B217" s="143"/>
      <c r="C217" s="153"/>
      <c r="D217" s="235"/>
      <c r="E217" s="166"/>
      <c r="F217" s="166"/>
      <c r="G217" s="136"/>
      <c r="H217" s="257" t="s">
        <v>61</v>
      </c>
      <c r="I217" s="10">
        <v>27</v>
      </c>
      <c r="J217" s="16">
        <v>7</v>
      </c>
      <c r="K217" s="16">
        <v>3</v>
      </c>
      <c r="L217" s="95" t="s">
        <v>659</v>
      </c>
      <c r="M217" s="96" t="s">
        <v>556</v>
      </c>
      <c r="N217" s="96" t="s">
        <v>581</v>
      </c>
      <c r="O217" s="96" t="s">
        <v>60</v>
      </c>
      <c r="P217" s="10"/>
      <c r="Q217" s="214">
        <f>Q218</f>
        <v>1493.4</v>
      </c>
      <c r="R217" s="216">
        <f>R218</f>
        <v>1820.6</v>
      </c>
    </row>
    <row r="218" spans="1:18" s="179" customFormat="1" ht="20.25" customHeight="1">
      <c r="A218" s="142"/>
      <c r="B218" s="143"/>
      <c r="C218" s="153"/>
      <c r="D218" s="235"/>
      <c r="E218" s="166"/>
      <c r="F218" s="166"/>
      <c r="G218" s="136"/>
      <c r="H218" s="257" t="s">
        <v>714</v>
      </c>
      <c r="I218" s="10">
        <v>27</v>
      </c>
      <c r="J218" s="16">
        <v>7</v>
      </c>
      <c r="K218" s="16">
        <v>3</v>
      </c>
      <c r="L218" s="95" t="s">
        <v>659</v>
      </c>
      <c r="M218" s="96" t="s">
        <v>556</v>
      </c>
      <c r="N218" s="96" t="s">
        <v>581</v>
      </c>
      <c r="O218" s="96" t="s">
        <v>60</v>
      </c>
      <c r="P218" s="10">
        <v>610</v>
      </c>
      <c r="Q218" s="214">
        <v>1493.4</v>
      </c>
      <c r="R218" s="216">
        <v>1820.6</v>
      </c>
    </row>
    <row r="219" spans="1:18" s="179" customFormat="1" ht="18.75" customHeight="1">
      <c r="A219" s="142"/>
      <c r="B219" s="143"/>
      <c r="C219" s="375">
        <v>704</v>
      </c>
      <c r="D219" s="376"/>
      <c r="E219" s="376"/>
      <c r="F219" s="376"/>
      <c r="G219" s="136">
        <v>622</v>
      </c>
      <c r="H219" s="137" t="s">
        <v>331</v>
      </c>
      <c r="I219" s="146">
        <v>27</v>
      </c>
      <c r="J219" s="139">
        <v>7</v>
      </c>
      <c r="K219" s="139">
        <v>7</v>
      </c>
      <c r="L219" s="140"/>
      <c r="M219" s="141"/>
      <c r="N219" s="141"/>
      <c r="O219" s="141"/>
      <c r="P219" s="138"/>
      <c r="Q219" s="213">
        <f>Q220</f>
        <v>550</v>
      </c>
      <c r="R219" s="213">
        <f>R220</f>
        <v>550</v>
      </c>
    </row>
    <row r="220" spans="1:18" ht="18.75" customHeight="1">
      <c r="A220" s="99"/>
      <c r="B220" s="98"/>
      <c r="C220" s="97"/>
      <c r="D220" s="94"/>
      <c r="E220" s="94"/>
      <c r="F220" s="94"/>
      <c r="G220" s="89"/>
      <c r="H220" s="5" t="s">
        <v>662</v>
      </c>
      <c r="I220" s="6">
        <v>27</v>
      </c>
      <c r="J220" s="16">
        <v>7</v>
      </c>
      <c r="K220" s="16">
        <v>7</v>
      </c>
      <c r="L220" s="95" t="s">
        <v>661</v>
      </c>
      <c r="M220" s="96" t="s">
        <v>556</v>
      </c>
      <c r="N220" s="96" t="s">
        <v>576</v>
      </c>
      <c r="O220" s="96" t="s">
        <v>613</v>
      </c>
      <c r="P220" s="10"/>
      <c r="Q220" s="214">
        <f>Q221+Q226+Q229</f>
        <v>550</v>
      </c>
      <c r="R220" s="214">
        <f>R221+R226+R229</f>
        <v>550</v>
      </c>
    </row>
    <row r="221" spans="1:18" ht="38.25" customHeight="1">
      <c r="A221" s="99"/>
      <c r="B221" s="98"/>
      <c r="C221" s="97"/>
      <c r="D221" s="368">
        <v>4270000</v>
      </c>
      <c r="E221" s="368"/>
      <c r="F221" s="368"/>
      <c r="G221" s="89">
        <v>622</v>
      </c>
      <c r="H221" s="18" t="s">
        <v>664</v>
      </c>
      <c r="I221" s="6">
        <v>27</v>
      </c>
      <c r="J221" s="16">
        <v>7</v>
      </c>
      <c r="K221" s="16">
        <v>7</v>
      </c>
      <c r="L221" s="95" t="s">
        <v>661</v>
      </c>
      <c r="M221" s="96" t="s">
        <v>556</v>
      </c>
      <c r="N221" s="96" t="s">
        <v>557</v>
      </c>
      <c r="O221" s="96" t="s">
        <v>613</v>
      </c>
      <c r="P221" s="10"/>
      <c r="Q221" s="214">
        <f>Q222+Q224</f>
        <v>200</v>
      </c>
      <c r="R221" s="214">
        <f>R222+R224</f>
        <v>200</v>
      </c>
    </row>
    <row r="222" spans="1:18" ht="28.5" customHeight="1">
      <c r="A222" s="99"/>
      <c r="B222" s="98"/>
      <c r="C222" s="97"/>
      <c r="D222" s="101"/>
      <c r="E222" s="115"/>
      <c r="F222" s="115"/>
      <c r="G222" s="89"/>
      <c r="H222" s="18" t="s">
        <v>255</v>
      </c>
      <c r="I222" s="6">
        <v>27</v>
      </c>
      <c r="J222" s="16">
        <v>7</v>
      </c>
      <c r="K222" s="16">
        <v>7</v>
      </c>
      <c r="L222" s="95" t="s">
        <v>661</v>
      </c>
      <c r="M222" s="96" t="s">
        <v>556</v>
      </c>
      <c r="N222" s="96" t="s">
        <v>557</v>
      </c>
      <c r="O222" s="96" t="s">
        <v>256</v>
      </c>
      <c r="P222" s="6"/>
      <c r="Q222" s="216">
        <f>Q223</f>
        <v>200</v>
      </c>
      <c r="R222" s="216">
        <f>R223</f>
        <v>200</v>
      </c>
    </row>
    <row r="223" spans="1:18" ht="21.75" customHeight="1">
      <c r="A223" s="99"/>
      <c r="B223" s="98"/>
      <c r="C223" s="97"/>
      <c r="D223" s="101"/>
      <c r="E223" s="115"/>
      <c r="F223" s="115"/>
      <c r="G223" s="89"/>
      <c r="H223" s="257" t="s">
        <v>714</v>
      </c>
      <c r="I223" s="6">
        <v>27</v>
      </c>
      <c r="J223" s="16">
        <v>7</v>
      </c>
      <c r="K223" s="16">
        <v>7</v>
      </c>
      <c r="L223" s="95" t="s">
        <v>661</v>
      </c>
      <c r="M223" s="96" t="s">
        <v>556</v>
      </c>
      <c r="N223" s="96" t="s">
        <v>557</v>
      </c>
      <c r="O223" s="96" t="s">
        <v>256</v>
      </c>
      <c r="P223" s="6">
        <v>610</v>
      </c>
      <c r="Q223" s="216">
        <v>200</v>
      </c>
      <c r="R223" s="216">
        <v>200</v>
      </c>
    </row>
    <row r="224" spans="1:18" ht="36.75" customHeight="1" hidden="1">
      <c r="A224" s="99"/>
      <c r="B224" s="98"/>
      <c r="C224" s="97"/>
      <c r="D224" s="101"/>
      <c r="E224" s="115"/>
      <c r="F224" s="115"/>
      <c r="G224" s="89"/>
      <c r="H224" s="5" t="s">
        <v>663</v>
      </c>
      <c r="I224" s="6">
        <v>27</v>
      </c>
      <c r="J224" s="16">
        <v>7</v>
      </c>
      <c r="K224" s="16">
        <v>7</v>
      </c>
      <c r="L224" s="95" t="s">
        <v>661</v>
      </c>
      <c r="M224" s="96" t="s">
        <v>556</v>
      </c>
      <c r="N224" s="96" t="s">
        <v>557</v>
      </c>
      <c r="O224" s="96" t="s">
        <v>234</v>
      </c>
      <c r="P224" s="6"/>
      <c r="Q224" s="216">
        <f>Q225</f>
        <v>0</v>
      </c>
      <c r="R224" s="216">
        <f>R225</f>
        <v>0</v>
      </c>
    </row>
    <row r="225" spans="1:18" ht="27" customHeight="1" hidden="1">
      <c r="A225" s="99"/>
      <c r="B225" s="98"/>
      <c r="C225" s="103"/>
      <c r="D225" s="101"/>
      <c r="E225" s="113"/>
      <c r="F225" s="113"/>
      <c r="G225" s="105"/>
      <c r="H225" s="257" t="s">
        <v>714</v>
      </c>
      <c r="I225" s="6">
        <v>27</v>
      </c>
      <c r="J225" s="19">
        <v>7</v>
      </c>
      <c r="K225" s="16">
        <v>7</v>
      </c>
      <c r="L225" s="95" t="s">
        <v>661</v>
      </c>
      <c r="M225" s="96" t="s">
        <v>556</v>
      </c>
      <c r="N225" s="96" t="s">
        <v>557</v>
      </c>
      <c r="O225" s="96" t="s">
        <v>234</v>
      </c>
      <c r="P225" s="6">
        <v>610</v>
      </c>
      <c r="Q225" s="216">
        <v>0</v>
      </c>
      <c r="R225" s="216">
        <v>0</v>
      </c>
    </row>
    <row r="226" spans="1:18" ht="33.75" customHeight="1">
      <c r="A226" s="99"/>
      <c r="B226" s="98"/>
      <c r="C226" s="103"/>
      <c r="D226" s="101"/>
      <c r="E226" s="113"/>
      <c r="F226" s="113"/>
      <c r="G226" s="105"/>
      <c r="H226" s="129" t="s">
        <v>665</v>
      </c>
      <c r="I226" s="6">
        <v>27</v>
      </c>
      <c r="J226" s="19">
        <v>7</v>
      </c>
      <c r="K226" s="16">
        <v>7</v>
      </c>
      <c r="L226" s="95" t="s">
        <v>661</v>
      </c>
      <c r="M226" s="96" t="s">
        <v>556</v>
      </c>
      <c r="N226" s="96" t="s">
        <v>585</v>
      </c>
      <c r="O226" s="96" t="s">
        <v>613</v>
      </c>
      <c r="P226" s="6"/>
      <c r="Q226" s="216">
        <f>Q227</f>
        <v>200</v>
      </c>
      <c r="R226" s="216">
        <f>R227</f>
        <v>200</v>
      </c>
    </row>
    <row r="227" spans="1:18" ht="27" customHeight="1">
      <c r="A227" s="99"/>
      <c r="B227" s="98"/>
      <c r="C227" s="103"/>
      <c r="D227" s="101"/>
      <c r="E227" s="113"/>
      <c r="F227" s="113"/>
      <c r="G227" s="105"/>
      <c r="H227" s="129" t="s">
        <v>255</v>
      </c>
      <c r="I227" s="6">
        <v>27</v>
      </c>
      <c r="J227" s="19">
        <v>7</v>
      </c>
      <c r="K227" s="16">
        <v>7</v>
      </c>
      <c r="L227" s="95" t="s">
        <v>661</v>
      </c>
      <c r="M227" s="96" t="s">
        <v>556</v>
      </c>
      <c r="N227" s="96" t="s">
        <v>585</v>
      </c>
      <c r="O227" s="96" t="s">
        <v>256</v>
      </c>
      <c r="P227" s="6"/>
      <c r="Q227" s="216">
        <f>Q228</f>
        <v>200</v>
      </c>
      <c r="R227" s="216">
        <f>R228</f>
        <v>200</v>
      </c>
    </row>
    <row r="228" spans="1:18" ht="27" customHeight="1">
      <c r="A228" s="99"/>
      <c r="B228" s="98"/>
      <c r="C228" s="103"/>
      <c r="D228" s="101"/>
      <c r="E228" s="113"/>
      <c r="F228" s="113"/>
      <c r="G228" s="105"/>
      <c r="H228" s="257" t="s">
        <v>714</v>
      </c>
      <c r="I228" s="6">
        <v>27</v>
      </c>
      <c r="J228" s="19">
        <v>7</v>
      </c>
      <c r="K228" s="16">
        <v>7</v>
      </c>
      <c r="L228" s="95" t="s">
        <v>661</v>
      </c>
      <c r="M228" s="96" t="s">
        <v>556</v>
      </c>
      <c r="N228" s="96" t="s">
        <v>585</v>
      </c>
      <c r="O228" s="96" t="s">
        <v>256</v>
      </c>
      <c r="P228" s="6">
        <v>610</v>
      </c>
      <c r="Q228" s="216">
        <v>200</v>
      </c>
      <c r="R228" s="216">
        <v>200</v>
      </c>
    </row>
    <row r="229" spans="1:18" ht="33" customHeight="1">
      <c r="A229" s="99"/>
      <c r="B229" s="98"/>
      <c r="C229" s="103"/>
      <c r="D229" s="101"/>
      <c r="E229" s="113"/>
      <c r="F229" s="113"/>
      <c r="G229" s="105"/>
      <c r="H229" s="129" t="s">
        <v>666</v>
      </c>
      <c r="I229" s="6">
        <v>27</v>
      </c>
      <c r="J229" s="19">
        <v>7</v>
      </c>
      <c r="K229" s="16">
        <v>7</v>
      </c>
      <c r="L229" s="95" t="s">
        <v>661</v>
      </c>
      <c r="M229" s="96" t="s">
        <v>556</v>
      </c>
      <c r="N229" s="96" t="s">
        <v>586</v>
      </c>
      <c r="O229" s="96" t="s">
        <v>613</v>
      </c>
      <c r="P229" s="6"/>
      <c r="Q229" s="216">
        <f>Q230</f>
        <v>150</v>
      </c>
      <c r="R229" s="216">
        <f>R230</f>
        <v>150</v>
      </c>
    </row>
    <row r="230" spans="1:18" ht="27" customHeight="1">
      <c r="A230" s="99"/>
      <c r="B230" s="98"/>
      <c r="C230" s="103"/>
      <c r="D230" s="101"/>
      <c r="E230" s="113"/>
      <c r="F230" s="113"/>
      <c r="G230" s="105"/>
      <c r="H230" s="129" t="s">
        <v>255</v>
      </c>
      <c r="I230" s="6">
        <v>27</v>
      </c>
      <c r="J230" s="19">
        <v>7</v>
      </c>
      <c r="K230" s="16">
        <v>7</v>
      </c>
      <c r="L230" s="95" t="s">
        <v>661</v>
      </c>
      <c r="M230" s="96" t="s">
        <v>556</v>
      </c>
      <c r="N230" s="96" t="s">
        <v>586</v>
      </c>
      <c r="O230" s="96" t="s">
        <v>256</v>
      </c>
      <c r="P230" s="6"/>
      <c r="Q230" s="216">
        <f>Q231</f>
        <v>150</v>
      </c>
      <c r="R230" s="216">
        <f>R231</f>
        <v>150</v>
      </c>
    </row>
    <row r="231" spans="1:18" ht="27" customHeight="1">
      <c r="A231" s="99"/>
      <c r="B231" s="98"/>
      <c r="C231" s="103"/>
      <c r="D231" s="101"/>
      <c r="E231" s="113"/>
      <c r="F231" s="113"/>
      <c r="G231" s="105"/>
      <c r="H231" s="257" t="s">
        <v>714</v>
      </c>
      <c r="I231" s="6">
        <v>27</v>
      </c>
      <c r="J231" s="19">
        <v>7</v>
      </c>
      <c r="K231" s="16">
        <v>7</v>
      </c>
      <c r="L231" s="95" t="s">
        <v>661</v>
      </c>
      <c r="M231" s="96" t="s">
        <v>556</v>
      </c>
      <c r="N231" s="96" t="s">
        <v>586</v>
      </c>
      <c r="O231" s="96" t="s">
        <v>256</v>
      </c>
      <c r="P231" s="6">
        <v>610</v>
      </c>
      <c r="Q231" s="216">
        <v>150</v>
      </c>
      <c r="R231" s="216">
        <v>150</v>
      </c>
    </row>
    <row r="232" spans="1:18" s="179" customFormat="1" ht="24.75" customHeight="1">
      <c r="A232" s="142"/>
      <c r="B232" s="143"/>
      <c r="C232" s="142"/>
      <c r="D232" s="385">
        <v>10000</v>
      </c>
      <c r="E232" s="386"/>
      <c r="F232" s="386"/>
      <c r="G232" s="136">
        <v>240</v>
      </c>
      <c r="H232" s="137" t="s">
        <v>535</v>
      </c>
      <c r="I232" s="138">
        <v>27</v>
      </c>
      <c r="J232" s="139">
        <v>8</v>
      </c>
      <c r="K232" s="139"/>
      <c r="L232" s="140"/>
      <c r="M232" s="141"/>
      <c r="N232" s="141"/>
      <c r="O232" s="141"/>
      <c r="P232" s="138"/>
      <c r="Q232" s="213">
        <f>Q233</f>
        <v>28683.5</v>
      </c>
      <c r="R232" s="213">
        <f>R233</f>
        <v>26972.6</v>
      </c>
    </row>
    <row r="233" spans="1:18" s="179" customFormat="1" ht="25.5" customHeight="1">
      <c r="A233" s="142"/>
      <c r="B233" s="143"/>
      <c r="C233" s="153"/>
      <c r="D233" s="150"/>
      <c r="E233" s="384">
        <v>15200</v>
      </c>
      <c r="F233" s="384"/>
      <c r="G233" s="136">
        <v>240</v>
      </c>
      <c r="H233" s="137" t="s">
        <v>374</v>
      </c>
      <c r="I233" s="138">
        <v>27</v>
      </c>
      <c r="J233" s="139">
        <v>8</v>
      </c>
      <c r="K233" s="139">
        <v>1</v>
      </c>
      <c r="L233" s="140"/>
      <c r="M233" s="141"/>
      <c r="N233" s="141"/>
      <c r="O233" s="141"/>
      <c r="P233" s="138"/>
      <c r="Q233" s="213">
        <f>Q234</f>
        <v>28683.5</v>
      </c>
      <c r="R233" s="213">
        <f>R234</f>
        <v>26972.6</v>
      </c>
    </row>
    <row r="234" spans="1:18" ht="25.5" customHeight="1">
      <c r="A234" s="99"/>
      <c r="B234" s="98"/>
      <c r="C234" s="103"/>
      <c r="D234" s="101"/>
      <c r="E234" s="372">
        <v>20400</v>
      </c>
      <c r="F234" s="372"/>
      <c r="G234" s="89">
        <v>850</v>
      </c>
      <c r="H234" s="5" t="s">
        <v>658</v>
      </c>
      <c r="I234" s="10">
        <v>27</v>
      </c>
      <c r="J234" s="16">
        <v>8</v>
      </c>
      <c r="K234" s="16">
        <v>1</v>
      </c>
      <c r="L234" s="95" t="s">
        <v>659</v>
      </c>
      <c r="M234" s="96" t="s">
        <v>556</v>
      </c>
      <c r="N234" s="96" t="s">
        <v>576</v>
      </c>
      <c r="O234" s="96" t="s">
        <v>613</v>
      </c>
      <c r="P234" s="10"/>
      <c r="Q234" s="214">
        <f>Q235+Q244+Q249</f>
        <v>28683.5</v>
      </c>
      <c r="R234" s="214">
        <f>R235+R244+R249</f>
        <v>26972.6</v>
      </c>
    </row>
    <row r="235" spans="1:18" ht="39.75" customHeight="1">
      <c r="A235" s="99"/>
      <c r="B235" s="98"/>
      <c r="C235" s="103"/>
      <c r="D235" s="101"/>
      <c r="E235" s="113"/>
      <c r="F235" s="113"/>
      <c r="G235" s="105">
        <v>120</v>
      </c>
      <c r="H235" s="18" t="s">
        <v>294</v>
      </c>
      <c r="I235" s="6">
        <v>27</v>
      </c>
      <c r="J235" s="16">
        <v>8</v>
      </c>
      <c r="K235" s="16">
        <v>1</v>
      </c>
      <c r="L235" s="95" t="s">
        <v>659</v>
      </c>
      <c r="M235" s="96" t="s">
        <v>556</v>
      </c>
      <c r="N235" s="96" t="s">
        <v>557</v>
      </c>
      <c r="O235" s="96" t="s">
        <v>613</v>
      </c>
      <c r="P235" s="6"/>
      <c r="Q235" s="216">
        <f>Q236+Q240+Q242+Q238</f>
        <v>14682.6</v>
      </c>
      <c r="R235" s="216">
        <f>R236+R240+R242+R238</f>
        <v>14521.6</v>
      </c>
    </row>
    <row r="236" spans="1:18" ht="25.5" customHeight="1">
      <c r="A236" s="99"/>
      <c r="B236" s="98"/>
      <c r="C236" s="103"/>
      <c r="D236" s="101"/>
      <c r="E236" s="113"/>
      <c r="F236" s="113"/>
      <c r="G236" s="105"/>
      <c r="H236" s="18" t="s">
        <v>296</v>
      </c>
      <c r="I236" s="10">
        <v>27</v>
      </c>
      <c r="J236" s="16">
        <v>8</v>
      </c>
      <c r="K236" s="16">
        <v>1</v>
      </c>
      <c r="L236" s="95" t="s">
        <v>659</v>
      </c>
      <c r="M236" s="96" t="s">
        <v>556</v>
      </c>
      <c r="N236" s="96" t="s">
        <v>557</v>
      </c>
      <c r="O236" s="96" t="s">
        <v>295</v>
      </c>
      <c r="P236" s="6"/>
      <c r="Q236" s="216">
        <f>Q237</f>
        <v>10261.7</v>
      </c>
      <c r="R236" s="216">
        <f>R237</f>
        <v>9638.6</v>
      </c>
    </row>
    <row r="237" spans="1:18" ht="24.75" customHeight="1">
      <c r="A237" s="99"/>
      <c r="B237" s="98"/>
      <c r="C237" s="103"/>
      <c r="D237" s="101"/>
      <c r="E237" s="113"/>
      <c r="F237" s="113"/>
      <c r="G237" s="105"/>
      <c r="H237" s="257" t="s">
        <v>714</v>
      </c>
      <c r="I237" s="10">
        <v>27</v>
      </c>
      <c r="J237" s="16">
        <v>8</v>
      </c>
      <c r="K237" s="16">
        <v>1</v>
      </c>
      <c r="L237" s="95" t="s">
        <v>659</v>
      </c>
      <c r="M237" s="96" t="s">
        <v>556</v>
      </c>
      <c r="N237" s="96" t="s">
        <v>557</v>
      </c>
      <c r="O237" s="96" t="s">
        <v>295</v>
      </c>
      <c r="P237" s="6">
        <v>610</v>
      </c>
      <c r="Q237" s="216">
        <f>10504.1-242.4</f>
        <v>10261.7</v>
      </c>
      <c r="R237" s="216">
        <f>9881-242.4</f>
        <v>9638.6</v>
      </c>
    </row>
    <row r="238" spans="1:18" ht="33.75" customHeight="1">
      <c r="A238" s="99"/>
      <c r="B238" s="98"/>
      <c r="C238" s="103"/>
      <c r="D238" s="101"/>
      <c r="E238" s="113"/>
      <c r="F238" s="113"/>
      <c r="G238" s="105"/>
      <c r="H238" s="257" t="s">
        <v>61</v>
      </c>
      <c r="I238" s="10">
        <v>27</v>
      </c>
      <c r="J238" s="16">
        <v>8</v>
      </c>
      <c r="K238" s="16">
        <v>1</v>
      </c>
      <c r="L238" s="95" t="s">
        <v>659</v>
      </c>
      <c r="M238" s="96" t="s">
        <v>556</v>
      </c>
      <c r="N238" s="96" t="s">
        <v>557</v>
      </c>
      <c r="O238" s="96" t="s">
        <v>60</v>
      </c>
      <c r="P238" s="6"/>
      <c r="Q238" s="216">
        <f>Q239</f>
        <v>1656.9</v>
      </c>
      <c r="R238" s="216">
        <f>R239</f>
        <v>2119</v>
      </c>
    </row>
    <row r="239" spans="1:18" ht="24.75" customHeight="1">
      <c r="A239" s="99"/>
      <c r="B239" s="98"/>
      <c r="C239" s="103"/>
      <c r="D239" s="101"/>
      <c r="E239" s="113"/>
      <c r="F239" s="113"/>
      <c r="G239" s="105"/>
      <c r="H239" s="257" t="s">
        <v>714</v>
      </c>
      <c r="I239" s="10">
        <v>27</v>
      </c>
      <c r="J239" s="16">
        <v>8</v>
      </c>
      <c r="K239" s="16">
        <v>1</v>
      </c>
      <c r="L239" s="95" t="s">
        <v>659</v>
      </c>
      <c r="M239" s="96" t="s">
        <v>556</v>
      </c>
      <c r="N239" s="96" t="s">
        <v>557</v>
      </c>
      <c r="O239" s="96" t="s">
        <v>60</v>
      </c>
      <c r="P239" s="6">
        <v>610</v>
      </c>
      <c r="Q239" s="216">
        <v>1656.9</v>
      </c>
      <c r="R239" s="216">
        <v>2119</v>
      </c>
    </row>
    <row r="240" spans="1:18" ht="24.75" customHeight="1">
      <c r="A240" s="99"/>
      <c r="B240" s="98"/>
      <c r="C240" s="103"/>
      <c r="D240" s="101"/>
      <c r="E240" s="113"/>
      <c r="F240" s="113"/>
      <c r="G240" s="105"/>
      <c r="H240" s="5" t="s">
        <v>805</v>
      </c>
      <c r="I240" s="10">
        <v>27</v>
      </c>
      <c r="J240" s="16">
        <v>8</v>
      </c>
      <c r="K240" s="16">
        <v>1</v>
      </c>
      <c r="L240" s="95" t="s">
        <v>659</v>
      </c>
      <c r="M240" s="96" t="s">
        <v>556</v>
      </c>
      <c r="N240" s="96" t="s">
        <v>557</v>
      </c>
      <c r="O240" s="96" t="s">
        <v>804</v>
      </c>
      <c r="P240" s="6"/>
      <c r="Q240" s="216">
        <f>Q241</f>
        <v>340</v>
      </c>
      <c r="R240" s="216">
        <f>R241</f>
        <v>340</v>
      </c>
    </row>
    <row r="241" spans="1:18" ht="24" customHeight="1">
      <c r="A241" s="99"/>
      <c r="B241" s="98"/>
      <c r="C241" s="103"/>
      <c r="D241" s="101"/>
      <c r="E241" s="113"/>
      <c r="F241" s="113"/>
      <c r="G241" s="105"/>
      <c r="H241" s="257" t="s">
        <v>714</v>
      </c>
      <c r="I241" s="10">
        <v>27</v>
      </c>
      <c r="J241" s="16">
        <v>8</v>
      </c>
      <c r="K241" s="16">
        <v>1</v>
      </c>
      <c r="L241" s="95" t="s">
        <v>659</v>
      </c>
      <c r="M241" s="96" t="s">
        <v>556</v>
      </c>
      <c r="N241" s="96" t="s">
        <v>557</v>
      </c>
      <c r="O241" s="96" t="s">
        <v>804</v>
      </c>
      <c r="P241" s="6">
        <v>610</v>
      </c>
      <c r="Q241" s="216">
        <v>340</v>
      </c>
      <c r="R241" s="216">
        <v>340</v>
      </c>
    </row>
    <row r="242" spans="1:18" ht="27" customHeight="1">
      <c r="A242" s="99"/>
      <c r="B242" s="98"/>
      <c r="C242" s="103"/>
      <c r="D242" s="101"/>
      <c r="E242" s="113"/>
      <c r="F242" s="113"/>
      <c r="G242" s="105"/>
      <c r="H242" s="5" t="s">
        <v>668</v>
      </c>
      <c r="I242" s="10">
        <v>27</v>
      </c>
      <c r="J242" s="16">
        <v>8</v>
      </c>
      <c r="K242" s="16">
        <v>1</v>
      </c>
      <c r="L242" s="95" t="s">
        <v>659</v>
      </c>
      <c r="M242" s="96" t="s">
        <v>556</v>
      </c>
      <c r="N242" s="96" t="s">
        <v>557</v>
      </c>
      <c r="O242" s="96" t="s">
        <v>6</v>
      </c>
      <c r="P242" s="6"/>
      <c r="Q242" s="216">
        <f>Q243</f>
        <v>2424</v>
      </c>
      <c r="R242" s="216">
        <f>R243</f>
        <v>2424</v>
      </c>
    </row>
    <row r="243" spans="1:18" ht="30" customHeight="1">
      <c r="A243" s="99"/>
      <c r="B243" s="98"/>
      <c r="C243" s="103"/>
      <c r="D243" s="101"/>
      <c r="E243" s="113"/>
      <c r="F243" s="113"/>
      <c r="G243" s="105"/>
      <c r="H243" s="257" t="s">
        <v>714</v>
      </c>
      <c r="I243" s="10">
        <v>27</v>
      </c>
      <c r="J243" s="16">
        <v>8</v>
      </c>
      <c r="K243" s="16">
        <v>1</v>
      </c>
      <c r="L243" s="95" t="s">
        <v>659</v>
      </c>
      <c r="M243" s="96" t="s">
        <v>556</v>
      </c>
      <c r="N243" s="96" t="s">
        <v>557</v>
      </c>
      <c r="O243" s="96" t="s">
        <v>6</v>
      </c>
      <c r="P243" s="6">
        <v>610</v>
      </c>
      <c r="Q243" s="216">
        <f>2181.6+242.4</f>
        <v>2424</v>
      </c>
      <c r="R243" s="216">
        <f>2181.6+242.4</f>
        <v>2424</v>
      </c>
    </row>
    <row r="244" spans="1:18" ht="32.25" customHeight="1">
      <c r="A244" s="99"/>
      <c r="B244" s="98"/>
      <c r="C244" s="103"/>
      <c r="D244" s="101"/>
      <c r="E244" s="113"/>
      <c r="F244" s="113"/>
      <c r="G244" s="105"/>
      <c r="H244" s="5" t="s">
        <v>669</v>
      </c>
      <c r="I244" s="10">
        <v>27</v>
      </c>
      <c r="J244" s="16">
        <v>8</v>
      </c>
      <c r="K244" s="16">
        <v>1</v>
      </c>
      <c r="L244" s="95" t="s">
        <v>659</v>
      </c>
      <c r="M244" s="96" t="s">
        <v>556</v>
      </c>
      <c r="N244" s="96" t="s">
        <v>585</v>
      </c>
      <c r="O244" s="96" t="s">
        <v>613</v>
      </c>
      <c r="P244" s="6"/>
      <c r="Q244" s="216">
        <f>Q245+Q247</f>
        <v>14000.900000000001</v>
      </c>
      <c r="R244" s="216">
        <f>R245+R247</f>
        <v>12451</v>
      </c>
    </row>
    <row r="245" spans="1:18" ht="33" customHeight="1">
      <c r="A245" s="99"/>
      <c r="B245" s="98"/>
      <c r="C245" s="103"/>
      <c r="D245" s="101"/>
      <c r="E245" s="113"/>
      <c r="F245" s="113"/>
      <c r="G245" s="105"/>
      <c r="H245" s="5" t="s">
        <v>255</v>
      </c>
      <c r="I245" s="10">
        <v>27</v>
      </c>
      <c r="J245" s="16">
        <v>8</v>
      </c>
      <c r="K245" s="16">
        <v>1</v>
      </c>
      <c r="L245" s="95" t="s">
        <v>659</v>
      </c>
      <c r="M245" s="96" t="s">
        <v>556</v>
      </c>
      <c r="N245" s="96" t="s">
        <v>585</v>
      </c>
      <c r="O245" s="96" t="s">
        <v>256</v>
      </c>
      <c r="P245" s="6"/>
      <c r="Q245" s="216">
        <f>Q246</f>
        <v>10383.2</v>
      </c>
      <c r="R245" s="216">
        <f>R246</f>
        <v>7824.2</v>
      </c>
    </row>
    <row r="246" spans="1:18" ht="27" customHeight="1">
      <c r="A246" s="99"/>
      <c r="B246" s="98"/>
      <c r="C246" s="103"/>
      <c r="D246" s="101"/>
      <c r="E246" s="113"/>
      <c r="F246" s="113"/>
      <c r="G246" s="105"/>
      <c r="H246" s="5" t="s">
        <v>714</v>
      </c>
      <c r="I246" s="10">
        <v>27</v>
      </c>
      <c r="J246" s="16">
        <v>8</v>
      </c>
      <c r="K246" s="16">
        <v>1</v>
      </c>
      <c r="L246" s="95" t="s">
        <v>659</v>
      </c>
      <c r="M246" s="96" t="s">
        <v>556</v>
      </c>
      <c r="N246" s="96" t="s">
        <v>585</v>
      </c>
      <c r="O246" s="96" t="s">
        <v>256</v>
      </c>
      <c r="P246" s="6">
        <v>610</v>
      </c>
      <c r="Q246" s="216">
        <v>10383.2</v>
      </c>
      <c r="R246" s="216">
        <v>7824.2</v>
      </c>
    </row>
    <row r="247" spans="1:18" ht="35.25" customHeight="1">
      <c r="A247" s="99"/>
      <c r="B247" s="98"/>
      <c r="C247" s="103"/>
      <c r="D247" s="101"/>
      <c r="E247" s="113"/>
      <c r="F247" s="113"/>
      <c r="G247" s="105"/>
      <c r="H247" s="5" t="s">
        <v>61</v>
      </c>
      <c r="I247" s="10">
        <v>27</v>
      </c>
      <c r="J247" s="16">
        <v>8</v>
      </c>
      <c r="K247" s="16">
        <v>1</v>
      </c>
      <c r="L247" s="95" t="s">
        <v>659</v>
      </c>
      <c r="M247" s="96" t="s">
        <v>556</v>
      </c>
      <c r="N247" s="96" t="s">
        <v>585</v>
      </c>
      <c r="O247" s="96" t="s">
        <v>60</v>
      </c>
      <c r="P247" s="6"/>
      <c r="Q247" s="216">
        <f>Q248</f>
        <v>3617.7</v>
      </c>
      <c r="R247" s="216">
        <f>R248</f>
        <v>4626.8</v>
      </c>
    </row>
    <row r="248" spans="1:18" ht="27" customHeight="1">
      <c r="A248" s="99"/>
      <c r="B248" s="98"/>
      <c r="C248" s="103"/>
      <c r="D248" s="101"/>
      <c r="E248" s="113"/>
      <c r="F248" s="113"/>
      <c r="G248" s="105"/>
      <c r="H248" s="5" t="s">
        <v>714</v>
      </c>
      <c r="I248" s="10">
        <v>27</v>
      </c>
      <c r="J248" s="16">
        <v>8</v>
      </c>
      <c r="K248" s="16">
        <v>1</v>
      </c>
      <c r="L248" s="95" t="s">
        <v>659</v>
      </c>
      <c r="M248" s="96" t="s">
        <v>556</v>
      </c>
      <c r="N248" s="96" t="s">
        <v>585</v>
      </c>
      <c r="O248" s="96" t="s">
        <v>60</v>
      </c>
      <c r="P248" s="6">
        <v>610</v>
      </c>
      <c r="Q248" s="216">
        <v>3617.7</v>
      </c>
      <c r="R248" s="216">
        <v>4626.8</v>
      </c>
    </row>
    <row r="249" spans="1:18" ht="42" customHeight="1" hidden="1">
      <c r="A249" s="99"/>
      <c r="B249" s="98"/>
      <c r="C249" s="103"/>
      <c r="D249" s="101"/>
      <c r="E249" s="113"/>
      <c r="F249" s="113"/>
      <c r="G249" s="105"/>
      <c r="H249" s="5" t="s">
        <v>361</v>
      </c>
      <c r="I249" s="10">
        <v>27</v>
      </c>
      <c r="J249" s="16">
        <v>8</v>
      </c>
      <c r="K249" s="16">
        <v>1</v>
      </c>
      <c r="L249" s="95" t="s">
        <v>659</v>
      </c>
      <c r="M249" s="96" t="s">
        <v>556</v>
      </c>
      <c r="N249" s="96" t="s">
        <v>586</v>
      </c>
      <c r="O249" s="96" t="s">
        <v>613</v>
      </c>
      <c r="P249" s="6"/>
      <c r="Q249" s="216">
        <f>Q250+Q252+Q254</f>
        <v>0</v>
      </c>
      <c r="R249" s="216">
        <f>R250+R252+R254</f>
        <v>0</v>
      </c>
    </row>
    <row r="250" spans="1:18" ht="24" customHeight="1" hidden="1">
      <c r="A250" s="99"/>
      <c r="B250" s="98"/>
      <c r="C250" s="103"/>
      <c r="D250" s="101"/>
      <c r="E250" s="113"/>
      <c r="F250" s="113"/>
      <c r="G250" s="105"/>
      <c r="H250" s="5" t="s">
        <v>670</v>
      </c>
      <c r="I250" s="10">
        <v>27</v>
      </c>
      <c r="J250" s="16">
        <v>8</v>
      </c>
      <c r="K250" s="16">
        <v>1</v>
      </c>
      <c r="L250" s="95" t="s">
        <v>659</v>
      </c>
      <c r="M250" s="96" t="s">
        <v>556</v>
      </c>
      <c r="N250" s="96" t="s">
        <v>586</v>
      </c>
      <c r="O250" s="96" t="s">
        <v>667</v>
      </c>
      <c r="P250" s="6"/>
      <c r="Q250" s="216">
        <f>Q251</f>
        <v>0</v>
      </c>
      <c r="R250" s="216">
        <f>R251</f>
        <v>0</v>
      </c>
    </row>
    <row r="251" spans="1:18" ht="27.75" customHeight="1" hidden="1">
      <c r="A251" s="99"/>
      <c r="B251" s="98"/>
      <c r="C251" s="103"/>
      <c r="D251" s="107"/>
      <c r="E251" s="104"/>
      <c r="F251" s="104"/>
      <c r="G251" s="105"/>
      <c r="H251" s="5" t="s">
        <v>712</v>
      </c>
      <c r="I251" s="13">
        <v>27</v>
      </c>
      <c r="J251" s="16">
        <v>8</v>
      </c>
      <c r="K251" s="16">
        <v>1</v>
      </c>
      <c r="L251" s="95" t="s">
        <v>659</v>
      </c>
      <c r="M251" s="96" t="s">
        <v>556</v>
      </c>
      <c r="N251" s="96" t="s">
        <v>586</v>
      </c>
      <c r="O251" s="96" t="s">
        <v>667</v>
      </c>
      <c r="P251" s="6">
        <v>240</v>
      </c>
      <c r="Q251" s="216">
        <v>0</v>
      </c>
      <c r="R251" s="216">
        <v>0</v>
      </c>
    </row>
    <row r="252" spans="1:18" ht="26.25" customHeight="1" hidden="1">
      <c r="A252" s="99"/>
      <c r="B252" s="98"/>
      <c r="C252" s="103"/>
      <c r="D252" s="107"/>
      <c r="E252" s="104"/>
      <c r="F252" s="104"/>
      <c r="G252" s="105"/>
      <c r="H252" s="5" t="s">
        <v>287</v>
      </c>
      <c r="I252" s="13">
        <v>27</v>
      </c>
      <c r="J252" s="16">
        <v>8</v>
      </c>
      <c r="K252" s="16">
        <v>1</v>
      </c>
      <c r="L252" s="95" t="s">
        <v>659</v>
      </c>
      <c r="M252" s="96" t="s">
        <v>556</v>
      </c>
      <c r="N252" s="96" t="s">
        <v>586</v>
      </c>
      <c r="O252" s="96" t="s">
        <v>288</v>
      </c>
      <c r="P252" s="6"/>
      <c r="Q252" s="216">
        <f>Q253</f>
        <v>0</v>
      </c>
      <c r="R252" s="216">
        <f>R253</f>
        <v>0</v>
      </c>
    </row>
    <row r="253" spans="1:18" ht="27.75" customHeight="1" hidden="1">
      <c r="A253" s="99"/>
      <c r="B253" s="98"/>
      <c r="C253" s="103"/>
      <c r="D253" s="109"/>
      <c r="E253" s="104"/>
      <c r="F253" s="104"/>
      <c r="G253" s="105">
        <v>850</v>
      </c>
      <c r="H253" s="18" t="s">
        <v>714</v>
      </c>
      <c r="I253" s="13">
        <v>27</v>
      </c>
      <c r="J253" s="16">
        <v>8</v>
      </c>
      <c r="K253" s="16">
        <v>1</v>
      </c>
      <c r="L253" s="95" t="s">
        <v>659</v>
      </c>
      <c r="M253" s="96" t="s">
        <v>556</v>
      </c>
      <c r="N253" s="96" t="s">
        <v>586</v>
      </c>
      <c r="O253" s="96" t="s">
        <v>288</v>
      </c>
      <c r="P253" s="6">
        <v>610</v>
      </c>
      <c r="Q253" s="216">
        <v>0</v>
      </c>
      <c r="R253" s="216">
        <v>0</v>
      </c>
    </row>
    <row r="254" spans="1:18" ht="33.75" customHeight="1" hidden="1">
      <c r="A254" s="99"/>
      <c r="B254" s="98"/>
      <c r="C254" s="97"/>
      <c r="D254" s="368">
        <v>4360000</v>
      </c>
      <c r="E254" s="369"/>
      <c r="F254" s="369"/>
      <c r="G254" s="89">
        <v>340</v>
      </c>
      <c r="H254" s="313" t="s">
        <v>789</v>
      </c>
      <c r="I254" s="10">
        <v>27</v>
      </c>
      <c r="J254" s="16">
        <v>8</v>
      </c>
      <c r="K254" s="16">
        <v>1</v>
      </c>
      <c r="L254" s="95" t="s">
        <v>659</v>
      </c>
      <c r="M254" s="96" t="s">
        <v>556</v>
      </c>
      <c r="N254" s="96" t="s">
        <v>586</v>
      </c>
      <c r="O254" s="96" t="s">
        <v>788</v>
      </c>
      <c r="P254" s="10"/>
      <c r="Q254" s="214">
        <f>Q255</f>
        <v>0</v>
      </c>
      <c r="R254" s="214">
        <f>R255</f>
        <v>0</v>
      </c>
    </row>
    <row r="255" spans="1:18" ht="20.25" customHeight="1" hidden="1">
      <c r="A255" s="99"/>
      <c r="B255" s="98"/>
      <c r="C255" s="97"/>
      <c r="D255" s="101"/>
      <c r="E255" s="100"/>
      <c r="F255" s="100"/>
      <c r="G255" s="89"/>
      <c r="H255" s="5" t="s">
        <v>714</v>
      </c>
      <c r="I255" s="13">
        <v>27</v>
      </c>
      <c r="J255" s="16">
        <v>8</v>
      </c>
      <c r="K255" s="16">
        <v>1</v>
      </c>
      <c r="L255" s="95" t="s">
        <v>659</v>
      </c>
      <c r="M255" s="96" t="s">
        <v>556</v>
      </c>
      <c r="N255" s="96" t="s">
        <v>586</v>
      </c>
      <c r="O255" s="96" t="s">
        <v>788</v>
      </c>
      <c r="P255" s="10">
        <v>610</v>
      </c>
      <c r="Q255" s="214">
        <v>0</v>
      </c>
      <c r="R255" s="214">
        <v>0</v>
      </c>
    </row>
    <row r="256" spans="1:18" s="179" customFormat="1" ht="21" customHeight="1">
      <c r="A256" s="142"/>
      <c r="B256" s="143"/>
      <c r="C256" s="153"/>
      <c r="D256" s="150"/>
      <c r="E256" s="154"/>
      <c r="F256" s="154"/>
      <c r="G256" s="155"/>
      <c r="H256" s="149" t="s">
        <v>615</v>
      </c>
      <c r="I256" s="138">
        <v>27</v>
      </c>
      <c r="J256" s="139">
        <v>9</v>
      </c>
      <c r="K256" s="139" t="s">
        <v>614</v>
      </c>
      <c r="L256" s="140"/>
      <c r="M256" s="141"/>
      <c r="N256" s="141"/>
      <c r="O256" s="141"/>
      <c r="P256" s="146"/>
      <c r="Q256" s="217">
        <f>Q257</f>
        <v>81.3</v>
      </c>
      <c r="R256" s="217">
        <f>R257</f>
        <v>81.3</v>
      </c>
    </row>
    <row r="257" spans="1:18" s="179" customFormat="1" ht="21" customHeight="1">
      <c r="A257" s="142"/>
      <c r="B257" s="143"/>
      <c r="C257" s="153"/>
      <c r="D257" s="150"/>
      <c r="E257" s="154"/>
      <c r="F257" s="154"/>
      <c r="G257" s="155"/>
      <c r="H257" s="149" t="s">
        <v>560</v>
      </c>
      <c r="I257" s="146">
        <v>27</v>
      </c>
      <c r="J257" s="139">
        <v>9</v>
      </c>
      <c r="K257" s="139">
        <v>7</v>
      </c>
      <c r="L257" s="139" t="s">
        <v>527</v>
      </c>
      <c r="M257" s="141" t="s">
        <v>527</v>
      </c>
      <c r="N257" s="141"/>
      <c r="O257" s="141" t="s">
        <v>527</v>
      </c>
      <c r="P257" s="146"/>
      <c r="Q257" s="213">
        <f>Q258</f>
        <v>81.3</v>
      </c>
      <c r="R257" s="213">
        <f>R258</f>
        <v>81.3</v>
      </c>
    </row>
    <row r="258" spans="1:18" ht="48" customHeight="1">
      <c r="A258" s="99"/>
      <c r="B258" s="98"/>
      <c r="C258" s="103"/>
      <c r="D258" s="101"/>
      <c r="E258" s="113"/>
      <c r="F258" s="113"/>
      <c r="G258" s="105"/>
      <c r="H258" s="34" t="s">
        <v>711</v>
      </c>
      <c r="I258" s="6">
        <v>27</v>
      </c>
      <c r="J258" s="16">
        <v>9</v>
      </c>
      <c r="K258" s="16">
        <v>7</v>
      </c>
      <c r="L258" s="16">
        <v>91</v>
      </c>
      <c r="M258" s="96" t="s">
        <v>556</v>
      </c>
      <c r="N258" s="96" t="s">
        <v>576</v>
      </c>
      <c r="O258" s="96" t="s">
        <v>643</v>
      </c>
      <c r="P258" s="6"/>
      <c r="Q258" s="214">
        <v>81.3</v>
      </c>
      <c r="R258" s="214">
        <v>81.3</v>
      </c>
    </row>
    <row r="259" spans="1:18" ht="27" customHeight="1">
      <c r="A259" s="99"/>
      <c r="B259" s="98"/>
      <c r="C259" s="103"/>
      <c r="D259" s="101"/>
      <c r="E259" s="113"/>
      <c r="F259" s="113"/>
      <c r="G259" s="105"/>
      <c r="H259" s="34" t="s">
        <v>712</v>
      </c>
      <c r="I259" s="6">
        <v>27</v>
      </c>
      <c r="J259" s="16">
        <v>9</v>
      </c>
      <c r="K259" s="16">
        <v>7</v>
      </c>
      <c r="L259" s="16">
        <v>91</v>
      </c>
      <c r="M259" s="96" t="s">
        <v>556</v>
      </c>
      <c r="N259" s="96" t="s">
        <v>576</v>
      </c>
      <c r="O259" s="96" t="s">
        <v>643</v>
      </c>
      <c r="P259" s="6">
        <v>240</v>
      </c>
      <c r="Q259" s="214">
        <v>74.5</v>
      </c>
      <c r="R259" s="214">
        <v>74.5</v>
      </c>
    </row>
    <row r="260" spans="1:18" s="179" customFormat="1" ht="24" customHeight="1">
      <c r="A260" s="142"/>
      <c r="B260" s="143"/>
      <c r="C260" s="153"/>
      <c r="D260" s="150"/>
      <c r="E260" s="154"/>
      <c r="F260" s="154"/>
      <c r="G260" s="155">
        <v>321</v>
      </c>
      <c r="H260" s="149" t="s">
        <v>534</v>
      </c>
      <c r="I260" s="152">
        <v>27</v>
      </c>
      <c r="J260" s="156">
        <v>10</v>
      </c>
      <c r="K260" s="139"/>
      <c r="L260" s="140"/>
      <c r="M260" s="141"/>
      <c r="N260" s="141"/>
      <c r="O260" s="141"/>
      <c r="P260" s="146"/>
      <c r="Q260" s="217">
        <f>Q261+Q264+Q276</f>
        <v>5708.6</v>
      </c>
      <c r="R260" s="217">
        <f>R261+R264+R276</f>
        <v>5708</v>
      </c>
    </row>
    <row r="261" spans="1:18" s="179" customFormat="1" ht="18.75" customHeight="1">
      <c r="A261" s="142"/>
      <c r="B261" s="143"/>
      <c r="C261" s="153"/>
      <c r="D261" s="150"/>
      <c r="E261" s="154"/>
      <c r="F261" s="154"/>
      <c r="G261" s="155">
        <v>612</v>
      </c>
      <c r="H261" s="149" t="s">
        <v>373</v>
      </c>
      <c r="I261" s="152">
        <v>27</v>
      </c>
      <c r="J261" s="156">
        <v>10</v>
      </c>
      <c r="K261" s="139">
        <v>1</v>
      </c>
      <c r="L261" s="140"/>
      <c r="M261" s="141"/>
      <c r="N261" s="141"/>
      <c r="O261" s="141"/>
      <c r="P261" s="146"/>
      <c r="Q261" s="217">
        <f>Q262</f>
        <v>2100</v>
      </c>
      <c r="R261" s="217">
        <f>R262</f>
        <v>2100</v>
      </c>
    </row>
    <row r="262" spans="1:18" ht="30.75" customHeight="1">
      <c r="A262" s="99"/>
      <c r="B262" s="98"/>
      <c r="C262" s="103"/>
      <c r="D262" s="101"/>
      <c r="E262" s="372">
        <v>4360400</v>
      </c>
      <c r="F262" s="372"/>
      <c r="G262" s="89">
        <v>340</v>
      </c>
      <c r="H262" s="11" t="s">
        <v>297</v>
      </c>
      <c r="I262" s="6">
        <v>27</v>
      </c>
      <c r="J262" s="21">
        <v>10</v>
      </c>
      <c r="K262" s="16">
        <v>1</v>
      </c>
      <c r="L262" s="95" t="s">
        <v>573</v>
      </c>
      <c r="M262" s="96" t="s">
        <v>556</v>
      </c>
      <c r="N262" s="96" t="s">
        <v>576</v>
      </c>
      <c r="O262" s="96" t="s">
        <v>298</v>
      </c>
      <c r="P262" s="10"/>
      <c r="Q262" s="214">
        <f>Q263</f>
        <v>2100</v>
      </c>
      <c r="R262" s="214">
        <f>R263</f>
        <v>2100</v>
      </c>
    </row>
    <row r="263" spans="1:18" ht="30.75" customHeight="1">
      <c r="A263" s="99"/>
      <c r="B263" s="98"/>
      <c r="C263" s="103"/>
      <c r="D263" s="107"/>
      <c r="E263" s="104"/>
      <c r="F263" s="104"/>
      <c r="G263" s="89"/>
      <c r="H263" s="11" t="s">
        <v>717</v>
      </c>
      <c r="I263" s="6">
        <v>27</v>
      </c>
      <c r="J263" s="21">
        <v>10</v>
      </c>
      <c r="K263" s="16">
        <v>1</v>
      </c>
      <c r="L263" s="119" t="s">
        <v>573</v>
      </c>
      <c r="M263" s="120" t="s">
        <v>556</v>
      </c>
      <c r="N263" s="120" t="s">
        <v>576</v>
      </c>
      <c r="O263" s="120" t="s">
        <v>298</v>
      </c>
      <c r="P263" s="10">
        <v>320</v>
      </c>
      <c r="Q263" s="214">
        <v>2100</v>
      </c>
      <c r="R263" s="214">
        <v>2100</v>
      </c>
    </row>
    <row r="264" spans="1:18" s="179" customFormat="1" ht="27" customHeight="1">
      <c r="A264" s="142"/>
      <c r="B264" s="143"/>
      <c r="C264" s="142"/>
      <c r="D264" s="385">
        <v>4520000</v>
      </c>
      <c r="E264" s="385"/>
      <c r="F264" s="385"/>
      <c r="G264" s="136">
        <v>612</v>
      </c>
      <c r="H264" s="314" t="s">
        <v>533</v>
      </c>
      <c r="I264" s="138">
        <v>27</v>
      </c>
      <c r="J264" s="139">
        <v>10</v>
      </c>
      <c r="K264" s="139">
        <v>3</v>
      </c>
      <c r="L264" s="140"/>
      <c r="M264" s="141"/>
      <c r="N264" s="141"/>
      <c r="O264" s="246"/>
      <c r="P264" s="152"/>
      <c r="Q264" s="218">
        <f>Q265+Q269</f>
        <v>2476.5</v>
      </c>
      <c r="R264" s="218">
        <f>R265+R269</f>
        <v>2475.9</v>
      </c>
    </row>
    <row r="265" spans="1:18" ht="27" customHeight="1">
      <c r="A265" s="99"/>
      <c r="B265" s="98"/>
      <c r="C265" s="97"/>
      <c r="D265" s="107"/>
      <c r="E265" s="102"/>
      <c r="F265" s="102"/>
      <c r="G265" s="89"/>
      <c r="H265" s="191" t="s">
        <v>662</v>
      </c>
      <c r="I265" s="25">
        <v>27</v>
      </c>
      <c r="J265" s="121">
        <v>10</v>
      </c>
      <c r="K265" s="26">
        <v>3</v>
      </c>
      <c r="L265" s="122" t="s">
        <v>661</v>
      </c>
      <c r="M265" s="123" t="s">
        <v>556</v>
      </c>
      <c r="N265" s="123" t="s">
        <v>576</v>
      </c>
      <c r="O265" s="123" t="s">
        <v>613</v>
      </c>
      <c r="P265" s="6"/>
      <c r="Q265" s="214">
        <f aca="true" t="shared" si="7" ref="Q265:R267">Q266</f>
        <v>170.5</v>
      </c>
      <c r="R265" s="214">
        <f t="shared" si="7"/>
        <v>169.9</v>
      </c>
    </row>
    <row r="266" spans="1:18" ht="29.25" customHeight="1">
      <c r="A266" s="99"/>
      <c r="B266" s="98"/>
      <c r="C266" s="97"/>
      <c r="D266" s="107"/>
      <c r="E266" s="102"/>
      <c r="F266" s="102"/>
      <c r="G266" s="89"/>
      <c r="H266" s="191" t="s">
        <v>671</v>
      </c>
      <c r="I266" s="25">
        <v>27</v>
      </c>
      <c r="J266" s="121">
        <v>10</v>
      </c>
      <c r="K266" s="26">
        <v>3</v>
      </c>
      <c r="L266" s="122" t="s">
        <v>661</v>
      </c>
      <c r="M266" s="123" t="s">
        <v>556</v>
      </c>
      <c r="N266" s="123" t="s">
        <v>581</v>
      </c>
      <c r="O266" s="123" t="s">
        <v>613</v>
      </c>
      <c r="P266" s="6"/>
      <c r="Q266" s="214">
        <f t="shared" si="7"/>
        <v>170.5</v>
      </c>
      <c r="R266" s="214">
        <f t="shared" si="7"/>
        <v>169.9</v>
      </c>
    </row>
    <row r="267" spans="1:18" ht="21.75" customHeight="1">
      <c r="A267" s="99"/>
      <c r="B267" s="98"/>
      <c r="C267" s="97"/>
      <c r="D267" s="107"/>
      <c r="E267" s="102"/>
      <c r="F267" s="102"/>
      <c r="G267" s="89"/>
      <c r="H267" s="191" t="s">
        <v>672</v>
      </c>
      <c r="I267" s="25">
        <v>27</v>
      </c>
      <c r="J267" s="121">
        <v>10</v>
      </c>
      <c r="K267" s="26">
        <v>3</v>
      </c>
      <c r="L267" s="122" t="s">
        <v>661</v>
      </c>
      <c r="M267" s="123" t="s">
        <v>556</v>
      </c>
      <c r="N267" s="123" t="s">
        <v>581</v>
      </c>
      <c r="O267" s="123" t="s">
        <v>265</v>
      </c>
      <c r="P267" s="6"/>
      <c r="Q267" s="214">
        <f t="shared" si="7"/>
        <v>170.5</v>
      </c>
      <c r="R267" s="214">
        <f t="shared" si="7"/>
        <v>169.9</v>
      </c>
    </row>
    <row r="268" spans="1:18" ht="29.25" customHeight="1">
      <c r="A268" s="99"/>
      <c r="B268" s="98"/>
      <c r="C268" s="97"/>
      <c r="D268" s="107"/>
      <c r="E268" s="102"/>
      <c r="F268" s="102"/>
      <c r="G268" s="89"/>
      <c r="H268" s="34" t="s">
        <v>717</v>
      </c>
      <c r="I268" s="25">
        <v>27</v>
      </c>
      <c r="J268" s="121">
        <v>10</v>
      </c>
      <c r="K268" s="26">
        <v>3</v>
      </c>
      <c r="L268" s="122" t="s">
        <v>661</v>
      </c>
      <c r="M268" s="123" t="s">
        <v>556</v>
      </c>
      <c r="N268" s="123" t="s">
        <v>581</v>
      </c>
      <c r="O268" s="123" t="s">
        <v>265</v>
      </c>
      <c r="P268" s="6">
        <v>320</v>
      </c>
      <c r="Q268" s="214">
        <v>170.5</v>
      </c>
      <c r="R268" s="214">
        <v>169.9</v>
      </c>
    </row>
    <row r="269" spans="1:18" ht="29.25" customHeight="1">
      <c r="A269" s="99"/>
      <c r="B269" s="98"/>
      <c r="C269" s="97"/>
      <c r="D269" s="107"/>
      <c r="E269" s="102"/>
      <c r="F269" s="102"/>
      <c r="G269" s="89"/>
      <c r="H269" s="34" t="s">
        <v>292</v>
      </c>
      <c r="I269" s="25">
        <v>27</v>
      </c>
      <c r="J269" s="121">
        <v>10</v>
      </c>
      <c r="K269" s="26">
        <v>3</v>
      </c>
      <c r="L269" s="122" t="s">
        <v>573</v>
      </c>
      <c r="M269" s="123" t="s">
        <v>556</v>
      </c>
      <c r="N269" s="123" t="s">
        <v>576</v>
      </c>
      <c r="O269" s="123" t="s">
        <v>613</v>
      </c>
      <c r="P269" s="6"/>
      <c r="Q269" s="216">
        <f>Q270+Q272+Q274</f>
        <v>2306</v>
      </c>
      <c r="R269" s="216">
        <f>R270+R272+R274</f>
        <v>2306</v>
      </c>
    </row>
    <row r="270" spans="1:18" ht="57.75" customHeight="1">
      <c r="A270" s="99"/>
      <c r="B270" s="98"/>
      <c r="C270" s="97"/>
      <c r="D270" s="368">
        <v>5220000</v>
      </c>
      <c r="E270" s="369"/>
      <c r="F270" s="369"/>
      <c r="G270" s="89">
        <v>612</v>
      </c>
      <c r="H270" s="11" t="s">
        <v>532</v>
      </c>
      <c r="I270" s="6">
        <v>27</v>
      </c>
      <c r="J270" s="21">
        <v>10</v>
      </c>
      <c r="K270" s="16">
        <v>3</v>
      </c>
      <c r="L270" s="95" t="s">
        <v>573</v>
      </c>
      <c r="M270" s="96" t="s">
        <v>556</v>
      </c>
      <c r="N270" s="96" t="s">
        <v>576</v>
      </c>
      <c r="O270" s="124" t="s">
        <v>644</v>
      </c>
      <c r="P270" s="8"/>
      <c r="Q270" s="216">
        <f>Q271</f>
        <v>1284</v>
      </c>
      <c r="R270" s="216">
        <f>R271</f>
        <v>1284</v>
      </c>
    </row>
    <row r="271" spans="1:18" ht="28.5" customHeight="1">
      <c r="A271" s="99"/>
      <c r="B271" s="98"/>
      <c r="C271" s="97"/>
      <c r="D271" s="101"/>
      <c r="E271" s="100"/>
      <c r="F271" s="100"/>
      <c r="G271" s="89"/>
      <c r="H271" s="11" t="s">
        <v>717</v>
      </c>
      <c r="I271" s="6">
        <v>27</v>
      </c>
      <c r="J271" s="21">
        <v>10</v>
      </c>
      <c r="K271" s="16">
        <v>3</v>
      </c>
      <c r="L271" s="95" t="s">
        <v>573</v>
      </c>
      <c r="M271" s="96" t="s">
        <v>556</v>
      </c>
      <c r="N271" s="96" t="s">
        <v>576</v>
      </c>
      <c r="O271" s="124" t="s">
        <v>644</v>
      </c>
      <c r="P271" s="13">
        <v>320</v>
      </c>
      <c r="Q271" s="214">
        <f>1273.5+10.5</f>
        <v>1284</v>
      </c>
      <c r="R271" s="214">
        <f>1273.5+10.5</f>
        <v>1284</v>
      </c>
    </row>
    <row r="272" spans="1:18" ht="42" customHeight="1">
      <c r="A272" s="99"/>
      <c r="B272" s="98"/>
      <c r="C272" s="103"/>
      <c r="D272" s="101"/>
      <c r="E272" s="113"/>
      <c r="F272" s="113"/>
      <c r="G272" s="89"/>
      <c r="H272" s="11" t="s">
        <v>290</v>
      </c>
      <c r="I272" s="10">
        <v>27</v>
      </c>
      <c r="J272" s="7">
        <v>10</v>
      </c>
      <c r="K272" s="16">
        <v>3</v>
      </c>
      <c r="L272" s="95" t="s">
        <v>573</v>
      </c>
      <c r="M272" s="96" t="s">
        <v>556</v>
      </c>
      <c r="N272" s="96" t="s">
        <v>576</v>
      </c>
      <c r="O272" s="96" t="s">
        <v>289</v>
      </c>
      <c r="P272" s="10"/>
      <c r="Q272" s="214">
        <f>Q273</f>
        <v>642</v>
      </c>
      <c r="R272" s="214">
        <f>R273</f>
        <v>642</v>
      </c>
    </row>
    <row r="273" spans="1:18" ht="32.25" customHeight="1">
      <c r="A273" s="99"/>
      <c r="B273" s="98"/>
      <c r="C273" s="103"/>
      <c r="D273" s="101"/>
      <c r="E273" s="113"/>
      <c r="F273" s="113"/>
      <c r="G273" s="89"/>
      <c r="H273" s="11" t="s">
        <v>717</v>
      </c>
      <c r="I273" s="10">
        <v>27</v>
      </c>
      <c r="J273" s="7">
        <v>10</v>
      </c>
      <c r="K273" s="16">
        <v>3</v>
      </c>
      <c r="L273" s="95" t="s">
        <v>573</v>
      </c>
      <c r="M273" s="96" t="s">
        <v>556</v>
      </c>
      <c r="N273" s="96" t="s">
        <v>576</v>
      </c>
      <c r="O273" s="96" t="s">
        <v>289</v>
      </c>
      <c r="P273" s="10">
        <v>320</v>
      </c>
      <c r="Q273" s="215">
        <f>636.8+5.2</f>
        <v>642</v>
      </c>
      <c r="R273" s="239">
        <f>636.8+5.2</f>
        <v>642</v>
      </c>
    </row>
    <row r="274" spans="1:18" ht="27" customHeight="1">
      <c r="A274" s="99"/>
      <c r="B274" s="98"/>
      <c r="C274" s="103"/>
      <c r="D274" s="101"/>
      <c r="E274" s="113"/>
      <c r="F274" s="113"/>
      <c r="G274" s="89"/>
      <c r="H274" s="5" t="s">
        <v>300</v>
      </c>
      <c r="I274" s="6">
        <v>27</v>
      </c>
      <c r="J274" s="19">
        <v>10</v>
      </c>
      <c r="K274" s="16">
        <v>3</v>
      </c>
      <c r="L274" s="95" t="s">
        <v>573</v>
      </c>
      <c r="M274" s="96" t="s">
        <v>556</v>
      </c>
      <c r="N274" s="96" t="s">
        <v>576</v>
      </c>
      <c r="O274" s="96" t="s">
        <v>299</v>
      </c>
      <c r="P274" s="6"/>
      <c r="Q274" s="214">
        <f>Q275</f>
        <v>380</v>
      </c>
      <c r="R274" s="214">
        <f>R275</f>
        <v>380</v>
      </c>
    </row>
    <row r="275" spans="1:18" ht="27" customHeight="1">
      <c r="A275" s="99"/>
      <c r="B275" s="98"/>
      <c r="C275" s="103"/>
      <c r="D275" s="101"/>
      <c r="E275" s="113"/>
      <c r="F275" s="113"/>
      <c r="G275" s="89"/>
      <c r="H275" s="5" t="s">
        <v>716</v>
      </c>
      <c r="I275" s="8">
        <v>27</v>
      </c>
      <c r="J275" s="19">
        <v>10</v>
      </c>
      <c r="K275" s="16">
        <v>3</v>
      </c>
      <c r="L275" s="95" t="s">
        <v>573</v>
      </c>
      <c r="M275" s="96" t="s">
        <v>556</v>
      </c>
      <c r="N275" s="96" t="s">
        <v>576</v>
      </c>
      <c r="O275" s="96" t="s">
        <v>299</v>
      </c>
      <c r="P275" s="6">
        <v>310</v>
      </c>
      <c r="Q275" s="214">
        <v>380</v>
      </c>
      <c r="R275" s="214">
        <v>380</v>
      </c>
    </row>
    <row r="276" spans="1:18" s="179" customFormat="1" ht="25.5" customHeight="1">
      <c r="A276" s="142"/>
      <c r="B276" s="143"/>
      <c r="C276" s="153"/>
      <c r="D276" s="150"/>
      <c r="E276" s="145"/>
      <c r="F276" s="145"/>
      <c r="G276" s="155">
        <v>622</v>
      </c>
      <c r="H276" s="149" t="s">
        <v>531</v>
      </c>
      <c r="I276" s="152">
        <v>27</v>
      </c>
      <c r="J276" s="156">
        <v>10</v>
      </c>
      <c r="K276" s="139">
        <v>6</v>
      </c>
      <c r="L276" s="185"/>
      <c r="M276" s="186"/>
      <c r="N276" s="186"/>
      <c r="O276" s="186"/>
      <c r="P276" s="146"/>
      <c r="Q276" s="217">
        <f>Q277</f>
        <v>1132.1</v>
      </c>
      <c r="R276" s="217">
        <f>R277</f>
        <v>1132.1</v>
      </c>
    </row>
    <row r="277" spans="1:18" s="179" customFormat="1" ht="25.5" customHeight="1">
      <c r="A277" s="142"/>
      <c r="B277" s="143"/>
      <c r="C277" s="153"/>
      <c r="D277" s="150"/>
      <c r="E277" s="145"/>
      <c r="F277" s="145"/>
      <c r="G277" s="136"/>
      <c r="H277" s="11" t="s">
        <v>292</v>
      </c>
      <c r="I277" s="6">
        <v>27</v>
      </c>
      <c r="J277" s="19">
        <v>10</v>
      </c>
      <c r="K277" s="16">
        <v>6</v>
      </c>
      <c r="L277" s="122" t="s">
        <v>573</v>
      </c>
      <c r="M277" s="123" t="s">
        <v>556</v>
      </c>
      <c r="N277" s="123" t="s">
        <v>576</v>
      </c>
      <c r="O277" s="123" t="s">
        <v>613</v>
      </c>
      <c r="P277" s="6"/>
      <c r="Q277" s="216">
        <f>Q278+Q280+Q282</f>
        <v>1132.1</v>
      </c>
      <c r="R277" s="216">
        <f>R278+R280+R282</f>
        <v>1132.1</v>
      </c>
    </row>
    <row r="278" spans="1:18" ht="30.75" customHeight="1">
      <c r="A278" s="99"/>
      <c r="B278" s="98"/>
      <c r="C278" s="103"/>
      <c r="D278" s="101"/>
      <c r="E278" s="372">
        <v>5225700</v>
      </c>
      <c r="F278" s="372"/>
      <c r="G278" s="89">
        <v>612</v>
      </c>
      <c r="H278" s="11" t="s">
        <v>52</v>
      </c>
      <c r="I278" s="10">
        <v>27</v>
      </c>
      <c r="J278" s="16">
        <v>10</v>
      </c>
      <c r="K278" s="16">
        <v>6</v>
      </c>
      <c r="L278" s="95" t="s">
        <v>573</v>
      </c>
      <c r="M278" s="96" t="s">
        <v>556</v>
      </c>
      <c r="N278" s="96" t="s">
        <v>576</v>
      </c>
      <c r="O278" s="96" t="s">
        <v>51</v>
      </c>
      <c r="P278" s="6"/>
      <c r="Q278" s="216">
        <f>Q279</f>
        <v>45</v>
      </c>
      <c r="R278" s="216">
        <f>R279</f>
        <v>45</v>
      </c>
    </row>
    <row r="279" spans="1:18" ht="21.75" customHeight="1">
      <c r="A279" s="99"/>
      <c r="B279" s="98"/>
      <c r="C279" s="103"/>
      <c r="D279" s="101"/>
      <c r="E279" s="104"/>
      <c r="F279" s="104"/>
      <c r="G279" s="89"/>
      <c r="H279" s="5" t="s">
        <v>517</v>
      </c>
      <c r="I279" s="10">
        <v>27</v>
      </c>
      <c r="J279" s="16">
        <v>10</v>
      </c>
      <c r="K279" s="16">
        <v>6</v>
      </c>
      <c r="L279" s="95" t="s">
        <v>573</v>
      </c>
      <c r="M279" s="96" t="s">
        <v>556</v>
      </c>
      <c r="N279" s="96" t="s">
        <v>576</v>
      </c>
      <c r="O279" s="96" t="s">
        <v>51</v>
      </c>
      <c r="P279" s="10">
        <v>630</v>
      </c>
      <c r="Q279" s="214">
        <v>45</v>
      </c>
      <c r="R279" s="214">
        <v>45</v>
      </c>
    </row>
    <row r="280" spans="1:18" ht="30.75" customHeight="1">
      <c r="A280" s="99"/>
      <c r="B280" s="98"/>
      <c r="C280" s="103"/>
      <c r="D280" s="101"/>
      <c r="E280" s="104"/>
      <c r="F280" s="104"/>
      <c r="G280" s="89"/>
      <c r="H280" s="11" t="s">
        <v>807</v>
      </c>
      <c r="I280" s="10">
        <v>27</v>
      </c>
      <c r="J280" s="16">
        <v>10</v>
      </c>
      <c r="K280" s="16">
        <v>6</v>
      </c>
      <c r="L280" s="95" t="s">
        <v>573</v>
      </c>
      <c r="M280" s="96" t="s">
        <v>556</v>
      </c>
      <c r="N280" s="96" t="s">
        <v>576</v>
      </c>
      <c r="O280" s="96" t="s">
        <v>806</v>
      </c>
      <c r="P280" s="6"/>
      <c r="Q280" s="216">
        <f>Q281</f>
        <v>1087.1</v>
      </c>
      <c r="R280" s="216">
        <f>R281</f>
        <v>1087.1</v>
      </c>
    </row>
    <row r="281" spans="1:18" ht="26.25" customHeight="1">
      <c r="A281" s="99"/>
      <c r="B281" s="98"/>
      <c r="C281" s="103"/>
      <c r="D281" s="101"/>
      <c r="E281" s="104"/>
      <c r="F281" s="104"/>
      <c r="G281" s="89"/>
      <c r="H281" s="11" t="s">
        <v>526</v>
      </c>
      <c r="I281" s="10">
        <v>27</v>
      </c>
      <c r="J281" s="16">
        <v>10</v>
      </c>
      <c r="K281" s="16">
        <v>6</v>
      </c>
      <c r="L281" s="95" t="s">
        <v>573</v>
      </c>
      <c r="M281" s="96" t="s">
        <v>556</v>
      </c>
      <c r="N281" s="96" t="s">
        <v>576</v>
      </c>
      <c r="O281" s="96" t="s">
        <v>806</v>
      </c>
      <c r="P281" s="6">
        <v>120</v>
      </c>
      <c r="Q281" s="239">
        <v>1087.1</v>
      </c>
      <c r="R281" s="239">
        <v>1087.1</v>
      </c>
    </row>
    <row r="282" spans="1:18" ht="34.5" customHeight="1" hidden="1">
      <c r="A282" s="99"/>
      <c r="B282" s="98"/>
      <c r="C282" s="103"/>
      <c r="D282" s="107"/>
      <c r="E282" s="104"/>
      <c r="F282" s="104"/>
      <c r="G282" s="89"/>
      <c r="H282" s="11" t="s">
        <v>674</v>
      </c>
      <c r="I282" s="6">
        <v>27</v>
      </c>
      <c r="J282" s="19">
        <v>10</v>
      </c>
      <c r="K282" s="16">
        <v>6</v>
      </c>
      <c r="L282" s="95" t="s">
        <v>573</v>
      </c>
      <c r="M282" s="96" t="s">
        <v>556</v>
      </c>
      <c r="N282" s="96" t="s">
        <v>576</v>
      </c>
      <c r="O282" s="96" t="s">
        <v>673</v>
      </c>
      <c r="P282" s="6"/>
      <c r="Q282" s="216">
        <f>Q283</f>
        <v>0</v>
      </c>
      <c r="R282" s="216">
        <f>R283</f>
        <v>0</v>
      </c>
    </row>
    <row r="283" spans="1:18" ht="26.25" customHeight="1" hidden="1">
      <c r="A283" s="99"/>
      <c r="B283" s="98"/>
      <c r="C283" s="103"/>
      <c r="D283" s="107"/>
      <c r="E283" s="104"/>
      <c r="F283" s="104"/>
      <c r="G283" s="89"/>
      <c r="H283" s="200" t="s">
        <v>712</v>
      </c>
      <c r="I283" s="6">
        <v>27</v>
      </c>
      <c r="J283" s="19">
        <v>10</v>
      </c>
      <c r="K283" s="16">
        <v>6</v>
      </c>
      <c r="L283" s="95" t="s">
        <v>573</v>
      </c>
      <c r="M283" s="96" t="s">
        <v>556</v>
      </c>
      <c r="N283" s="96" t="s">
        <v>576</v>
      </c>
      <c r="O283" s="96" t="s">
        <v>673</v>
      </c>
      <c r="P283" s="6">
        <v>240</v>
      </c>
      <c r="Q283" s="239">
        <v>0</v>
      </c>
      <c r="R283" s="239">
        <v>0</v>
      </c>
    </row>
    <row r="284" spans="1:18" s="179" customFormat="1" ht="18.75" customHeight="1">
      <c r="A284" s="142"/>
      <c r="B284" s="143"/>
      <c r="C284" s="153"/>
      <c r="D284" s="144"/>
      <c r="E284" s="145"/>
      <c r="F284" s="145"/>
      <c r="G284" s="155">
        <v>612</v>
      </c>
      <c r="H284" s="149" t="s">
        <v>530</v>
      </c>
      <c r="I284" s="152">
        <v>27</v>
      </c>
      <c r="J284" s="156">
        <v>11</v>
      </c>
      <c r="K284" s="139"/>
      <c r="L284" s="140"/>
      <c r="M284" s="141"/>
      <c r="N284" s="141"/>
      <c r="O284" s="141"/>
      <c r="P284" s="146"/>
      <c r="Q284" s="217">
        <f>Q285</f>
        <v>10084.8</v>
      </c>
      <c r="R284" s="217">
        <f>R285</f>
        <v>7300</v>
      </c>
    </row>
    <row r="285" spans="1:18" s="179" customFormat="1" ht="19.5" customHeight="1">
      <c r="A285" s="142"/>
      <c r="B285" s="143"/>
      <c r="C285" s="142"/>
      <c r="D285" s="385">
        <v>5250000</v>
      </c>
      <c r="E285" s="386"/>
      <c r="F285" s="386"/>
      <c r="G285" s="136">
        <v>530</v>
      </c>
      <c r="H285" s="137" t="s">
        <v>371</v>
      </c>
      <c r="I285" s="138">
        <v>27</v>
      </c>
      <c r="J285" s="139">
        <v>11</v>
      </c>
      <c r="K285" s="139">
        <v>1</v>
      </c>
      <c r="L285" s="140"/>
      <c r="M285" s="141"/>
      <c r="N285" s="141"/>
      <c r="O285" s="141"/>
      <c r="P285" s="138"/>
      <c r="Q285" s="213">
        <f>Q286</f>
        <v>10084.8</v>
      </c>
      <c r="R285" s="213">
        <f>R286</f>
        <v>7300</v>
      </c>
    </row>
    <row r="286" spans="1:18" ht="34.5" customHeight="1">
      <c r="A286" s="99"/>
      <c r="B286" s="98"/>
      <c r="C286" s="103"/>
      <c r="D286" s="101"/>
      <c r="E286" s="113"/>
      <c r="F286" s="113"/>
      <c r="G286" s="105"/>
      <c r="H286" s="5" t="s">
        <v>675</v>
      </c>
      <c r="I286" s="6">
        <v>27</v>
      </c>
      <c r="J286" s="7">
        <v>11</v>
      </c>
      <c r="K286" s="16">
        <v>1</v>
      </c>
      <c r="L286" s="95" t="s">
        <v>676</v>
      </c>
      <c r="M286" s="96" t="s">
        <v>556</v>
      </c>
      <c r="N286" s="96" t="s">
        <v>576</v>
      </c>
      <c r="O286" s="96" t="s">
        <v>613</v>
      </c>
      <c r="P286" s="6"/>
      <c r="Q286" s="214">
        <f>Q287+Q292</f>
        <v>10084.8</v>
      </c>
      <c r="R286" s="214">
        <f>R287+R292</f>
        <v>7300</v>
      </c>
    </row>
    <row r="287" spans="1:18" ht="24.75" customHeight="1">
      <c r="A287" s="99"/>
      <c r="B287" s="98"/>
      <c r="C287" s="103"/>
      <c r="D287" s="101"/>
      <c r="E287" s="113"/>
      <c r="F287" s="113"/>
      <c r="G287" s="89"/>
      <c r="H287" s="11" t="s">
        <v>308</v>
      </c>
      <c r="I287" s="10">
        <v>27</v>
      </c>
      <c r="J287" s="16">
        <v>11</v>
      </c>
      <c r="K287" s="16">
        <v>1</v>
      </c>
      <c r="L287" s="122" t="s">
        <v>676</v>
      </c>
      <c r="M287" s="123" t="s">
        <v>556</v>
      </c>
      <c r="N287" s="123" t="s">
        <v>585</v>
      </c>
      <c r="O287" s="123" t="s">
        <v>613</v>
      </c>
      <c r="P287" s="10"/>
      <c r="Q287" s="214">
        <f>Q288+Q290</f>
        <v>7200</v>
      </c>
      <c r="R287" s="214">
        <f>R288+R290</f>
        <v>7300</v>
      </c>
    </row>
    <row r="288" spans="1:18" ht="22.5" customHeight="1">
      <c r="A288" s="99"/>
      <c r="B288" s="98"/>
      <c r="C288" s="103"/>
      <c r="D288" s="101"/>
      <c r="E288" s="113"/>
      <c r="F288" s="113"/>
      <c r="G288" s="89"/>
      <c r="H288" s="11" t="s">
        <v>307</v>
      </c>
      <c r="I288" s="10">
        <v>27</v>
      </c>
      <c r="J288" s="16">
        <v>11</v>
      </c>
      <c r="K288" s="16">
        <v>1</v>
      </c>
      <c r="L288" s="122" t="s">
        <v>676</v>
      </c>
      <c r="M288" s="123" t="s">
        <v>556</v>
      </c>
      <c r="N288" s="123" t="s">
        <v>585</v>
      </c>
      <c r="O288" s="123" t="s">
        <v>306</v>
      </c>
      <c r="P288" s="10"/>
      <c r="Q288" s="214">
        <f>Q289</f>
        <v>6267.3</v>
      </c>
      <c r="R288" s="214">
        <f>R289</f>
        <v>6367.3</v>
      </c>
    </row>
    <row r="289" spans="1:18" ht="22.5" customHeight="1">
      <c r="A289" s="99"/>
      <c r="B289" s="98"/>
      <c r="C289" s="103"/>
      <c r="D289" s="101"/>
      <c r="E289" s="113"/>
      <c r="F289" s="113"/>
      <c r="G289" s="89"/>
      <c r="H289" s="11" t="s">
        <v>714</v>
      </c>
      <c r="I289" s="10">
        <v>27</v>
      </c>
      <c r="J289" s="16">
        <v>11</v>
      </c>
      <c r="K289" s="16">
        <v>1</v>
      </c>
      <c r="L289" s="122" t="s">
        <v>676</v>
      </c>
      <c r="M289" s="123" t="s">
        <v>556</v>
      </c>
      <c r="N289" s="123" t="s">
        <v>585</v>
      </c>
      <c r="O289" s="123" t="s">
        <v>306</v>
      </c>
      <c r="P289" s="10">
        <v>610</v>
      </c>
      <c r="Q289" s="214">
        <v>6267.3</v>
      </c>
      <c r="R289" s="214">
        <v>6367.3</v>
      </c>
    </row>
    <row r="290" spans="1:18" ht="32.25" customHeight="1">
      <c r="A290" s="99"/>
      <c r="B290" s="98"/>
      <c r="C290" s="103"/>
      <c r="D290" s="101"/>
      <c r="E290" s="113"/>
      <c r="F290" s="113"/>
      <c r="G290" s="89"/>
      <c r="H290" s="11" t="s">
        <v>61</v>
      </c>
      <c r="I290" s="10">
        <v>27</v>
      </c>
      <c r="J290" s="16">
        <v>11</v>
      </c>
      <c r="K290" s="16">
        <v>1</v>
      </c>
      <c r="L290" s="122" t="s">
        <v>676</v>
      </c>
      <c r="M290" s="123" t="s">
        <v>556</v>
      </c>
      <c r="N290" s="123" t="s">
        <v>585</v>
      </c>
      <c r="O290" s="123" t="s">
        <v>60</v>
      </c>
      <c r="P290" s="10"/>
      <c r="Q290" s="214">
        <f>Q291</f>
        <v>932.7</v>
      </c>
      <c r="R290" s="214">
        <f>R291</f>
        <v>932.7</v>
      </c>
    </row>
    <row r="291" spans="1:18" ht="22.5" customHeight="1">
      <c r="A291" s="99"/>
      <c r="B291" s="98"/>
      <c r="C291" s="103"/>
      <c r="D291" s="101"/>
      <c r="E291" s="113"/>
      <c r="F291" s="113"/>
      <c r="G291" s="89"/>
      <c r="H291" s="11" t="s">
        <v>714</v>
      </c>
      <c r="I291" s="10">
        <v>27</v>
      </c>
      <c r="J291" s="16">
        <v>11</v>
      </c>
      <c r="K291" s="16">
        <v>1</v>
      </c>
      <c r="L291" s="122" t="s">
        <v>676</v>
      </c>
      <c r="M291" s="123" t="s">
        <v>556</v>
      </c>
      <c r="N291" s="123" t="s">
        <v>585</v>
      </c>
      <c r="O291" s="123" t="s">
        <v>60</v>
      </c>
      <c r="P291" s="10">
        <v>610</v>
      </c>
      <c r="Q291" s="214">
        <v>932.7</v>
      </c>
      <c r="R291" s="214">
        <v>932.7</v>
      </c>
    </row>
    <row r="292" spans="1:18" ht="37.5" customHeight="1">
      <c r="A292" s="99"/>
      <c r="B292" s="98"/>
      <c r="C292" s="103"/>
      <c r="D292" s="101"/>
      <c r="E292" s="113"/>
      <c r="F292" s="113"/>
      <c r="G292" s="89"/>
      <c r="H292" s="11" t="s">
        <v>678</v>
      </c>
      <c r="I292" s="10">
        <v>27</v>
      </c>
      <c r="J292" s="16">
        <v>11</v>
      </c>
      <c r="K292" s="16">
        <v>1</v>
      </c>
      <c r="L292" s="122" t="s">
        <v>676</v>
      </c>
      <c r="M292" s="123" t="s">
        <v>556</v>
      </c>
      <c r="N292" s="123" t="s">
        <v>677</v>
      </c>
      <c r="O292" s="123" t="s">
        <v>73</v>
      </c>
      <c r="P292" s="10"/>
      <c r="Q292" s="214">
        <f>Q293</f>
        <v>2884.8</v>
      </c>
      <c r="R292" s="214">
        <f>R293</f>
        <v>0</v>
      </c>
    </row>
    <row r="293" spans="1:18" ht="27" customHeight="1">
      <c r="A293" s="99"/>
      <c r="B293" s="98"/>
      <c r="C293" s="103"/>
      <c r="D293" s="101"/>
      <c r="E293" s="113"/>
      <c r="F293" s="113"/>
      <c r="G293" s="89"/>
      <c r="H293" s="11" t="s">
        <v>714</v>
      </c>
      <c r="I293" s="10">
        <v>27</v>
      </c>
      <c r="J293" s="16">
        <v>11</v>
      </c>
      <c r="K293" s="16">
        <v>1</v>
      </c>
      <c r="L293" s="122" t="s">
        <v>676</v>
      </c>
      <c r="M293" s="123" t="s">
        <v>556</v>
      </c>
      <c r="N293" s="123" t="s">
        <v>677</v>
      </c>
      <c r="O293" s="123" t="s">
        <v>73</v>
      </c>
      <c r="P293" s="10">
        <v>610</v>
      </c>
      <c r="Q293" s="214">
        <v>2884.8</v>
      </c>
      <c r="R293" s="214">
        <v>0</v>
      </c>
    </row>
    <row r="294" spans="1:18" s="177" customFormat="1" ht="24.75" customHeight="1">
      <c r="A294" s="158"/>
      <c r="B294" s="180"/>
      <c r="C294" s="181"/>
      <c r="D294" s="182"/>
      <c r="E294" s="183"/>
      <c r="F294" s="183"/>
      <c r="G294" s="184"/>
      <c r="H294" s="33" t="s">
        <v>757</v>
      </c>
      <c r="I294" s="14">
        <v>28</v>
      </c>
      <c r="J294" s="15"/>
      <c r="K294" s="15"/>
      <c r="L294" s="164"/>
      <c r="M294" s="165"/>
      <c r="N294" s="165"/>
      <c r="O294" s="165"/>
      <c r="P294" s="14"/>
      <c r="Q294" s="212">
        <f>Q295+Q317</f>
        <v>4346.3</v>
      </c>
      <c r="R294" s="212">
        <f>R295+R317</f>
        <v>4346.3</v>
      </c>
    </row>
    <row r="295" spans="1:18" s="179" customFormat="1" ht="23.25" customHeight="1">
      <c r="A295" s="142"/>
      <c r="B295" s="143"/>
      <c r="C295" s="153"/>
      <c r="D295" s="150"/>
      <c r="E295" s="154"/>
      <c r="F295" s="154"/>
      <c r="G295" s="136"/>
      <c r="H295" s="137" t="s">
        <v>529</v>
      </c>
      <c r="I295" s="138">
        <v>28</v>
      </c>
      <c r="J295" s="139">
        <v>1</v>
      </c>
      <c r="K295" s="139" t="s">
        <v>614</v>
      </c>
      <c r="L295" s="185"/>
      <c r="M295" s="186"/>
      <c r="N295" s="186"/>
      <c r="O295" s="186"/>
      <c r="P295" s="138"/>
      <c r="Q295" s="213">
        <f>Q296+Q301+Q306</f>
        <v>4274.3</v>
      </c>
      <c r="R295" s="213">
        <f>R296+R301+R306</f>
        <v>4274.3</v>
      </c>
    </row>
    <row r="296" spans="1:18" s="179" customFormat="1" ht="36" customHeight="1">
      <c r="A296" s="142"/>
      <c r="B296" s="143"/>
      <c r="C296" s="153"/>
      <c r="D296" s="150"/>
      <c r="E296" s="154"/>
      <c r="F296" s="154"/>
      <c r="G296" s="136"/>
      <c r="H296" s="137" t="s">
        <v>562</v>
      </c>
      <c r="I296" s="138">
        <v>28</v>
      </c>
      <c r="J296" s="139">
        <v>1</v>
      </c>
      <c r="K296" s="139">
        <v>2</v>
      </c>
      <c r="L296" s="185"/>
      <c r="M296" s="186"/>
      <c r="N296" s="186"/>
      <c r="O296" s="186"/>
      <c r="P296" s="138"/>
      <c r="Q296" s="213">
        <f>Q297</f>
        <v>1946.9</v>
      </c>
      <c r="R296" s="213">
        <f>R297</f>
        <v>1946.9</v>
      </c>
    </row>
    <row r="297" spans="1:18" s="179" customFormat="1" ht="21.75" customHeight="1">
      <c r="A297" s="142"/>
      <c r="B297" s="143"/>
      <c r="C297" s="153"/>
      <c r="D297" s="150"/>
      <c r="E297" s="154"/>
      <c r="F297" s="154"/>
      <c r="G297" s="136"/>
      <c r="H297" s="11" t="s">
        <v>574</v>
      </c>
      <c r="I297" s="10">
        <v>28</v>
      </c>
      <c r="J297" s="16">
        <v>1</v>
      </c>
      <c r="K297" s="16">
        <v>2</v>
      </c>
      <c r="L297" s="16" t="s">
        <v>575</v>
      </c>
      <c r="M297" s="96" t="s">
        <v>556</v>
      </c>
      <c r="N297" s="96" t="s">
        <v>576</v>
      </c>
      <c r="O297" s="96" t="s">
        <v>613</v>
      </c>
      <c r="P297" s="10" t="s">
        <v>527</v>
      </c>
      <c r="Q297" s="214">
        <f>Q298</f>
        <v>1946.9</v>
      </c>
      <c r="R297" s="214">
        <f>R298</f>
        <v>1946.9</v>
      </c>
    </row>
    <row r="298" spans="1:18" ht="23.25" customHeight="1">
      <c r="A298" s="97"/>
      <c r="B298" s="98"/>
      <c r="C298" s="103"/>
      <c r="D298" s="101"/>
      <c r="E298" s="113"/>
      <c r="F298" s="113"/>
      <c r="G298" s="89"/>
      <c r="H298" s="11" t="s">
        <v>758</v>
      </c>
      <c r="I298" s="10">
        <v>28</v>
      </c>
      <c r="J298" s="16">
        <v>1</v>
      </c>
      <c r="K298" s="16">
        <v>2</v>
      </c>
      <c r="L298" s="122" t="s">
        <v>575</v>
      </c>
      <c r="M298" s="123" t="s">
        <v>556</v>
      </c>
      <c r="N298" s="123" t="s">
        <v>576</v>
      </c>
      <c r="O298" s="123" t="s">
        <v>641</v>
      </c>
      <c r="P298" s="10"/>
      <c r="Q298" s="214">
        <f>SUM(Q299:Q300)</f>
        <v>1946.9</v>
      </c>
      <c r="R298" s="214">
        <f>SUM(R299:R300)</f>
        <v>1946.9</v>
      </c>
    </row>
    <row r="299" spans="1:18" ht="24.75" customHeight="1">
      <c r="A299" s="97"/>
      <c r="B299" s="98"/>
      <c r="C299" s="103"/>
      <c r="D299" s="101"/>
      <c r="E299" s="113"/>
      <c r="F299" s="113"/>
      <c r="G299" s="89"/>
      <c r="H299" s="11" t="s">
        <v>526</v>
      </c>
      <c r="I299" s="10">
        <v>28</v>
      </c>
      <c r="J299" s="16">
        <v>1</v>
      </c>
      <c r="K299" s="16">
        <v>2</v>
      </c>
      <c r="L299" s="122" t="s">
        <v>575</v>
      </c>
      <c r="M299" s="123" t="s">
        <v>556</v>
      </c>
      <c r="N299" s="123" t="s">
        <v>576</v>
      </c>
      <c r="O299" s="123" t="s">
        <v>641</v>
      </c>
      <c r="P299" s="10">
        <v>120</v>
      </c>
      <c r="Q299" s="214">
        <f>1633.8+313.1</f>
        <v>1946.9</v>
      </c>
      <c r="R299" s="214">
        <f>1633.8+313.1</f>
        <v>1946.9</v>
      </c>
    </row>
    <row r="300" spans="1:18" ht="29.25" customHeight="1">
      <c r="A300" s="97"/>
      <c r="B300" s="98"/>
      <c r="C300" s="103"/>
      <c r="D300" s="101"/>
      <c r="E300" s="113"/>
      <c r="F300" s="113"/>
      <c r="G300" s="89"/>
      <c r="H300" s="11" t="s">
        <v>712</v>
      </c>
      <c r="I300" s="10">
        <v>28</v>
      </c>
      <c r="J300" s="16">
        <v>1</v>
      </c>
      <c r="K300" s="16">
        <v>2</v>
      </c>
      <c r="L300" s="122" t="s">
        <v>575</v>
      </c>
      <c r="M300" s="123" t="s">
        <v>556</v>
      </c>
      <c r="N300" s="123" t="s">
        <v>576</v>
      </c>
      <c r="O300" s="123" t="s">
        <v>641</v>
      </c>
      <c r="P300" s="10">
        <v>240</v>
      </c>
      <c r="Q300" s="214">
        <v>0</v>
      </c>
      <c r="R300" s="214">
        <v>0</v>
      </c>
    </row>
    <row r="301" spans="1:18" s="179" customFormat="1" ht="36" customHeight="1">
      <c r="A301" s="142"/>
      <c r="B301" s="143"/>
      <c r="C301" s="153"/>
      <c r="D301" s="150"/>
      <c r="E301" s="154"/>
      <c r="F301" s="154"/>
      <c r="G301" s="136"/>
      <c r="H301" s="137" t="s">
        <v>496</v>
      </c>
      <c r="I301" s="138">
        <v>28</v>
      </c>
      <c r="J301" s="139">
        <v>1</v>
      </c>
      <c r="K301" s="139">
        <v>3</v>
      </c>
      <c r="L301" s="185"/>
      <c r="M301" s="186"/>
      <c r="N301" s="186"/>
      <c r="O301" s="186"/>
      <c r="P301" s="138"/>
      <c r="Q301" s="213">
        <f>Q302</f>
        <v>2007.4</v>
      </c>
      <c r="R301" s="213">
        <f>R302</f>
        <v>2007.4</v>
      </c>
    </row>
    <row r="302" spans="1:18" s="179" customFormat="1" ht="21.75" customHeight="1">
      <c r="A302" s="142"/>
      <c r="B302" s="143"/>
      <c r="C302" s="153"/>
      <c r="D302" s="150"/>
      <c r="E302" s="154"/>
      <c r="F302" s="154"/>
      <c r="G302" s="136"/>
      <c r="H302" s="11" t="s">
        <v>574</v>
      </c>
      <c r="I302" s="10">
        <v>28</v>
      </c>
      <c r="J302" s="16">
        <v>1</v>
      </c>
      <c r="K302" s="16">
        <v>3</v>
      </c>
      <c r="L302" s="16" t="s">
        <v>575</v>
      </c>
      <c r="M302" s="96" t="s">
        <v>556</v>
      </c>
      <c r="N302" s="96" t="s">
        <v>576</v>
      </c>
      <c r="O302" s="96" t="s">
        <v>613</v>
      </c>
      <c r="P302" s="138"/>
      <c r="Q302" s="213">
        <f>Q303</f>
        <v>2007.4</v>
      </c>
      <c r="R302" s="213">
        <f>R303</f>
        <v>2007.4</v>
      </c>
    </row>
    <row r="303" spans="1:18" ht="20.25" customHeight="1">
      <c r="A303" s="97"/>
      <c r="B303" s="98"/>
      <c r="C303" s="103"/>
      <c r="D303" s="101"/>
      <c r="E303" s="113"/>
      <c r="F303" s="113"/>
      <c r="G303" s="89"/>
      <c r="H303" s="11" t="s">
        <v>758</v>
      </c>
      <c r="I303" s="10">
        <v>28</v>
      </c>
      <c r="J303" s="16">
        <v>1</v>
      </c>
      <c r="K303" s="16">
        <v>3</v>
      </c>
      <c r="L303" s="122" t="s">
        <v>575</v>
      </c>
      <c r="M303" s="123" t="s">
        <v>556</v>
      </c>
      <c r="N303" s="123" t="s">
        <v>576</v>
      </c>
      <c r="O303" s="123" t="s">
        <v>641</v>
      </c>
      <c r="P303" s="10"/>
      <c r="Q303" s="214">
        <f>SUM(Q304:Q305)</f>
        <v>2007.4</v>
      </c>
      <c r="R303" s="214">
        <f>SUM(R304:R305)</f>
        <v>2007.4</v>
      </c>
    </row>
    <row r="304" spans="1:18" ht="24.75" customHeight="1">
      <c r="A304" s="97"/>
      <c r="B304" s="98"/>
      <c r="C304" s="103"/>
      <c r="D304" s="101"/>
      <c r="E304" s="113"/>
      <c r="F304" s="113"/>
      <c r="G304" s="89"/>
      <c r="H304" s="11" t="s">
        <v>526</v>
      </c>
      <c r="I304" s="10">
        <v>28</v>
      </c>
      <c r="J304" s="16">
        <v>1</v>
      </c>
      <c r="K304" s="16">
        <v>3</v>
      </c>
      <c r="L304" s="122" t="s">
        <v>575</v>
      </c>
      <c r="M304" s="123" t="s">
        <v>556</v>
      </c>
      <c r="N304" s="123" t="s">
        <v>576</v>
      </c>
      <c r="O304" s="123" t="s">
        <v>641</v>
      </c>
      <c r="P304" s="10">
        <v>120</v>
      </c>
      <c r="Q304" s="214">
        <f>1125.7+78.7</f>
        <v>1204.4</v>
      </c>
      <c r="R304" s="214">
        <f>1125.7+78.7</f>
        <v>1204.4</v>
      </c>
    </row>
    <row r="305" spans="1:18" ht="23.25" customHeight="1">
      <c r="A305" s="97"/>
      <c r="B305" s="98"/>
      <c r="C305" s="103"/>
      <c r="D305" s="101"/>
      <c r="E305" s="113"/>
      <c r="F305" s="113"/>
      <c r="G305" s="89"/>
      <c r="H305" s="11" t="s">
        <v>712</v>
      </c>
      <c r="I305" s="10">
        <v>28</v>
      </c>
      <c r="J305" s="16">
        <v>1</v>
      </c>
      <c r="K305" s="16">
        <v>3</v>
      </c>
      <c r="L305" s="122" t="s">
        <v>575</v>
      </c>
      <c r="M305" s="123" t="s">
        <v>556</v>
      </c>
      <c r="N305" s="123" t="s">
        <v>576</v>
      </c>
      <c r="O305" s="123" t="s">
        <v>641</v>
      </c>
      <c r="P305" s="10">
        <v>240</v>
      </c>
      <c r="Q305" s="214">
        <f>881.7-78.7</f>
        <v>803</v>
      </c>
      <c r="R305" s="214">
        <f>881.7-78.7</f>
        <v>803</v>
      </c>
    </row>
    <row r="306" spans="1:18" ht="23.25" customHeight="1">
      <c r="A306" s="97"/>
      <c r="B306" s="98"/>
      <c r="C306" s="103"/>
      <c r="D306" s="101"/>
      <c r="E306" s="113"/>
      <c r="F306" s="113"/>
      <c r="G306" s="89"/>
      <c r="H306" s="252" t="s">
        <v>528</v>
      </c>
      <c r="I306" s="138">
        <v>28</v>
      </c>
      <c r="J306" s="139">
        <v>1</v>
      </c>
      <c r="K306" s="139">
        <v>13</v>
      </c>
      <c r="L306" s="122"/>
      <c r="M306" s="123"/>
      <c r="N306" s="123"/>
      <c r="O306" s="123"/>
      <c r="P306" s="6"/>
      <c r="Q306" s="217">
        <f>Q307+Q314</f>
        <v>320</v>
      </c>
      <c r="R306" s="217">
        <f>R307+R314</f>
        <v>320</v>
      </c>
    </row>
    <row r="307" spans="1:18" ht="33.75" customHeight="1" hidden="1">
      <c r="A307" s="99"/>
      <c r="B307" s="98"/>
      <c r="C307" s="103"/>
      <c r="D307" s="101"/>
      <c r="E307" s="113"/>
      <c r="F307" s="113"/>
      <c r="G307" s="105"/>
      <c r="H307" s="3" t="s">
        <v>29</v>
      </c>
      <c r="I307" s="6">
        <v>28</v>
      </c>
      <c r="J307" s="7">
        <v>1</v>
      </c>
      <c r="K307" s="16">
        <v>13</v>
      </c>
      <c r="L307" s="95" t="s">
        <v>586</v>
      </c>
      <c r="M307" s="96" t="s">
        <v>556</v>
      </c>
      <c r="N307" s="96" t="s">
        <v>576</v>
      </c>
      <c r="O307" s="96" t="s">
        <v>613</v>
      </c>
      <c r="P307" s="6"/>
      <c r="Q307" s="216">
        <f>Q308+Q311</f>
        <v>0</v>
      </c>
      <c r="R307" s="216">
        <f>R308+R311</f>
        <v>0</v>
      </c>
    </row>
    <row r="308" spans="1:18" ht="19.5" customHeight="1" hidden="1">
      <c r="A308" s="99"/>
      <c r="B308" s="98"/>
      <c r="C308" s="103"/>
      <c r="D308" s="101"/>
      <c r="E308" s="113"/>
      <c r="F308" s="113"/>
      <c r="G308" s="105"/>
      <c r="H308" s="3" t="s">
        <v>27</v>
      </c>
      <c r="I308" s="8">
        <v>28</v>
      </c>
      <c r="J308" s="7">
        <v>1</v>
      </c>
      <c r="K308" s="16">
        <v>13</v>
      </c>
      <c r="L308" s="95" t="s">
        <v>586</v>
      </c>
      <c r="M308" s="96" t="s">
        <v>556</v>
      </c>
      <c r="N308" s="96" t="s">
        <v>557</v>
      </c>
      <c r="O308" s="96" t="s">
        <v>613</v>
      </c>
      <c r="P308" s="6"/>
      <c r="Q308" s="216">
        <f>Q309</f>
        <v>0</v>
      </c>
      <c r="R308" s="216">
        <f>R309</f>
        <v>0</v>
      </c>
    </row>
    <row r="309" spans="1:18" ht="36.75" customHeight="1" hidden="1">
      <c r="A309" s="99"/>
      <c r="B309" s="98"/>
      <c r="C309" s="103"/>
      <c r="D309" s="101"/>
      <c r="E309" s="113"/>
      <c r="F309" s="113"/>
      <c r="G309" s="105">
        <v>240</v>
      </c>
      <c r="H309" s="18" t="s">
        <v>243</v>
      </c>
      <c r="I309" s="8">
        <v>28</v>
      </c>
      <c r="J309" s="7">
        <v>1</v>
      </c>
      <c r="K309" s="16">
        <v>13</v>
      </c>
      <c r="L309" s="95" t="s">
        <v>586</v>
      </c>
      <c r="M309" s="96" t="s">
        <v>556</v>
      </c>
      <c r="N309" s="96" t="s">
        <v>557</v>
      </c>
      <c r="O309" s="96" t="s">
        <v>244</v>
      </c>
      <c r="P309" s="6"/>
      <c r="Q309" s="216">
        <f>Q310</f>
        <v>0</v>
      </c>
      <c r="R309" s="216">
        <f>R310</f>
        <v>0</v>
      </c>
    </row>
    <row r="310" spans="1:18" ht="24.75" customHeight="1" hidden="1">
      <c r="A310" s="110"/>
      <c r="B310" s="111"/>
      <c r="C310" s="106"/>
      <c r="D310" s="107"/>
      <c r="E310" s="104"/>
      <c r="F310" s="104"/>
      <c r="G310" s="105"/>
      <c r="H310" s="5" t="s">
        <v>606</v>
      </c>
      <c r="I310" s="6">
        <v>28</v>
      </c>
      <c r="J310" s="7">
        <v>1</v>
      </c>
      <c r="K310" s="16">
        <v>13</v>
      </c>
      <c r="L310" s="95" t="s">
        <v>586</v>
      </c>
      <c r="M310" s="96" t="s">
        <v>556</v>
      </c>
      <c r="N310" s="96" t="s">
        <v>557</v>
      </c>
      <c r="O310" s="96" t="s">
        <v>244</v>
      </c>
      <c r="P310" s="6">
        <v>340</v>
      </c>
      <c r="Q310" s="216"/>
      <c r="R310" s="216"/>
    </row>
    <row r="311" spans="1:18" ht="24.75" customHeight="1" hidden="1">
      <c r="A311" s="110"/>
      <c r="B311" s="111"/>
      <c r="C311" s="106"/>
      <c r="D311" s="107"/>
      <c r="E311" s="104"/>
      <c r="F311" s="104"/>
      <c r="G311" s="105"/>
      <c r="H311" s="5" t="s">
        <v>28</v>
      </c>
      <c r="I311" s="6">
        <v>28</v>
      </c>
      <c r="J311" s="7">
        <v>1</v>
      </c>
      <c r="K311" s="16">
        <v>13</v>
      </c>
      <c r="L311" s="95" t="s">
        <v>586</v>
      </c>
      <c r="M311" s="96" t="s">
        <v>556</v>
      </c>
      <c r="N311" s="96" t="s">
        <v>585</v>
      </c>
      <c r="O311" s="96" t="s">
        <v>613</v>
      </c>
      <c r="P311" s="6"/>
      <c r="Q311" s="214">
        <f>Q312</f>
        <v>0</v>
      </c>
      <c r="R311" s="214">
        <f>R312</f>
        <v>0</v>
      </c>
    </row>
    <row r="312" spans="1:18" ht="36.75" customHeight="1" hidden="1">
      <c r="A312" s="110"/>
      <c r="B312" s="111"/>
      <c r="C312" s="106"/>
      <c r="D312" s="107"/>
      <c r="E312" s="104"/>
      <c r="F312" s="104"/>
      <c r="G312" s="105"/>
      <c r="H312" s="5" t="s">
        <v>243</v>
      </c>
      <c r="I312" s="6">
        <v>28</v>
      </c>
      <c r="J312" s="7">
        <v>1</v>
      </c>
      <c r="K312" s="16">
        <v>13</v>
      </c>
      <c r="L312" s="95" t="s">
        <v>586</v>
      </c>
      <c r="M312" s="96" t="s">
        <v>556</v>
      </c>
      <c r="N312" s="96" t="s">
        <v>585</v>
      </c>
      <c r="O312" s="96" t="s">
        <v>244</v>
      </c>
      <c r="P312" s="6"/>
      <c r="Q312" s="214">
        <f>Q313</f>
        <v>0</v>
      </c>
      <c r="R312" s="214">
        <f>R313</f>
        <v>0</v>
      </c>
    </row>
    <row r="313" spans="1:18" ht="24.75" customHeight="1" hidden="1">
      <c r="A313" s="110"/>
      <c r="B313" s="111"/>
      <c r="C313" s="106"/>
      <c r="D313" s="107"/>
      <c r="E313" s="104"/>
      <c r="F313" s="104"/>
      <c r="G313" s="105"/>
      <c r="H313" s="5" t="s">
        <v>712</v>
      </c>
      <c r="I313" s="6">
        <v>28</v>
      </c>
      <c r="J313" s="7">
        <v>1</v>
      </c>
      <c r="K313" s="16">
        <v>13</v>
      </c>
      <c r="L313" s="95" t="s">
        <v>586</v>
      </c>
      <c r="M313" s="96" t="s">
        <v>556</v>
      </c>
      <c r="N313" s="96" t="s">
        <v>585</v>
      </c>
      <c r="O313" s="96" t="s">
        <v>244</v>
      </c>
      <c r="P313" s="6">
        <v>240</v>
      </c>
      <c r="Q313" s="214"/>
      <c r="R313" s="214"/>
    </row>
    <row r="314" spans="1:18" ht="36" customHeight="1">
      <c r="A314" s="110"/>
      <c r="B314" s="111"/>
      <c r="C314" s="106"/>
      <c r="D314" s="107"/>
      <c r="E314" s="104"/>
      <c r="F314" s="104"/>
      <c r="G314" s="105"/>
      <c r="H314" s="5" t="s">
        <v>243</v>
      </c>
      <c r="I314" s="8">
        <v>28</v>
      </c>
      <c r="J314" s="21">
        <v>1</v>
      </c>
      <c r="K314" s="16">
        <v>13</v>
      </c>
      <c r="L314" s="95" t="s">
        <v>573</v>
      </c>
      <c r="M314" s="96" t="s">
        <v>556</v>
      </c>
      <c r="N314" s="96" t="s">
        <v>576</v>
      </c>
      <c r="O314" s="96" t="s">
        <v>244</v>
      </c>
      <c r="P314" s="6"/>
      <c r="Q314" s="214">
        <f>SUM(Q315:Q316)</f>
        <v>320</v>
      </c>
      <c r="R314" s="214">
        <f>SUM(R315:R316)</f>
        <v>320</v>
      </c>
    </row>
    <row r="315" spans="1:18" ht="24.75" customHeight="1">
      <c r="A315" s="110"/>
      <c r="B315" s="111"/>
      <c r="C315" s="106"/>
      <c r="D315" s="107"/>
      <c r="E315" s="104"/>
      <c r="F315" s="104"/>
      <c r="G315" s="105"/>
      <c r="H315" s="5" t="s">
        <v>712</v>
      </c>
      <c r="I315" s="8">
        <v>28</v>
      </c>
      <c r="J315" s="21">
        <v>1</v>
      </c>
      <c r="K315" s="16">
        <v>13</v>
      </c>
      <c r="L315" s="95" t="s">
        <v>573</v>
      </c>
      <c r="M315" s="96" t="s">
        <v>556</v>
      </c>
      <c r="N315" s="96" t="s">
        <v>576</v>
      </c>
      <c r="O315" s="96" t="s">
        <v>244</v>
      </c>
      <c r="P315" s="6">
        <v>240</v>
      </c>
      <c r="Q315" s="216">
        <v>60</v>
      </c>
      <c r="R315" s="216">
        <v>60</v>
      </c>
    </row>
    <row r="316" spans="1:18" ht="24.75" customHeight="1">
      <c r="A316" s="110"/>
      <c r="B316" s="111"/>
      <c r="C316" s="106"/>
      <c r="D316" s="107"/>
      <c r="E316" s="104"/>
      <c r="F316" s="104"/>
      <c r="G316" s="105"/>
      <c r="H316" s="5" t="s">
        <v>606</v>
      </c>
      <c r="I316" s="8">
        <v>28</v>
      </c>
      <c r="J316" s="21">
        <v>1</v>
      </c>
      <c r="K316" s="16">
        <v>13</v>
      </c>
      <c r="L316" s="95" t="s">
        <v>573</v>
      </c>
      <c r="M316" s="96" t="s">
        <v>556</v>
      </c>
      <c r="N316" s="96" t="s">
        <v>576</v>
      </c>
      <c r="O316" s="96" t="s">
        <v>244</v>
      </c>
      <c r="P316" s="6">
        <v>340</v>
      </c>
      <c r="Q316" s="216">
        <v>260</v>
      </c>
      <c r="R316" s="216">
        <v>260</v>
      </c>
    </row>
    <row r="317" spans="1:18" s="179" customFormat="1" ht="24.75" customHeight="1">
      <c r="A317" s="166"/>
      <c r="B317" s="235"/>
      <c r="C317" s="157"/>
      <c r="D317" s="170"/>
      <c r="E317" s="145"/>
      <c r="F317" s="145"/>
      <c r="G317" s="155"/>
      <c r="H317" s="226" t="s">
        <v>534</v>
      </c>
      <c r="I317" s="233">
        <v>28</v>
      </c>
      <c r="J317" s="234">
        <v>10</v>
      </c>
      <c r="K317" s="139"/>
      <c r="L317" s="140"/>
      <c r="M317" s="141"/>
      <c r="N317" s="141"/>
      <c r="O317" s="141"/>
      <c r="P317" s="146"/>
      <c r="Q317" s="213">
        <f>Q318</f>
        <v>72</v>
      </c>
      <c r="R317" s="213">
        <f>R318</f>
        <v>72</v>
      </c>
    </row>
    <row r="318" spans="1:18" s="130" customFormat="1" ht="24.75" customHeight="1">
      <c r="A318" s="110"/>
      <c r="B318" s="201"/>
      <c r="C318" s="222"/>
      <c r="D318" s="223"/>
      <c r="E318" s="224"/>
      <c r="F318" s="224"/>
      <c r="G318" s="225"/>
      <c r="H318" s="226" t="s">
        <v>533</v>
      </c>
      <c r="I318" s="227">
        <v>28</v>
      </c>
      <c r="J318" s="228">
        <v>10</v>
      </c>
      <c r="K318" s="229">
        <v>3</v>
      </c>
      <c r="L318" s="230"/>
      <c r="M318" s="231"/>
      <c r="N318" s="231"/>
      <c r="O318" s="231"/>
      <c r="P318" s="227"/>
      <c r="Q318" s="232">
        <f>Q322</f>
        <v>72</v>
      </c>
      <c r="R318" s="232">
        <f>R322</f>
        <v>72</v>
      </c>
    </row>
    <row r="319" spans="1:18" ht="54.75" customHeight="1" hidden="1">
      <c r="A319" s="110"/>
      <c r="B319" s="111"/>
      <c r="C319" s="106"/>
      <c r="D319" s="107"/>
      <c r="E319" s="104"/>
      <c r="F319" s="104"/>
      <c r="G319" s="105"/>
      <c r="H319" s="5" t="s">
        <v>697</v>
      </c>
      <c r="I319" s="6">
        <v>28</v>
      </c>
      <c r="J319" s="7">
        <v>10</v>
      </c>
      <c r="K319" s="16">
        <v>3</v>
      </c>
      <c r="L319" s="95" t="s">
        <v>586</v>
      </c>
      <c r="M319" s="96" t="s">
        <v>556</v>
      </c>
      <c r="N319" s="96" t="s">
        <v>586</v>
      </c>
      <c r="O319" s="96" t="s">
        <v>613</v>
      </c>
      <c r="P319" s="6"/>
      <c r="Q319" s="214"/>
      <c r="R319" s="214"/>
    </row>
    <row r="320" spans="1:18" ht="34.5" customHeight="1" hidden="1">
      <c r="A320" s="110"/>
      <c r="B320" s="111"/>
      <c r="C320" s="106"/>
      <c r="D320" s="107"/>
      <c r="E320" s="104"/>
      <c r="F320" s="104"/>
      <c r="G320" s="105"/>
      <c r="H320" s="5" t="s">
        <v>243</v>
      </c>
      <c r="I320" s="6">
        <v>28</v>
      </c>
      <c r="J320" s="7">
        <v>10</v>
      </c>
      <c r="K320" s="16">
        <v>3</v>
      </c>
      <c r="L320" s="95" t="s">
        <v>586</v>
      </c>
      <c r="M320" s="96" t="s">
        <v>556</v>
      </c>
      <c r="N320" s="96" t="s">
        <v>586</v>
      </c>
      <c r="O320" s="96" t="s">
        <v>244</v>
      </c>
      <c r="P320" s="6"/>
      <c r="Q320" s="214"/>
      <c r="R320" s="214"/>
    </row>
    <row r="321" spans="1:18" ht="24.75" customHeight="1" hidden="1">
      <c r="A321" s="110"/>
      <c r="B321" s="111"/>
      <c r="C321" s="106"/>
      <c r="D321" s="107"/>
      <c r="E321" s="104"/>
      <c r="F321" s="104"/>
      <c r="G321" s="105"/>
      <c r="H321" s="5" t="s">
        <v>716</v>
      </c>
      <c r="I321" s="6">
        <v>28</v>
      </c>
      <c r="J321" s="7">
        <v>10</v>
      </c>
      <c r="K321" s="16">
        <v>3</v>
      </c>
      <c r="L321" s="95" t="s">
        <v>586</v>
      </c>
      <c r="M321" s="96" t="s">
        <v>556</v>
      </c>
      <c r="N321" s="96" t="s">
        <v>586</v>
      </c>
      <c r="O321" s="96" t="s">
        <v>244</v>
      </c>
      <c r="P321" s="6">
        <v>310</v>
      </c>
      <c r="Q321" s="214"/>
      <c r="R321" s="214"/>
    </row>
    <row r="322" spans="1:18" ht="33.75" customHeight="1">
      <c r="A322" s="110"/>
      <c r="B322" s="111"/>
      <c r="C322" s="106"/>
      <c r="D322" s="107"/>
      <c r="E322" s="104"/>
      <c r="F322" s="104"/>
      <c r="G322" s="105"/>
      <c r="H322" s="11" t="s">
        <v>243</v>
      </c>
      <c r="I322" s="10">
        <v>28</v>
      </c>
      <c r="J322" s="16">
        <v>10</v>
      </c>
      <c r="K322" s="16">
        <v>3</v>
      </c>
      <c r="L322" s="122" t="s">
        <v>573</v>
      </c>
      <c r="M322" s="123" t="s">
        <v>556</v>
      </c>
      <c r="N322" s="123" t="s">
        <v>576</v>
      </c>
      <c r="O322" s="123" t="s">
        <v>244</v>
      </c>
      <c r="P322" s="10"/>
      <c r="Q322" s="214">
        <f>Q323</f>
        <v>72</v>
      </c>
      <c r="R322" s="216">
        <f>R323</f>
        <v>72</v>
      </c>
    </row>
    <row r="323" spans="1:18" ht="24" customHeight="1">
      <c r="A323" s="110"/>
      <c r="B323" s="111"/>
      <c r="C323" s="106"/>
      <c r="D323" s="107"/>
      <c r="E323" s="104"/>
      <c r="F323" s="104"/>
      <c r="G323" s="105"/>
      <c r="H323" s="11" t="s">
        <v>716</v>
      </c>
      <c r="I323" s="10">
        <v>28</v>
      </c>
      <c r="J323" s="16">
        <v>10</v>
      </c>
      <c r="K323" s="16">
        <v>3</v>
      </c>
      <c r="L323" s="122" t="s">
        <v>573</v>
      </c>
      <c r="M323" s="123" t="s">
        <v>556</v>
      </c>
      <c r="N323" s="123" t="s">
        <v>576</v>
      </c>
      <c r="O323" s="123" t="s">
        <v>244</v>
      </c>
      <c r="P323" s="10">
        <v>310</v>
      </c>
      <c r="Q323" s="214">
        <v>72</v>
      </c>
      <c r="R323" s="216">
        <v>72</v>
      </c>
    </row>
    <row r="324" spans="1:18" s="319" customFormat="1" ht="26.25" customHeight="1">
      <c r="A324" s="158"/>
      <c r="B324" s="159"/>
      <c r="C324" s="160"/>
      <c r="D324" s="161"/>
      <c r="E324" s="162"/>
      <c r="F324" s="162">
        <v>5250102</v>
      </c>
      <c r="G324" s="163">
        <v>530</v>
      </c>
      <c r="H324" s="33" t="s">
        <v>366</v>
      </c>
      <c r="I324" s="14">
        <v>658</v>
      </c>
      <c r="J324" s="15" t="s">
        <v>527</v>
      </c>
      <c r="K324" s="15" t="s">
        <v>527</v>
      </c>
      <c r="L324" s="164" t="s">
        <v>527</v>
      </c>
      <c r="M324" s="165" t="s">
        <v>527</v>
      </c>
      <c r="N324" s="165"/>
      <c r="O324" s="165" t="s">
        <v>527</v>
      </c>
      <c r="P324" s="14" t="s">
        <v>527</v>
      </c>
      <c r="Q324" s="212">
        <f>Q325</f>
        <v>1542.6999999999998</v>
      </c>
      <c r="R324" s="212">
        <f>R325</f>
        <v>1542.6999999999998</v>
      </c>
    </row>
    <row r="325" spans="1:18" s="179" customFormat="1" ht="25.5" customHeight="1">
      <c r="A325" s="142"/>
      <c r="B325" s="143"/>
      <c r="C325" s="153"/>
      <c r="D325" s="150"/>
      <c r="E325" s="154"/>
      <c r="F325" s="154"/>
      <c r="G325" s="155">
        <v>530</v>
      </c>
      <c r="H325" s="137" t="s">
        <v>529</v>
      </c>
      <c r="I325" s="138">
        <v>658</v>
      </c>
      <c r="J325" s="139">
        <v>1</v>
      </c>
      <c r="K325" s="139">
        <v>0</v>
      </c>
      <c r="L325" s="140" t="s">
        <v>527</v>
      </c>
      <c r="M325" s="141" t="s">
        <v>527</v>
      </c>
      <c r="N325" s="141"/>
      <c r="O325" s="141" t="s">
        <v>527</v>
      </c>
      <c r="P325" s="138" t="s">
        <v>527</v>
      </c>
      <c r="Q325" s="213">
        <f>Q326</f>
        <v>1542.6999999999998</v>
      </c>
      <c r="R325" s="213">
        <f>R326</f>
        <v>1542.6999999999998</v>
      </c>
    </row>
    <row r="326" spans="1:18" s="179" customFormat="1" ht="33.75" customHeight="1">
      <c r="A326" s="142"/>
      <c r="B326" s="143"/>
      <c r="C326" s="153"/>
      <c r="D326" s="150"/>
      <c r="E326" s="154"/>
      <c r="F326" s="154">
        <v>5250103</v>
      </c>
      <c r="G326" s="155">
        <v>530</v>
      </c>
      <c r="H326" s="137" t="s">
        <v>364</v>
      </c>
      <c r="I326" s="138">
        <v>658</v>
      </c>
      <c r="J326" s="139">
        <v>1</v>
      </c>
      <c r="K326" s="139">
        <v>6</v>
      </c>
      <c r="L326" s="140" t="s">
        <v>527</v>
      </c>
      <c r="M326" s="141" t="s">
        <v>527</v>
      </c>
      <c r="N326" s="141"/>
      <c r="O326" s="141" t="s">
        <v>527</v>
      </c>
      <c r="P326" s="138" t="s">
        <v>527</v>
      </c>
      <c r="Q326" s="213">
        <f>Q327+Q330</f>
        <v>1542.6999999999998</v>
      </c>
      <c r="R326" s="213">
        <f>R327+R330</f>
        <v>1542.6999999999998</v>
      </c>
    </row>
    <row r="327" spans="1:18" ht="22.5" customHeight="1">
      <c r="A327" s="99"/>
      <c r="B327" s="98"/>
      <c r="C327" s="103"/>
      <c r="D327" s="101"/>
      <c r="E327" s="113"/>
      <c r="F327" s="113">
        <v>5250104</v>
      </c>
      <c r="G327" s="105">
        <v>530</v>
      </c>
      <c r="H327" s="11" t="s">
        <v>335</v>
      </c>
      <c r="I327" s="10">
        <v>658</v>
      </c>
      <c r="J327" s="16">
        <v>1</v>
      </c>
      <c r="K327" s="16">
        <v>6</v>
      </c>
      <c r="L327" s="16" t="s">
        <v>573</v>
      </c>
      <c r="M327" s="96" t="s">
        <v>556</v>
      </c>
      <c r="N327" s="96" t="s">
        <v>576</v>
      </c>
      <c r="O327" s="96" t="s">
        <v>641</v>
      </c>
      <c r="P327" s="10" t="s">
        <v>527</v>
      </c>
      <c r="Q327" s="214">
        <f>SUM(Q328:Q329)</f>
        <v>1542.6999999999998</v>
      </c>
      <c r="R327" s="214">
        <f>SUM(R328:R329)</f>
        <v>1542.6999999999998</v>
      </c>
    </row>
    <row r="328" spans="1:18" ht="22.5" customHeight="1">
      <c r="A328" s="99"/>
      <c r="B328" s="98"/>
      <c r="C328" s="103"/>
      <c r="D328" s="101"/>
      <c r="E328" s="113"/>
      <c r="F328" s="113"/>
      <c r="G328" s="105"/>
      <c r="H328" s="11" t="s">
        <v>526</v>
      </c>
      <c r="I328" s="6">
        <v>658</v>
      </c>
      <c r="J328" s="19">
        <v>1</v>
      </c>
      <c r="K328" s="16">
        <v>6</v>
      </c>
      <c r="L328" s="16">
        <v>91</v>
      </c>
      <c r="M328" s="96" t="s">
        <v>556</v>
      </c>
      <c r="N328" s="96" t="s">
        <v>576</v>
      </c>
      <c r="O328" s="96" t="s">
        <v>641</v>
      </c>
      <c r="P328" s="10">
        <v>120</v>
      </c>
      <c r="Q328" s="214">
        <f>1273.6+251.1</f>
        <v>1524.6999999999998</v>
      </c>
      <c r="R328" s="214">
        <f>1273.6+251.1</f>
        <v>1524.6999999999998</v>
      </c>
    </row>
    <row r="329" spans="1:18" ht="20.25" customHeight="1">
      <c r="A329" s="99"/>
      <c r="B329" s="98"/>
      <c r="C329" s="103"/>
      <c r="D329" s="101"/>
      <c r="E329" s="113"/>
      <c r="F329" s="113"/>
      <c r="G329" s="105"/>
      <c r="H329" s="5" t="s">
        <v>712</v>
      </c>
      <c r="I329" s="8">
        <v>658</v>
      </c>
      <c r="J329" s="21">
        <v>1</v>
      </c>
      <c r="K329" s="16">
        <v>6</v>
      </c>
      <c r="L329" s="16">
        <v>91</v>
      </c>
      <c r="M329" s="96" t="s">
        <v>556</v>
      </c>
      <c r="N329" s="96" t="s">
        <v>576</v>
      </c>
      <c r="O329" s="96" t="s">
        <v>641</v>
      </c>
      <c r="P329" s="6">
        <v>240</v>
      </c>
      <c r="Q329" s="214">
        <f>269.1-251.1</f>
        <v>18.00000000000003</v>
      </c>
      <c r="R329" s="214">
        <f>269.1-251.1</f>
        <v>18.00000000000003</v>
      </c>
    </row>
    <row r="330" spans="1:18" ht="21.75" customHeight="1" hidden="1">
      <c r="A330" s="99"/>
      <c r="B330" s="98"/>
      <c r="C330" s="103"/>
      <c r="D330" s="101"/>
      <c r="E330" s="104"/>
      <c r="F330" s="104"/>
      <c r="G330" s="89"/>
      <c r="H330" s="11" t="s">
        <v>236</v>
      </c>
      <c r="I330" s="10">
        <v>658</v>
      </c>
      <c r="J330" s="7">
        <v>1</v>
      </c>
      <c r="K330" s="16">
        <v>6</v>
      </c>
      <c r="L330" s="16">
        <v>91</v>
      </c>
      <c r="M330" s="96" t="s">
        <v>556</v>
      </c>
      <c r="N330" s="96" t="s">
        <v>576</v>
      </c>
      <c r="O330" s="96" t="s">
        <v>235</v>
      </c>
      <c r="P330" s="10"/>
      <c r="Q330" s="214"/>
      <c r="R330" s="214"/>
    </row>
    <row r="331" spans="1:18" ht="21" customHeight="1" hidden="1">
      <c r="A331" s="99"/>
      <c r="B331" s="98"/>
      <c r="C331" s="103"/>
      <c r="D331" s="101"/>
      <c r="E331" s="104"/>
      <c r="F331" s="104"/>
      <c r="G331" s="89"/>
      <c r="H331" s="11" t="s">
        <v>526</v>
      </c>
      <c r="I331" s="10">
        <v>658</v>
      </c>
      <c r="J331" s="7">
        <v>1</v>
      </c>
      <c r="K331" s="16">
        <v>6</v>
      </c>
      <c r="L331" s="16">
        <v>91</v>
      </c>
      <c r="M331" s="96" t="s">
        <v>556</v>
      </c>
      <c r="N331" s="96" t="s">
        <v>576</v>
      </c>
      <c r="O331" s="96" t="s">
        <v>235</v>
      </c>
      <c r="P331" s="10">
        <v>120</v>
      </c>
      <c r="Q331" s="214">
        <v>0</v>
      </c>
      <c r="R331" s="214">
        <v>0</v>
      </c>
    </row>
    <row r="332" spans="1:18" ht="28.5" customHeight="1" hidden="1">
      <c r="A332" s="99"/>
      <c r="B332" s="98"/>
      <c r="C332" s="103"/>
      <c r="D332" s="101"/>
      <c r="E332" s="104"/>
      <c r="F332" s="104"/>
      <c r="G332" s="89"/>
      <c r="H332" s="11" t="s">
        <v>712</v>
      </c>
      <c r="I332" s="10">
        <v>658</v>
      </c>
      <c r="J332" s="7">
        <v>1</v>
      </c>
      <c r="K332" s="16">
        <v>6</v>
      </c>
      <c r="L332" s="16">
        <v>91</v>
      </c>
      <c r="M332" s="96" t="s">
        <v>556</v>
      </c>
      <c r="N332" s="96" t="s">
        <v>576</v>
      </c>
      <c r="O332" s="96" t="s">
        <v>235</v>
      </c>
      <c r="P332" s="10">
        <v>240</v>
      </c>
      <c r="Q332" s="214">
        <v>0</v>
      </c>
      <c r="R332" s="214">
        <v>0</v>
      </c>
    </row>
    <row r="333" spans="1:18" ht="27" customHeight="1" hidden="1">
      <c r="A333" s="99"/>
      <c r="B333" s="98"/>
      <c r="C333" s="103"/>
      <c r="D333" s="101"/>
      <c r="E333" s="104"/>
      <c r="F333" s="104"/>
      <c r="G333" s="89"/>
      <c r="H333" s="11" t="s">
        <v>713</v>
      </c>
      <c r="I333" s="10">
        <v>658</v>
      </c>
      <c r="J333" s="7">
        <v>1</v>
      </c>
      <c r="K333" s="16">
        <v>6</v>
      </c>
      <c r="L333" s="16">
        <v>91</v>
      </c>
      <c r="M333" s="96" t="s">
        <v>556</v>
      </c>
      <c r="N333" s="96" t="s">
        <v>576</v>
      </c>
      <c r="O333" s="96" t="s">
        <v>235</v>
      </c>
      <c r="P333" s="10">
        <v>850</v>
      </c>
      <c r="Q333" s="214"/>
      <c r="R333" s="214"/>
    </row>
    <row r="334" spans="1:18" s="319" customFormat="1" ht="27.75" customHeight="1">
      <c r="A334" s="158"/>
      <c r="B334" s="159"/>
      <c r="C334" s="160"/>
      <c r="D334" s="161"/>
      <c r="E334" s="396">
        <v>5250300</v>
      </c>
      <c r="F334" s="396"/>
      <c r="G334" s="132">
        <v>530</v>
      </c>
      <c r="H334" s="33" t="s">
        <v>365</v>
      </c>
      <c r="I334" s="14">
        <v>660</v>
      </c>
      <c r="J334" s="15" t="s">
        <v>527</v>
      </c>
      <c r="K334" s="15" t="s">
        <v>527</v>
      </c>
      <c r="L334" s="133" t="s">
        <v>527</v>
      </c>
      <c r="M334" s="134" t="s">
        <v>527</v>
      </c>
      <c r="N334" s="134"/>
      <c r="O334" s="134" t="s">
        <v>527</v>
      </c>
      <c r="P334" s="14" t="s">
        <v>527</v>
      </c>
      <c r="Q334" s="212">
        <f aca="true" t="shared" si="8" ref="Q334:R336">Q335</f>
        <v>1051.3</v>
      </c>
      <c r="R334" s="212">
        <f t="shared" si="8"/>
        <v>1051.3</v>
      </c>
    </row>
    <row r="335" spans="1:18" s="179" customFormat="1" ht="18.75" customHeight="1">
      <c r="A335" s="166"/>
      <c r="B335" s="167"/>
      <c r="C335" s="157"/>
      <c r="D335" s="144"/>
      <c r="E335" s="145"/>
      <c r="F335" s="145"/>
      <c r="G335" s="155">
        <v>530</v>
      </c>
      <c r="H335" s="137" t="s">
        <v>529</v>
      </c>
      <c r="I335" s="138">
        <v>660</v>
      </c>
      <c r="J335" s="139">
        <v>1</v>
      </c>
      <c r="K335" s="139">
        <v>0</v>
      </c>
      <c r="L335" s="140" t="s">
        <v>527</v>
      </c>
      <c r="M335" s="141" t="s">
        <v>527</v>
      </c>
      <c r="N335" s="141"/>
      <c r="O335" s="141" t="s">
        <v>527</v>
      </c>
      <c r="P335" s="146" t="s">
        <v>527</v>
      </c>
      <c r="Q335" s="217">
        <f t="shared" si="8"/>
        <v>1051.3</v>
      </c>
      <c r="R335" s="217">
        <f t="shared" si="8"/>
        <v>1051.3</v>
      </c>
    </row>
    <row r="336" spans="1:18" s="179" customFormat="1" ht="18.75" customHeight="1">
      <c r="A336" s="375">
        <v>1000</v>
      </c>
      <c r="B336" s="375"/>
      <c r="C336" s="376"/>
      <c r="D336" s="376"/>
      <c r="E336" s="376"/>
      <c r="F336" s="376"/>
      <c r="G336" s="136">
        <v>530</v>
      </c>
      <c r="H336" s="137" t="s">
        <v>528</v>
      </c>
      <c r="I336" s="138">
        <v>660</v>
      </c>
      <c r="J336" s="139">
        <v>1</v>
      </c>
      <c r="K336" s="139">
        <v>13</v>
      </c>
      <c r="L336" s="140" t="s">
        <v>527</v>
      </c>
      <c r="M336" s="141" t="s">
        <v>527</v>
      </c>
      <c r="N336" s="141"/>
      <c r="O336" s="141" t="s">
        <v>527</v>
      </c>
      <c r="P336" s="138" t="s">
        <v>527</v>
      </c>
      <c r="Q336" s="213">
        <f t="shared" si="8"/>
        <v>1051.3</v>
      </c>
      <c r="R336" s="213">
        <f t="shared" si="8"/>
        <v>1051.3</v>
      </c>
    </row>
    <row r="337" spans="1:18" s="179" customFormat="1" ht="18.75" customHeight="1">
      <c r="A337" s="142"/>
      <c r="B337" s="143"/>
      <c r="C337" s="166"/>
      <c r="D337" s="135"/>
      <c r="E337" s="135"/>
      <c r="F337" s="135"/>
      <c r="G337" s="136"/>
      <c r="H337" s="11" t="s">
        <v>292</v>
      </c>
      <c r="I337" s="10">
        <v>660</v>
      </c>
      <c r="J337" s="16">
        <v>1</v>
      </c>
      <c r="K337" s="16">
        <v>13</v>
      </c>
      <c r="L337" s="95" t="s">
        <v>573</v>
      </c>
      <c r="M337" s="96" t="s">
        <v>556</v>
      </c>
      <c r="N337" s="96" t="s">
        <v>576</v>
      </c>
      <c r="O337" s="96" t="s">
        <v>613</v>
      </c>
      <c r="P337" s="138"/>
      <c r="Q337" s="214">
        <f>Q338+Q341</f>
        <v>1051.3</v>
      </c>
      <c r="R337" s="214">
        <f>R338+R341</f>
        <v>1051.3</v>
      </c>
    </row>
    <row r="338" spans="1:18" ht="18.75" customHeight="1">
      <c r="A338" s="99"/>
      <c r="B338" s="98"/>
      <c r="C338" s="97"/>
      <c r="D338" s="368">
        <v>5050000</v>
      </c>
      <c r="E338" s="369"/>
      <c r="F338" s="369"/>
      <c r="G338" s="89">
        <v>321</v>
      </c>
      <c r="H338" s="11" t="s">
        <v>335</v>
      </c>
      <c r="I338" s="10">
        <v>660</v>
      </c>
      <c r="J338" s="16">
        <v>1</v>
      </c>
      <c r="K338" s="16">
        <v>13</v>
      </c>
      <c r="L338" s="16" t="s">
        <v>573</v>
      </c>
      <c r="M338" s="96" t="s">
        <v>556</v>
      </c>
      <c r="N338" s="96" t="s">
        <v>576</v>
      </c>
      <c r="O338" s="96" t="s">
        <v>641</v>
      </c>
      <c r="P338" s="10" t="s">
        <v>527</v>
      </c>
      <c r="Q338" s="214">
        <f>SUM(Q339:Q340)</f>
        <v>1051.3</v>
      </c>
      <c r="R338" s="214">
        <f>SUM(R339:R340)</f>
        <v>1051.3</v>
      </c>
    </row>
    <row r="339" spans="1:18" ht="26.25" customHeight="1">
      <c r="A339" s="99"/>
      <c r="B339" s="98"/>
      <c r="C339" s="97"/>
      <c r="D339" s="101"/>
      <c r="E339" s="100"/>
      <c r="F339" s="100"/>
      <c r="G339" s="89"/>
      <c r="H339" s="11" t="s">
        <v>526</v>
      </c>
      <c r="I339" s="6">
        <v>660</v>
      </c>
      <c r="J339" s="19">
        <v>1</v>
      </c>
      <c r="K339" s="16">
        <v>13</v>
      </c>
      <c r="L339" s="16">
        <v>91</v>
      </c>
      <c r="M339" s="96" t="s">
        <v>556</v>
      </c>
      <c r="N339" s="96" t="s">
        <v>576</v>
      </c>
      <c r="O339" s="96" t="s">
        <v>641</v>
      </c>
      <c r="P339" s="10">
        <v>120</v>
      </c>
      <c r="Q339" s="214">
        <f>869.3+150.7</f>
        <v>1020</v>
      </c>
      <c r="R339" s="214">
        <f>869.3+150.7</f>
        <v>1020</v>
      </c>
    </row>
    <row r="340" spans="1:18" ht="27.75" customHeight="1">
      <c r="A340" s="99"/>
      <c r="B340" s="98"/>
      <c r="C340" s="103"/>
      <c r="D340" s="101"/>
      <c r="E340" s="113"/>
      <c r="F340" s="113"/>
      <c r="G340" s="89"/>
      <c r="H340" s="5" t="s">
        <v>712</v>
      </c>
      <c r="I340" s="6">
        <v>660</v>
      </c>
      <c r="J340" s="21">
        <v>1</v>
      </c>
      <c r="K340" s="16">
        <v>13</v>
      </c>
      <c r="L340" s="16">
        <v>91</v>
      </c>
      <c r="M340" s="96" t="s">
        <v>556</v>
      </c>
      <c r="N340" s="96" t="s">
        <v>576</v>
      </c>
      <c r="O340" s="96" t="s">
        <v>641</v>
      </c>
      <c r="P340" s="6">
        <v>240</v>
      </c>
      <c r="Q340" s="214">
        <f>182-150.7</f>
        <v>31.30000000000001</v>
      </c>
      <c r="R340" s="214">
        <f>182-150.7</f>
        <v>31.30000000000001</v>
      </c>
    </row>
    <row r="341" spans="1:18" ht="36.75" customHeight="1" hidden="1">
      <c r="A341" s="99"/>
      <c r="B341" s="98"/>
      <c r="C341" s="103"/>
      <c r="D341" s="107"/>
      <c r="E341" s="104"/>
      <c r="F341" s="104"/>
      <c r="G341" s="105"/>
      <c r="H341" s="11" t="s">
        <v>238</v>
      </c>
      <c r="I341" s="10">
        <v>660</v>
      </c>
      <c r="J341" s="7">
        <v>1</v>
      </c>
      <c r="K341" s="16">
        <v>13</v>
      </c>
      <c r="L341" s="16">
        <v>91</v>
      </c>
      <c r="M341" s="96" t="s">
        <v>556</v>
      </c>
      <c r="N341" s="96" t="s">
        <v>576</v>
      </c>
      <c r="O341" s="96" t="s">
        <v>237</v>
      </c>
      <c r="P341" s="6"/>
      <c r="Q341" s="216"/>
      <c r="R341" s="216"/>
    </row>
    <row r="342" spans="1:18" ht="30.75" customHeight="1" hidden="1">
      <c r="A342" s="99"/>
      <c r="B342" s="98"/>
      <c r="C342" s="103"/>
      <c r="D342" s="107"/>
      <c r="E342" s="104"/>
      <c r="F342" s="104"/>
      <c r="G342" s="105"/>
      <c r="H342" s="11" t="s">
        <v>526</v>
      </c>
      <c r="I342" s="10">
        <v>660</v>
      </c>
      <c r="J342" s="7">
        <v>1</v>
      </c>
      <c r="K342" s="16">
        <v>13</v>
      </c>
      <c r="L342" s="16">
        <v>91</v>
      </c>
      <c r="M342" s="96" t="s">
        <v>556</v>
      </c>
      <c r="N342" s="96" t="s">
        <v>576</v>
      </c>
      <c r="O342" s="96" t="s">
        <v>237</v>
      </c>
      <c r="P342" s="6">
        <v>120</v>
      </c>
      <c r="Q342" s="216"/>
      <c r="R342" s="216"/>
    </row>
    <row r="343" spans="1:18" ht="24.75" customHeight="1" hidden="1">
      <c r="A343" s="99"/>
      <c r="B343" s="98"/>
      <c r="C343" s="103"/>
      <c r="D343" s="107"/>
      <c r="E343" s="104"/>
      <c r="F343" s="104"/>
      <c r="G343" s="105"/>
      <c r="H343" s="11" t="s">
        <v>712</v>
      </c>
      <c r="I343" s="10">
        <v>660</v>
      </c>
      <c r="J343" s="7">
        <v>1</v>
      </c>
      <c r="K343" s="16">
        <v>13</v>
      </c>
      <c r="L343" s="16">
        <v>91</v>
      </c>
      <c r="M343" s="96" t="s">
        <v>556</v>
      </c>
      <c r="N343" s="96" t="s">
        <v>576</v>
      </c>
      <c r="O343" s="96" t="s">
        <v>237</v>
      </c>
      <c r="P343" s="6">
        <v>240</v>
      </c>
      <c r="Q343" s="214"/>
      <c r="R343" s="214"/>
    </row>
    <row r="344" spans="1:18" s="319" customFormat="1" ht="26.25" customHeight="1">
      <c r="A344" s="158"/>
      <c r="B344" s="159"/>
      <c r="C344" s="160"/>
      <c r="D344" s="168"/>
      <c r="E344" s="169"/>
      <c r="F344" s="169"/>
      <c r="G344" s="163">
        <v>321</v>
      </c>
      <c r="H344" s="33" t="s">
        <v>367</v>
      </c>
      <c r="I344" s="14">
        <v>661</v>
      </c>
      <c r="J344" s="15" t="s">
        <v>527</v>
      </c>
      <c r="K344" s="15" t="s">
        <v>527</v>
      </c>
      <c r="L344" s="133" t="s">
        <v>527</v>
      </c>
      <c r="M344" s="134" t="s">
        <v>527</v>
      </c>
      <c r="N344" s="134"/>
      <c r="O344" s="134" t="s">
        <v>527</v>
      </c>
      <c r="P344" s="28" t="s">
        <v>527</v>
      </c>
      <c r="Q344" s="220">
        <f>Q345+Q375+Q382</f>
        <v>37991</v>
      </c>
      <c r="R344" s="220">
        <f>R345+R375+R382</f>
        <v>38084</v>
      </c>
    </row>
    <row r="345" spans="1:18" s="179" customFormat="1" ht="18.75" customHeight="1">
      <c r="A345" s="142"/>
      <c r="B345" s="143"/>
      <c r="C345" s="142"/>
      <c r="D345" s="385">
        <v>5200000</v>
      </c>
      <c r="E345" s="386"/>
      <c r="F345" s="386"/>
      <c r="G345" s="136">
        <v>530</v>
      </c>
      <c r="H345" s="137" t="s">
        <v>529</v>
      </c>
      <c r="I345" s="138">
        <v>661</v>
      </c>
      <c r="J345" s="139">
        <v>1</v>
      </c>
      <c r="K345" s="139" t="s">
        <v>614</v>
      </c>
      <c r="L345" s="140" t="s">
        <v>527</v>
      </c>
      <c r="M345" s="141" t="s">
        <v>527</v>
      </c>
      <c r="N345" s="141"/>
      <c r="O345" s="141" t="s">
        <v>527</v>
      </c>
      <c r="P345" s="146" t="s">
        <v>527</v>
      </c>
      <c r="Q345" s="217">
        <f>Q346+Q364</f>
        <v>20167.2</v>
      </c>
      <c r="R345" s="217">
        <f>R346+R364</f>
        <v>20167.2</v>
      </c>
    </row>
    <row r="346" spans="1:18" s="179" customFormat="1" ht="36.75" customHeight="1">
      <c r="A346" s="142"/>
      <c r="B346" s="143"/>
      <c r="C346" s="153"/>
      <c r="D346" s="150"/>
      <c r="E346" s="384">
        <v>5201000</v>
      </c>
      <c r="F346" s="384"/>
      <c r="G346" s="136">
        <v>530</v>
      </c>
      <c r="H346" s="137" t="s">
        <v>364</v>
      </c>
      <c r="I346" s="138">
        <v>661</v>
      </c>
      <c r="J346" s="139">
        <v>1</v>
      </c>
      <c r="K346" s="139">
        <v>6</v>
      </c>
      <c r="L346" s="140" t="s">
        <v>527</v>
      </c>
      <c r="M346" s="141" t="s">
        <v>527</v>
      </c>
      <c r="N346" s="141"/>
      <c r="O346" s="141" t="s">
        <v>527</v>
      </c>
      <c r="P346" s="146" t="s">
        <v>527</v>
      </c>
      <c r="Q346" s="217">
        <f>Q347</f>
        <v>6771.8</v>
      </c>
      <c r="R346" s="217">
        <f>R347</f>
        <v>6771.8</v>
      </c>
    </row>
    <row r="347" spans="1:18" ht="36.75" customHeight="1">
      <c r="A347" s="97"/>
      <c r="B347" s="98"/>
      <c r="C347" s="103"/>
      <c r="D347" s="101"/>
      <c r="E347" s="104"/>
      <c r="F347" s="104"/>
      <c r="G347" s="89"/>
      <c r="H347" s="11" t="s">
        <v>700</v>
      </c>
      <c r="I347" s="10">
        <v>661</v>
      </c>
      <c r="J347" s="16">
        <v>1</v>
      </c>
      <c r="K347" s="16">
        <v>6</v>
      </c>
      <c r="L347" s="95" t="s">
        <v>701</v>
      </c>
      <c r="M347" s="96" t="s">
        <v>556</v>
      </c>
      <c r="N347" s="96" t="s">
        <v>576</v>
      </c>
      <c r="O347" s="96" t="s">
        <v>613</v>
      </c>
      <c r="P347" s="6"/>
      <c r="Q347" s="216">
        <f>Q348+Q352</f>
        <v>6771.8</v>
      </c>
      <c r="R347" s="216">
        <f>R348+R352</f>
        <v>6771.8</v>
      </c>
    </row>
    <row r="348" spans="1:18" ht="36.75" customHeight="1">
      <c r="A348" s="97"/>
      <c r="B348" s="98"/>
      <c r="C348" s="114"/>
      <c r="D348" s="107"/>
      <c r="E348" s="104"/>
      <c r="F348" s="104"/>
      <c r="G348" s="89"/>
      <c r="H348" s="11" t="s">
        <v>709</v>
      </c>
      <c r="I348" s="10">
        <v>661</v>
      </c>
      <c r="J348" s="16">
        <v>1</v>
      </c>
      <c r="K348" s="16">
        <v>6</v>
      </c>
      <c r="L348" s="95" t="s">
        <v>701</v>
      </c>
      <c r="M348" s="96" t="s">
        <v>558</v>
      </c>
      <c r="N348" s="96" t="s">
        <v>576</v>
      </c>
      <c r="O348" s="96" t="s">
        <v>613</v>
      </c>
      <c r="P348" s="6"/>
      <c r="Q348" s="216">
        <f aca="true" t="shared" si="9" ref="Q348:R350">Q349</f>
        <v>50</v>
      </c>
      <c r="R348" s="216">
        <f t="shared" si="9"/>
        <v>50</v>
      </c>
    </row>
    <row r="349" spans="1:18" ht="36.75" customHeight="1">
      <c r="A349" s="97"/>
      <c r="B349" s="98"/>
      <c r="C349" s="114"/>
      <c r="D349" s="107"/>
      <c r="E349" s="104"/>
      <c r="F349" s="104"/>
      <c r="G349" s="89"/>
      <c r="H349" s="11" t="s">
        <v>37</v>
      </c>
      <c r="I349" s="10">
        <v>661</v>
      </c>
      <c r="J349" s="16">
        <v>1</v>
      </c>
      <c r="K349" s="16">
        <v>6</v>
      </c>
      <c r="L349" s="95" t="s">
        <v>701</v>
      </c>
      <c r="M349" s="96" t="s">
        <v>558</v>
      </c>
      <c r="N349" s="96" t="s">
        <v>557</v>
      </c>
      <c r="O349" s="96" t="s">
        <v>613</v>
      </c>
      <c r="P349" s="6"/>
      <c r="Q349" s="216">
        <f t="shared" si="9"/>
        <v>50</v>
      </c>
      <c r="R349" s="216">
        <f t="shared" si="9"/>
        <v>50</v>
      </c>
    </row>
    <row r="350" spans="1:18" ht="21.75" customHeight="1">
      <c r="A350" s="97"/>
      <c r="B350" s="98"/>
      <c r="C350" s="114"/>
      <c r="D350" s="107"/>
      <c r="E350" s="104"/>
      <c r="F350" s="104"/>
      <c r="G350" s="89"/>
      <c r="H350" s="11" t="s">
        <v>335</v>
      </c>
      <c r="I350" s="10">
        <v>661</v>
      </c>
      <c r="J350" s="16">
        <v>1</v>
      </c>
      <c r="K350" s="16">
        <v>6</v>
      </c>
      <c r="L350" s="95" t="s">
        <v>701</v>
      </c>
      <c r="M350" s="96" t="s">
        <v>558</v>
      </c>
      <c r="N350" s="96" t="s">
        <v>557</v>
      </c>
      <c r="O350" s="96" t="s">
        <v>641</v>
      </c>
      <c r="P350" s="6"/>
      <c r="Q350" s="216">
        <f t="shared" si="9"/>
        <v>50</v>
      </c>
      <c r="R350" s="216">
        <f t="shared" si="9"/>
        <v>50</v>
      </c>
    </row>
    <row r="351" spans="1:18" ht="28.5" customHeight="1">
      <c r="A351" s="97"/>
      <c r="B351" s="98"/>
      <c r="C351" s="114"/>
      <c r="D351" s="107"/>
      <c r="E351" s="104"/>
      <c r="F351" s="104"/>
      <c r="G351" s="89"/>
      <c r="H351" s="11" t="s">
        <v>712</v>
      </c>
      <c r="I351" s="10">
        <v>661</v>
      </c>
      <c r="J351" s="16">
        <v>1</v>
      </c>
      <c r="K351" s="16">
        <v>6</v>
      </c>
      <c r="L351" s="95" t="s">
        <v>701</v>
      </c>
      <c r="M351" s="96" t="s">
        <v>558</v>
      </c>
      <c r="N351" s="96" t="s">
        <v>557</v>
      </c>
      <c r="O351" s="96" t="s">
        <v>641</v>
      </c>
      <c r="P351" s="6">
        <v>240</v>
      </c>
      <c r="Q351" s="216">
        <v>50</v>
      </c>
      <c r="R351" s="216">
        <v>50</v>
      </c>
    </row>
    <row r="352" spans="1:18" ht="38.25" customHeight="1">
      <c r="A352" s="97"/>
      <c r="B352" s="98"/>
      <c r="C352" s="114"/>
      <c r="D352" s="94"/>
      <c r="E352" s="94"/>
      <c r="F352" s="94"/>
      <c r="G352" s="89"/>
      <c r="H352" s="11" t="s">
        <v>707</v>
      </c>
      <c r="I352" s="10">
        <v>661</v>
      </c>
      <c r="J352" s="16">
        <v>1</v>
      </c>
      <c r="K352" s="16">
        <v>6</v>
      </c>
      <c r="L352" s="95" t="s">
        <v>701</v>
      </c>
      <c r="M352" s="96" t="s">
        <v>553</v>
      </c>
      <c r="N352" s="96" t="s">
        <v>576</v>
      </c>
      <c r="O352" s="96" t="s">
        <v>613</v>
      </c>
      <c r="P352" s="10"/>
      <c r="Q352" s="214">
        <f>Q353</f>
        <v>6721.8</v>
      </c>
      <c r="R352" s="214">
        <f>R353</f>
        <v>6721.8</v>
      </c>
    </row>
    <row r="353" spans="1:18" ht="68.25" customHeight="1">
      <c r="A353" s="97"/>
      <c r="B353" s="98"/>
      <c r="C353" s="114"/>
      <c r="D353" s="111"/>
      <c r="E353" s="114"/>
      <c r="F353" s="114"/>
      <c r="G353" s="89"/>
      <c r="H353" s="11" t="s">
        <v>33</v>
      </c>
      <c r="I353" s="10">
        <v>661</v>
      </c>
      <c r="J353" s="16">
        <v>1</v>
      </c>
      <c r="K353" s="16">
        <v>6</v>
      </c>
      <c r="L353" s="95" t="s">
        <v>701</v>
      </c>
      <c r="M353" s="96" t="s">
        <v>553</v>
      </c>
      <c r="N353" s="96" t="s">
        <v>557</v>
      </c>
      <c r="O353" s="96" t="s">
        <v>613</v>
      </c>
      <c r="P353" s="6"/>
      <c r="Q353" s="216">
        <f>Q354+Q358+Q361</f>
        <v>6721.8</v>
      </c>
      <c r="R353" s="216">
        <f>R354+R358+R361</f>
        <v>6721.8</v>
      </c>
    </row>
    <row r="354" spans="1:18" ht="30" customHeight="1">
      <c r="A354" s="99"/>
      <c r="B354" s="98"/>
      <c r="C354" s="103"/>
      <c r="D354" s="101"/>
      <c r="E354" s="104"/>
      <c r="F354" s="104"/>
      <c r="G354" s="105">
        <v>530</v>
      </c>
      <c r="H354" s="11" t="s">
        <v>335</v>
      </c>
      <c r="I354" s="10">
        <v>661</v>
      </c>
      <c r="J354" s="16">
        <v>1</v>
      </c>
      <c r="K354" s="16">
        <v>6</v>
      </c>
      <c r="L354" s="16">
        <v>33</v>
      </c>
      <c r="M354" s="96" t="s">
        <v>553</v>
      </c>
      <c r="N354" s="96" t="s">
        <v>557</v>
      </c>
      <c r="O354" s="96" t="s">
        <v>641</v>
      </c>
      <c r="P354" s="6" t="s">
        <v>527</v>
      </c>
      <c r="Q354" s="216">
        <f>SUM(Q355:Q357)</f>
        <v>6721.8</v>
      </c>
      <c r="R354" s="216">
        <f>SUM(R355:R357)</f>
        <v>6721.8</v>
      </c>
    </row>
    <row r="355" spans="1:18" ht="22.5" customHeight="1">
      <c r="A355" s="110"/>
      <c r="B355" s="111"/>
      <c r="C355" s="106"/>
      <c r="D355" s="107"/>
      <c r="E355" s="104"/>
      <c r="F355" s="104"/>
      <c r="G355" s="89"/>
      <c r="H355" s="11" t="s">
        <v>526</v>
      </c>
      <c r="I355" s="6">
        <v>661</v>
      </c>
      <c r="J355" s="19">
        <v>1</v>
      </c>
      <c r="K355" s="16">
        <v>6</v>
      </c>
      <c r="L355" s="16">
        <v>33</v>
      </c>
      <c r="M355" s="96" t="s">
        <v>553</v>
      </c>
      <c r="N355" s="96" t="s">
        <v>557</v>
      </c>
      <c r="O355" s="96" t="s">
        <v>641</v>
      </c>
      <c r="P355" s="6">
        <v>120</v>
      </c>
      <c r="Q355" s="216">
        <f>3765.6+977.2</f>
        <v>4742.8</v>
      </c>
      <c r="R355" s="216">
        <f>3765.6+977.2</f>
        <v>4742.8</v>
      </c>
    </row>
    <row r="356" spans="1:18" ht="21.75" customHeight="1">
      <c r="A356" s="110"/>
      <c r="B356" s="112"/>
      <c r="C356" s="106"/>
      <c r="D356" s="109"/>
      <c r="E356" s="104"/>
      <c r="F356" s="104"/>
      <c r="G356" s="89"/>
      <c r="H356" s="5" t="s">
        <v>712</v>
      </c>
      <c r="I356" s="6">
        <v>661</v>
      </c>
      <c r="J356" s="21">
        <v>1</v>
      </c>
      <c r="K356" s="16">
        <v>6</v>
      </c>
      <c r="L356" s="16">
        <v>33</v>
      </c>
      <c r="M356" s="96" t="s">
        <v>553</v>
      </c>
      <c r="N356" s="96" t="s">
        <v>557</v>
      </c>
      <c r="O356" s="96" t="s">
        <v>641</v>
      </c>
      <c r="P356" s="6">
        <v>240</v>
      </c>
      <c r="Q356" s="214">
        <f>2933.2-977.2</f>
        <v>1955.9999999999998</v>
      </c>
      <c r="R356" s="214">
        <f>2933.2-977.2</f>
        <v>1955.9999999999998</v>
      </c>
    </row>
    <row r="357" spans="1:18" ht="21.75" customHeight="1">
      <c r="A357" s="97"/>
      <c r="B357" s="98"/>
      <c r="C357" s="94"/>
      <c r="D357" s="94"/>
      <c r="E357" s="94"/>
      <c r="F357" s="94"/>
      <c r="G357" s="89"/>
      <c r="H357" s="11" t="s">
        <v>713</v>
      </c>
      <c r="I357" s="10">
        <v>661</v>
      </c>
      <c r="J357" s="16">
        <v>1</v>
      </c>
      <c r="K357" s="16">
        <v>6</v>
      </c>
      <c r="L357" s="95" t="s">
        <v>701</v>
      </c>
      <c r="M357" s="96" t="s">
        <v>553</v>
      </c>
      <c r="N357" s="96" t="s">
        <v>557</v>
      </c>
      <c r="O357" s="96" t="s">
        <v>641</v>
      </c>
      <c r="P357" s="10">
        <v>850</v>
      </c>
      <c r="Q357" s="214">
        <v>23</v>
      </c>
      <c r="R357" s="214">
        <v>23</v>
      </c>
    </row>
    <row r="358" spans="1:18" ht="24" customHeight="1" hidden="1">
      <c r="A358" s="97"/>
      <c r="B358" s="98"/>
      <c r="C358" s="94"/>
      <c r="D358" s="94"/>
      <c r="E358" s="94"/>
      <c r="F358" s="94"/>
      <c r="G358" s="89"/>
      <c r="H358" s="11" t="s">
        <v>241</v>
      </c>
      <c r="I358" s="10">
        <v>661</v>
      </c>
      <c r="J358" s="16">
        <v>1</v>
      </c>
      <c r="K358" s="16">
        <v>6</v>
      </c>
      <c r="L358" s="95" t="s">
        <v>701</v>
      </c>
      <c r="M358" s="96" t="s">
        <v>553</v>
      </c>
      <c r="N358" s="96" t="s">
        <v>557</v>
      </c>
      <c r="O358" s="96" t="s">
        <v>239</v>
      </c>
      <c r="P358" s="10"/>
      <c r="Q358" s="221"/>
      <c r="R358" s="221"/>
    </row>
    <row r="359" spans="1:18" ht="24" customHeight="1" hidden="1">
      <c r="A359" s="97"/>
      <c r="B359" s="98"/>
      <c r="C359" s="94"/>
      <c r="D359" s="94"/>
      <c r="E359" s="94"/>
      <c r="F359" s="94"/>
      <c r="G359" s="89"/>
      <c r="H359" s="11" t="s">
        <v>526</v>
      </c>
      <c r="I359" s="10">
        <v>661</v>
      </c>
      <c r="J359" s="16">
        <v>1</v>
      </c>
      <c r="K359" s="16">
        <v>6</v>
      </c>
      <c r="L359" s="95" t="s">
        <v>701</v>
      </c>
      <c r="M359" s="96" t="s">
        <v>553</v>
      </c>
      <c r="N359" s="96" t="s">
        <v>557</v>
      </c>
      <c r="O359" s="96" t="s">
        <v>239</v>
      </c>
      <c r="P359" s="10">
        <v>120</v>
      </c>
      <c r="Q359" s="221"/>
      <c r="R359" s="221"/>
    </row>
    <row r="360" spans="1:18" ht="29.25" customHeight="1" hidden="1">
      <c r="A360" s="97"/>
      <c r="B360" s="98"/>
      <c r="C360" s="94"/>
      <c r="D360" s="94"/>
      <c r="E360" s="94"/>
      <c r="F360" s="94"/>
      <c r="G360" s="89"/>
      <c r="H360" s="11" t="s">
        <v>712</v>
      </c>
      <c r="I360" s="10">
        <v>661</v>
      </c>
      <c r="J360" s="16">
        <v>1</v>
      </c>
      <c r="K360" s="16">
        <v>6</v>
      </c>
      <c r="L360" s="95" t="s">
        <v>701</v>
      </c>
      <c r="M360" s="96" t="s">
        <v>553</v>
      </c>
      <c r="N360" s="96" t="s">
        <v>557</v>
      </c>
      <c r="O360" s="96" t="s">
        <v>239</v>
      </c>
      <c r="P360" s="10">
        <v>240</v>
      </c>
      <c r="Q360" s="221"/>
      <c r="R360" s="221"/>
    </row>
    <row r="361" spans="1:18" ht="31.5" customHeight="1" hidden="1">
      <c r="A361" s="97"/>
      <c r="B361" s="98"/>
      <c r="C361" s="94"/>
      <c r="D361" s="94"/>
      <c r="E361" s="94"/>
      <c r="F361" s="94"/>
      <c r="G361" s="89"/>
      <c r="H361" s="11" t="s">
        <v>242</v>
      </c>
      <c r="I361" s="10">
        <v>661</v>
      </c>
      <c r="J361" s="16">
        <v>1</v>
      </c>
      <c r="K361" s="16">
        <v>6</v>
      </c>
      <c r="L361" s="95" t="s">
        <v>701</v>
      </c>
      <c r="M361" s="96" t="s">
        <v>553</v>
      </c>
      <c r="N361" s="96" t="s">
        <v>557</v>
      </c>
      <c r="O361" s="96" t="s">
        <v>240</v>
      </c>
      <c r="P361" s="10"/>
      <c r="Q361" s="221"/>
      <c r="R361" s="221"/>
    </row>
    <row r="362" spans="1:18" ht="22.5" customHeight="1" hidden="1">
      <c r="A362" s="97"/>
      <c r="B362" s="98"/>
      <c r="C362" s="94"/>
      <c r="D362" s="94"/>
      <c r="E362" s="94"/>
      <c r="F362" s="94"/>
      <c r="G362" s="89"/>
      <c r="H362" s="11" t="s">
        <v>526</v>
      </c>
      <c r="I362" s="10">
        <v>661</v>
      </c>
      <c r="J362" s="16">
        <v>1</v>
      </c>
      <c r="K362" s="16">
        <v>6</v>
      </c>
      <c r="L362" s="95" t="s">
        <v>701</v>
      </c>
      <c r="M362" s="96" t="s">
        <v>553</v>
      </c>
      <c r="N362" s="96" t="s">
        <v>557</v>
      </c>
      <c r="O362" s="96" t="s">
        <v>240</v>
      </c>
      <c r="P362" s="10">
        <v>120</v>
      </c>
      <c r="Q362" s="221"/>
      <c r="R362" s="221"/>
    </row>
    <row r="363" spans="1:18" ht="24" customHeight="1" hidden="1">
      <c r="A363" s="97"/>
      <c r="B363" s="98"/>
      <c r="C363" s="106"/>
      <c r="D363" s="111"/>
      <c r="E363" s="114"/>
      <c r="F363" s="114"/>
      <c r="G363" s="89"/>
      <c r="H363" s="11" t="s">
        <v>712</v>
      </c>
      <c r="I363" s="6">
        <v>661</v>
      </c>
      <c r="J363" s="16">
        <v>1</v>
      </c>
      <c r="K363" s="16">
        <v>6</v>
      </c>
      <c r="L363" s="95" t="s">
        <v>701</v>
      </c>
      <c r="M363" s="96" t="s">
        <v>553</v>
      </c>
      <c r="N363" s="96" t="s">
        <v>557</v>
      </c>
      <c r="O363" s="96" t="s">
        <v>240</v>
      </c>
      <c r="P363" s="10">
        <v>240</v>
      </c>
      <c r="Q363" s="214"/>
      <c r="R363" s="214"/>
    </row>
    <row r="364" spans="1:18" s="179" customFormat="1" ht="18.75" customHeight="1">
      <c r="A364" s="142"/>
      <c r="B364" s="143"/>
      <c r="C364" s="135"/>
      <c r="D364" s="135"/>
      <c r="E364" s="135"/>
      <c r="F364" s="135"/>
      <c r="G364" s="136"/>
      <c r="H364" s="137" t="s">
        <v>528</v>
      </c>
      <c r="I364" s="138">
        <v>661</v>
      </c>
      <c r="J364" s="139">
        <v>1</v>
      </c>
      <c r="K364" s="139">
        <v>13</v>
      </c>
      <c r="L364" s="140" t="s">
        <v>614</v>
      </c>
      <c r="M364" s="141"/>
      <c r="N364" s="141"/>
      <c r="O364" s="141"/>
      <c r="P364" s="138"/>
      <c r="Q364" s="213">
        <f aca="true" t="shared" si="10" ref="Q364:R366">Q365</f>
        <v>13395.400000000001</v>
      </c>
      <c r="R364" s="213">
        <f t="shared" si="10"/>
        <v>13395.400000000001</v>
      </c>
    </row>
    <row r="365" spans="1:18" ht="36.75" customHeight="1">
      <c r="A365" s="97"/>
      <c r="B365" s="98"/>
      <c r="C365" s="103"/>
      <c r="D365" s="101"/>
      <c r="E365" s="104"/>
      <c r="F365" s="104"/>
      <c r="G365" s="89"/>
      <c r="H365" s="11" t="s">
        <v>700</v>
      </c>
      <c r="I365" s="10">
        <v>661</v>
      </c>
      <c r="J365" s="16">
        <v>1</v>
      </c>
      <c r="K365" s="16">
        <v>13</v>
      </c>
      <c r="L365" s="95" t="s">
        <v>701</v>
      </c>
      <c r="M365" s="96" t="s">
        <v>556</v>
      </c>
      <c r="N365" s="96" t="s">
        <v>576</v>
      </c>
      <c r="O365" s="96" t="s">
        <v>613</v>
      </c>
      <c r="P365" s="6"/>
      <c r="Q365" s="216">
        <f t="shared" si="10"/>
        <v>13395.400000000001</v>
      </c>
      <c r="R365" s="216">
        <f t="shared" si="10"/>
        <v>13395.400000000001</v>
      </c>
    </row>
    <row r="366" spans="1:18" ht="38.25" customHeight="1">
      <c r="A366" s="97"/>
      <c r="B366" s="98"/>
      <c r="C366" s="114"/>
      <c r="D366" s="94"/>
      <c r="E366" s="94"/>
      <c r="F366" s="94"/>
      <c r="G366" s="89"/>
      <c r="H366" s="11" t="s">
        <v>707</v>
      </c>
      <c r="I366" s="10">
        <v>661</v>
      </c>
      <c r="J366" s="16">
        <v>1</v>
      </c>
      <c r="K366" s="16">
        <v>13</v>
      </c>
      <c r="L366" s="95" t="s">
        <v>701</v>
      </c>
      <c r="M366" s="96" t="s">
        <v>553</v>
      </c>
      <c r="N366" s="96" t="s">
        <v>576</v>
      </c>
      <c r="O366" s="96" t="s">
        <v>613</v>
      </c>
      <c r="P366" s="10"/>
      <c r="Q366" s="214">
        <f t="shared" si="10"/>
        <v>13395.400000000001</v>
      </c>
      <c r="R366" s="214">
        <f t="shared" si="10"/>
        <v>13395.400000000001</v>
      </c>
    </row>
    <row r="367" spans="1:18" ht="36" customHeight="1">
      <c r="A367" s="97"/>
      <c r="B367" s="98"/>
      <c r="C367" s="106"/>
      <c r="D367" s="111"/>
      <c r="E367" s="114"/>
      <c r="F367" s="114"/>
      <c r="G367" s="89"/>
      <c r="H367" s="11" t="s">
        <v>708</v>
      </c>
      <c r="I367" s="10">
        <v>661</v>
      </c>
      <c r="J367" s="16">
        <v>1</v>
      </c>
      <c r="K367" s="16">
        <v>13</v>
      </c>
      <c r="L367" s="95" t="s">
        <v>701</v>
      </c>
      <c r="M367" s="96" t="s">
        <v>553</v>
      </c>
      <c r="N367" s="96" t="s">
        <v>585</v>
      </c>
      <c r="O367" s="96" t="s">
        <v>613</v>
      </c>
      <c r="P367" s="10"/>
      <c r="Q367" s="214">
        <f>Q368+Q372</f>
        <v>13395.400000000001</v>
      </c>
      <c r="R367" s="214">
        <f>R368+R372</f>
        <v>13395.400000000001</v>
      </c>
    </row>
    <row r="368" spans="1:18" ht="33.75" customHeight="1">
      <c r="A368" s="97"/>
      <c r="B368" s="98"/>
      <c r="C368" s="106"/>
      <c r="D368" s="111"/>
      <c r="E368" s="114"/>
      <c r="F368" s="114"/>
      <c r="G368" s="89"/>
      <c r="H368" s="11" t="s">
        <v>337</v>
      </c>
      <c r="I368" s="10">
        <v>661</v>
      </c>
      <c r="J368" s="16">
        <v>1</v>
      </c>
      <c r="K368" s="16">
        <v>13</v>
      </c>
      <c r="L368" s="95" t="s">
        <v>701</v>
      </c>
      <c r="M368" s="96" t="s">
        <v>553</v>
      </c>
      <c r="N368" s="96" t="s">
        <v>585</v>
      </c>
      <c r="O368" s="96" t="s">
        <v>338</v>
      </c>
      <c r="P368" s="10"/>
      <c r="Q368" s="221">
        <f>SUM(Q369:Q371)</f>
        <v>13395.400000000001</v>
      </c>
      <c r="R368" s="221">
        <f>SUM(R369:R371)</f>
        <v>13395.400000000001</v>
      </c>
    </row>
    <row r="369" spans="1:18" ht="30" customHeight="1">
      <c r="A369" s="97"/>
      <c r="B369" s="98"/>
      <c r="C369" s="106"/>
      <c r="D369" s="111"/>
      <c r="E369" s="114"/>
      <c r="F369" s="114"/>
      <c r="G369" s="89"/>
      <c r="H369" s="11" t="s">
        <v>781</v>
      </c>
      <c r="I369" s="10">
        <v>661</v>
      </c>
      <c r="J369" s="16">
        <v>1</v>
      </c>
      <c r="K369" s="16">
        <v>13</v>
      </c>
      <c r="L369" s="95" t="s">
        <v>701</v>
      </c>
      <c r="M369" s="96" t="s">
        <v>553</v>
      </c>
      <c r="N369" s="96" t="s">
        <v>585</v>
      </c>
      <c r="O369" s="96" t="s">
        <v>338</v>
      </c>
      <c r="P369" s="10">
        <v>110</v>
      </c>
      <c r="Q369" s="221">
        <v>11244.7</v>
      </c>
      <c r="R369" s="240">
        <v>11244.7</v>
      </c>
    </row>
    <row r="370" spans="1:18" ht="30" customHeight="1">
      <c r="A370" s="97"/>
      <c r="B370" s="98"/>
      <c r="C370" s="106"/>
      <c r="D370" s="111"/>
      <c r="E370" s="114"/>
      <c r="F370" s="114"/>
      <c r="G370" s="89"/>
      <c r="H370" s="11" t="s">
        <v>712</v>
      </c>
      <c r="I370" s="10">
        <v>661</v>
      </c>
      <c r="J370" s="16">
        <v>1</v>
      </c>
      <c r="K370" s="16">
        <v>13</v>
      </c>
      <c r="L370" s="95" t="s">
        <v>701</v>
      </c>
      <c r="M370" s="96" t="s">
        <v>553</v>
      </c>
      <c r="N370" s="96" t="s">
        <v>585</v>
      </c>
      <c r="O370" s="96" t="s">
        <v>338</v>
      </c>
      <c r="P370" s="10">
        <v>240</v>
      </c>
      <c r="Q370" s="221">
        <v>2149.7</v>
      </c>
      <c r="R370" s="240">
        <v>2149.7</v>
      </c>
    </row>
    <row r="371" spans="1:18" ht="30" customHeight="1">
      <c r="A371" s="97"/>
      <c r="B371" s="98"/>
      <c r="C371" s="106"/>
      <c r="D371" s="111"/>
      <c r="E371" s="114"/>
      <c r="F371" s="114"/>
      <c r="G371" s="89"/>
      <c r="H371" s="11" t="s">
        <v>713</v>
      </c>
      <c r="I371" s="10">
        <v>661</v>
      </c>
      <c r="J371" s="16">
        <v>1</v>
      </c>
      <c r="K371" s="16">
        <v>13</v>
      </c>
      <c r="L371" s="95" t="s">
        <v>701</v>
      </c>
      <c r="M371" s="96" t="s">
        <v>553</v>
      </c>
      <c r="N371" s="96" t="s">
        <v>585</v>
      </c>
      <c r="O371" s="96" t="s">
        <v>338</v>
      </c>
      <c r="P371" s="10">
        <v>850</v>
      </c>
      <c r="Q371" s="221">
        <v>1</v>
      </c>
      <c r="R371" s="240">
        <v>1</v>
      </c>
    </row>
    <row r="372" spans="1:18" ht="33.75" customHeight="1" hidden="1">
      <c r="A372" s="97"/>
      <c r="B372" s="98"/>
      <c r="C372" s="106"/>
      <c r="D372" s="111"/>
      <c r="E372" s="114"/>
      <c r="F372" s="114"/>
      <c r="G372" s="89"/>
      <c r="H372" s="11" t="s">
        <v>752</v>
      </c>
      <c r="I372" s="10">
        <v>661</v>
      </c>
      <c r="J372" s="16">
        <v>1</v>
      </c>
      <c r="K372" s="16">
        <v>13</v>
      </c>
      <c r="L372" s="95" t="s">
        <v>701</v>
      </c>
      <c r="M372" s="96" t="s">
        <v>553</v>
      </c>
      <c r="N372" s="96" t="s">
        <v>585</v>
      </c>
      <c r="O372" s="96" t="s">
        <v>751</v>
      </c>
      <c r="P372" s="10"/>
      <c r="Q372" s="214">
        <f>SUM(Q373:Q374)</f>
        <v>0</v>
      </c>
      <c r="R372" s="214">
        <f>SUM(R373:R374)</f>
        <v>0</v>
      </c>
    </row>
    <row r="373" spans="1:18" ht="33.75" customHeight="1" hidden="1">
      <c r="A373" s="97"/>
      <c r="B373" s="98"/>
      <c r="C373" s="106"/>
      <c r="D373" s="111"/>
      <c r="E373" s="114"/>
      <c r="F373" s="114"/>
      <c r="G373" s="89"/>
      <c r="H373" s="11" t="s">
        <v>715</v>
      </c>
      <c r="I373" s="10">
        <v>661</v>
      </c>
      <c r="J373" s="16">
        <v>1</v>
      </c>
      <c r="K373" s="16">
        <v>13</v>
      </c>
      <c r="L373" s="95" t="s">
        <v>701</v>
      </c>
      <c r="M373" s="96" t="s">
        <v>553</v>
      </c>
      <c r="N373" s="96" t="s">
        <v>585</v>
      </c>
      <c r="O373" s="96" t="s">
        <v>751</v>
      </c>
      <c r="P373" s="10">
        <v>110</v>
      </c>
      <c r="Q373" s="214"/>
      <c r="R373" s="214"/>
    </row>
    <row r="374" spans="1:18" ht="33.75" customHeight="1" hidden="1">
      <c r="A374" s="97"/>
      <c r="B374" s="98"/>
      <c r="C374" s="106"/>
      <c r="D374" s="111"/>
      <c r="E374" s="114"/>
      <c r="F374" s="114"/>
      <c r="G374" s="89"/>
      <c r="H374" s="11" t="s">
        <v>712</v>
      </c>
      <c r="I374" s="10">
        <v>661</v>
      </c>
      <c r="J374" s="16">
        <v>1</v>
      </c>
      <c r="K374" s="16">
        <v>13</v>
      </c>
      <c r="L374" s="95" t="s">
        <v>701</v>
      </c>
      <c r="M374" s="96" t="s">
        <v>553</v>
      </c>
      <c r="N374" s="96" t="s">
        <v>585</v>
      </c>
      <c r="O374" s="96" t="s">
        <v>751</v>
      </c>
      <c r="P374" s="10">
        <v>240</v>
      </c>
      <c r="Q374" s="214"/>
      <c r="R374" s="214"/>
    </row>
    <row r="375" spans="1:18" s="179" customFormat="1" ht="24" customHeight="1" hidden="1">
      <c r="A375" s="142"/>
      <c r="B375" s="143"/>
      <c r="C375" s="157"/>
      <c r="D375" s="170"/>
      <c r="E375" s="145"/>
      <c r="F375" s="145"/>
      <c r="G375" s="155"/>
      <c r="H375" s="137" t="s">
        <v>546</v>
      </c>
      <c r="I375" s="138">
        <v>661</v>
      </c>
      <c r="J375" s="139">
        <v>13</v>
      </c>
      <c r="K375" s="139" t="s">
        <v>614</v>
      </c>
      <c r="L375" s="140" t="s">
        <v>527</v>
      </c>
      <c r="M375" s="141" t="s">
        <v>527</v>
      </c>
      <c r="N375" s="141"/>
      <c r="O375" s="141" t="s">
        <v>527</v>
      </c>
      <c r="P375" s="146" t="s">
        <v>527</v>
      </c>
      <c r="Q375" s="217"/>
      <c r="R375" s="217"/>
    </row>
    <row r="376" spans="1:18" s="179" customFormat="1" ht="24" customHeight="1" hidden="1">
      <c r="A376" s="142"/>
      <c r="B376" s="143"/>
      <c r="C376" s="157"/>
      <c r="D376" s="170"/>
      <c r="E376" s="145"/>
      <c r="F376" s="145"/>
      <c r="G376" s="155"/>
      <c r="H376" s="137" t="s">
        <v>547</v>
      </c>
      <c r="I376" s="138">
        <v>661</v>
      </c>
      <c r="J376" s="139">
        <v>13</v>
      </c>
      <c r="K376" s="139">
        <v>1</v>
      </c>
      <c r="L376" s="140" t="s">
        <v>527</v>
      </c>
      <c r="M376" s="141" t="s">
        <v>527</v>
      </c>
      <c r="N376" s="141"/>
      <c r="O376" s="141" t="s">
        <v>527</v>
      </c>
      <c r="P376" s="146" t="s">
        <v>527</v>
      </c>
      <c r="Q376" s="217"/>
      <c r="R376" s="217"/>
    </row>
    <row r="377" spans="1:18" ht="36.75" customHeight="1" hidden="1">
      <c r="A377" s="97"/>
      <c r="B377" s="98"/>
      <c r="C377" s="103"/>
      <c r="D377" s="101"/>
      <c r="E377" s="104"/>
      <c r="F377" s="104"/>
      <c r="G377" s="89"/>
      <c r="H377" s="11" t="s">
        <v>35</v>
      </c>
      <c r="I377" s="10">
        <v>661</v>
      </c>
      <c r="J377" s="16">
        <v>13</v>
      </c>
      <c r="K377" s="16">
        <v>1</v>
      </c>
      <c r="L377" s="95" t="s">
        <v>701</v>
      </c>
      <c r="M377" s="96" t="s">
        <v>556</v>
      </c>
      <c r="N377" s="96" t="s">
        <v>576</v>
      </c>
      <c r="O377" s="96" t="s">
        <v>613</v>
      </c>
      <c r="P377" s="6"/>
      <c r="Q377" s="216"/>
      <c r="R377" s="216"/>
    </row>
    <row r="378" spans="1:18" ht="24" customHeight="1" hidden="1">
      <c r="A378" s="97"/>
      <c r="B378" s="98"/>
      <c r="C378" s="106"/>
      <c r="D378" s="107"/>
      <c r="E378" s="104"/>
      <c r="F378" s="104"/>
      <c r="G378" s="105"/>
      <c r="H378" s="11" t="s">
        <v>40</v>
      </c>
      <c r="I378" s="10">
        <v>661</v>
      </c>
      <c r="J378" s="16">
        <v>13</v>
      </c>
      <c r="K378" s="16">
        <v>1</v>
      </c>
      <c r="L378" s="95" t="s">
        <v>701</v>
      </c>
      <c r="M378" s="96" t="s">
        <v>38</v>
      </c>
      <c r="N378" s="96" t="s">
        <v>576</v>
      </c>
      <c r="O378" s="96" t="s">
        <v>613</v>
      </c>
      <c r="P378" s="6"/>
      <c r="Q378" s="216"/>
      <c r="R378" s="216"/>
    </row>
    <row r="379" spans="1:18" ht="24" customHeight="1" hidden="1">
      <c r="A379" s="97"/>
      <c r="B379" s="98"/>
      <c r="C379" s="106"/>
      <c r="D379" s="107"/>
      <c r="E379" s="104"/>
      <c r="F379" s="104"/>
      <c r="G379" s="105"/>
      <c r="H379" s="11" t="s">
        <v>39</v>
      </c>
      <c r="I379" s="10">
        <v>661</v>
      </c>
      <c r="J379" s="16">
        <v>13</v>
      </c>
      <c r="K379" s="16">
        <v>1</v>
      </c>
      <c r="L379" s="95" t="s">
        <v>701</v>
      </c>
      <c r="M379" s="96" t="s">
        <v>38</v>
      </c>
      <c r="N379" s="96" t="s">
        <v>557</v>
      </c>
      <c r="O379" s="96" t="s">
        <v>613</v>
      </c>
      <c r="P379" s="6"/>
      <c r="Q379" s="216"/>
      <c r="R379" s="216"/>
    </row>
    <row r="380" spans="1:18" ht="27" customHeight="1" hidden="1">
      <c r="A380" s="99"/>
      <c r="B380" s="98"/>
      <c r="C380" s="106"/>
      <c r="D380" s="107"/>
      <c r="E380" s="104"/>
      <c r="F380" s="104"/>
      <c r="G380" s="105"/>
      <c r="H380" s="11" t="s">
        <v>310</v>
      </c>
      <c r="I380" s="10">
        <v>661</v>
      </c>
      <c r="J380" s="16">
        <v>13</v>
      </c>
      <c r="K380" s="16">
        <v>1</v>
      </c>
      <c r="L380" s="95" t="s">
        <v>701</v>
      </c>
      <c r="M380" s="96" t="s">
        <v>38</v>
      </c>
      <c r="N380" s="96" t="s">
        <v>557</v>
      </c>
      <c r="O380" s="96" t="s">
        <v>309</v>
      </c>
      <c r="P380" s="6" t="s">
        <v>527</v>
      </c>
      <c r="Q380" s="216"/>
      <c r="R380" s="216"/>
    </row>
    <row r="381" spans="1:18" ht="28.5" customHeight="1" hidden="1">
      <c r="A381" s="99"/>
      <c r="B381" s="98"/>
      <c r="C381" s="106"/>
      <c r="D381" s="107"/>
      <c r="E381" s="104"/>
      <c r="F381" s="104"/>
      <c r="G381" s="105"/>
      <c r="H381" s="5" t="s">
        <v>607</v>
      </c>
      <c r="I381" s="8">
        <v>661</v>
      </c>
      <c r="J381" s="21">
        <v>13</v>
      </c>
      <c r="K381" s="16">
        <v>1</v>
      </c>
      <c r="L381" s="95" t="s">
        <v>701</v>
      </c>
      <c r="M381" s="96" t="s">
        <v>38</v>
      </c>
      <c r="N381" s="96" t="s">
        <v>557</v>
      </c>
      <c r="O381" s="96" t="s">
        <v>309</v>
      </c>
      <c r="P381" s="6">
        <v>730</v>
      </c>
      <c r="Q381" s="216"/>
      <c r="R381" s="216"/>
    </row>
    <row r="382" spans="1:18" s="179" customFormat="1" ht="30.75" customHeight="1">
      <c r="A382" s="142"/>
      <c r="B382" s="143"/>
      <c r="C382" s="157"/>
      <c r="D382" s="170"/>
      <c r="E382" s="145"/>
      <c r="F382" s="145"/>
      <c r="G382" s="155"/>
      <c r="H382" s="137" t="s">
        <v>333</v>
      </c>
      <c r="I382" s="146">
        <v>661</v>
      </c>
      <c r="J382" s="139">
        <v>14</v>
      </c>
      <c r="K382" s="139" t="s">
        <v>527</v>
      </c>
      <c r="L382" s="139" t="s">
        <v>527</v>
      </c>
      <c r="M382" s="141" t="s">
        <v>527</v>
      </c>
      <c r="N382" s="141"/>
      <c r="O382" s="141" t="s">
        <v>527</v>
      </c>
      <c r="P382" s="146" t="s">
        <v>527</v>
      </c>
      <c r="Q382" s="217">
        <f>Q383+Q391</f>
        <v>17823.8</v>
      </c>
      <c r="R382" s="217">
        <f>R383+R391</f>
        <v>17916.8</v>
      </c>
    </row>
    <row r="383" spans="1:18" s="179" customFormat="1" ht="30.75" customHeight="1">
      <c r="A383" s="142"/>
      <c r="B383" s="143"/>
      <c r="C383" s="157"/>
      <c r="D383" s="170"/>
      <c r="E383" s="145"/>
      <c r="F383" s="145"/>
      <c r="G383" s="155"/>
      <c r="H383" s="137" t="s">
        <v>580</v>
      </c>
      <c r="I383" s="146">
        <v>661</v>
      </c>
      <c r="J383" s="139">
        <v>14</v>
      </c>
      <c r="K383" s="139">
        <v>1</v>
      </c>
      <c r="L383" s="139" t="s">
        <v>527</v>
      </c>
      <c r="M383" s="141" t="s">
        <v>527</v>
      </c>
      <c r="N383" s="141"/>
      <c r="O383" s="141" t="s">
        <v>527</v>
      </c>
      <c r="P383" s="146" t="s">
        <v>527</v>
      </c>
      <c r="Q383" s="217">
        <f aca="true" t="shared" si="11" ref="Q383:R385">Q384</f>
        <v>5252.3</v>
      </c>
      <c r="R383" s="217">
        <f t="shared" si="11"/>
        <v>5735.7</v>
      </c>
    </row>
    <row r="384" spans="1:18" ht="36.75" customHeight="1">
      <c r="A384" s="97"/>
      <c r="B384" s="98"/>
      <c r="C384" s="103"/>
      <c r="D384" s="101"/>
      <c r="E384" s="104"/>
      <c r="F384" s="104"/>
      <c r="G384" s="89"/>
      <c r="H384" s="11" t="s">
        <v>700</v>
      </c>
      <c r="I384" s="10">
        <v>661</v>
      </c>
      <c r="J384" s="16">
        <v>14</v>
      </c>
      <c r="K384" s="16">
        <v>1</v>
      </c>
      <c r="L384" s="95" t="s">
        <v>701</v>
      </c>
      <c r="M384" s="96" t="s">
        <v>556</v>
      </c>
      <c r="N384" s="96" t="s">
        <v>576</v>
      </c>
      <c r="O384" s="96" t="s">
        <v>613</v>
      </c>
      <c r="P384" s="6"/>
      <c r="Q384" s="216">
        <f t="shared" si="11"/>
        <v>5252.3</v>
      </c>
      <c r="R384" s="216">
        <f t="shared" si="11"/>
        <v>5735.7</v>
      </c>
    </row>
    <row r="385" spans="1:18" ht="36.75" customHeight="1">
      <c r="A385" s="97"/>
      <c r="B385" s="98"/>
      <c r="C385" s="106"/>
      <c r="D385" s="107"/>
      <c r="E385" s="104"/>
      <c r="F385" s="104"/>
      <c r="G385" s="89"/>
      <c r="H385" s="11" t="s">
        <v>706</v>
      </c>
      <c r="I385" s="10">
        <v>661</v>
      </c>
      <c r="J385" s="16">
        <v>14</v>
      </c>
      <c r="K385" s="16">
        <v>1</v>
      </c>
      <c r="L385" s="95" t="s">
        <v>701</v>
      </c>
      <c r="M385" s="96" t="s">
        <v>552</v>
      </c>
      <c r="N385" s="96" t="s">
        <v>576</v>
      </c>
      <c r="O385" s="96" t="s">
        <v>613</v>
      </c>
      <c r="P385" s="6"/>
      <c r="Q385" s="216">
        <f t="shared" si="11"/>
        <v>5252.3</v>
      </c>
      <c r="R385" s="216">
        <f t="shared" si="11"/>
        <v>5735.7</v>
      </c>
    </row>
    <row r="386" spans="1:18" ht="22.5" customHeight="1">
      <c r="A386" s="99"/>
      <c r="B386" s="98"/>
      <c r="C386" s="106"/>
      <c r="D386" s="107"/>
      <c r="E386" s="104"/>
      <c r="F386" s="104"/>
      <c r="G386" s="105"/>
      <c r="H386" s="11" t="s">
        <v>41</v>
      </c>
      <c r="I386" s="6">
        <v>661</v>
      </c>
      <c r="J386" s="16">
        <v>14</v>
      </c>
      <c r="K386" s="16">
        <v>1</v>
      </c>
      <c r="L386" s="16">
        <v>33</v>
      </c>
      <c r="M386" s="96" t="s">
        <v>552</v>
      </c>
      <c r="N386" s="96" t="s">
        <v>557</v>
      </c>
      <c r="O386" s="96" t="s">
        <v>613</v>
      </c>
      <c r="P386" s="6" t="s">
        <v>527</v>
      </c>
      <c r="Q386" s="216">
        <f>Q387+Q389</f>
        <v>5252.3</v>
      </c>
      <c r="R386" s="216">
        <f>R387+R389</f>
        <v>5735.7</v>
      </c>
    </row>
    <row r="387" spans="1:18" ht="63.75" customHeight="1">
      <c r="A387" s="99"/>
      <c r="B387" s="98"/>
      <c r="C387" s="106"/>
      <c r="D387" s="107"/>
      <c r="E387" s="104"/>
      <c r="F387" s="104"/>
      <c r="G387" s="105"/>
      <c r="H387" s="11" t="s">
        <v>53</v>
      </c>
      <c r="I387" s="6">
        <v>661</v>
      </c>
      <c r="J387" s="19">
        <v>14</v>
      </c>
      <c r="K387" s="16">
        <v>1</v>
      </c>
      <c r="L387" s="16">
        <v>33</v>
      </c>
      <c r="M387" s="96" t="s">
        <v>552</v>
      </c>
      <c r="N387" s="96" t="s">
        <v>557</v>
      </c>
      <c r="O387" s="96" t="s">
        <v>646</v>
      </c>
      <c r="P387" s="6"/>
      <c r="Q387" s="214">
        <f>Q388</f>
        <v>2747.9</v>
      </c>
      <c r="R387" s="214">
        <f>R388</f>
        <v>2974.6</v>
      </c>
    </row>
    <row r="388" spans="1:18" ht="24.75" customHeight="1">
      <c r="A388" s="99"/>
      <c r="B388" s="98"/>
      <c r="C388" s="106"/>
      <c r="D388" s="107"/>
      <c r="E388" s="104"/>
      <c r="F388" s="104"/>
      <c r="G388" s="105"/>
      <c r="H388" s="11" t="s">
        <v>718</v>
      </c>
      <c r="I388" s="6">
        <v>661</v>
      </c>
      <c r="J388" s="19">
        <v>14</v>
      </c>
      <c r="K388" s="16">
        <v>1</v>
      </c>
      <c r="L388" s="16">
        <v>33</v>
      </c>
      <c r="M388" s="96" t="s">
        <v>552</v>
      </c>
      <c r="N388" s="96" t="s">
        <v>557</v>
      </c>
      <c r="O388" s="96" t="s">
        <v>646</v>
      </c>
      <c r="P388" s="6">
        <v>510</v>
      </c>
      <c r="Q388" s="214">
        <v>2747.9</v>
      </c>
      <c r="R388" s="214">
        <v>2974.6</v>
      </c>
    </row>
    <row r="389" spans="1:18" ht="21" customHeight="1">
      <c r="A389" s="99"/>
      <c r="B389" s="98"/>
      <c r="C389" s="106"/>
      <c r="D389" s="107"/>
      <c r="E389" s="104"/>
      <c r="F389" s="104"/>
      <c r="G389" s="105"/>
      <c r="H389" s="11" t="s">
        <v>55</v>
      </c>
      <c r="I389" s="6">
        <v>661</v>
      </c>
      <c r="J389" s="16">
        <v>14</v>
      </c>
      <c r="K389" s="16">
        <v>1</v>
      </c>
      <c r="L389" s="16">
        <v>33</v>
      </c>
      <c r="M389" s="96" t="s">
        <v>552</v>
      </c>
      <c r="N389" s="96" t="s">
        <v>557</v>
      </c>
      <c r="O389" s="96" t="s">
        <v>85</v>
      </c>
      <c r="P389" s="6" t="s">
        <v>527</v>
      </c>
      <c r="Q389" s="216">
        <f>Q390</f>
        <v>2504.4</v>
      </c>
      <c r="R389" s="216">
        <f>R390</f>
        <v>2761.1</v>
      </c>
    </row>
    <row r="390" spans="1:18" ht="23.25" customHeight="1">
      <c r="A390" s="99"/>
      <c r="B390" s="98"/>
      <c r="C390" s="106"/>
      <c r="D390" s="107"/>
      <c r="E390" s="104"/>
      <c r="F390" s="104"/>
      <c r="G390" s="105"/>
      <c r="H390" s="11" t="s">
        <v>718</v>
      </c>
      <c r="I390" s="6">
        <v>661</v>
      </c>
      <c r="J390" s="19">
        <v>14</v>
      </c>
      <c r="K390" s="16">
        <v>1</v>
      </c>
      <c r="L390" s="16">
        <v>33</v>
      </c>
      <c r="M390" s="96" t="s">
        <v>552</v>
      </c>
      <c r="N390" s="96" t="s">
        <v>557</v>
      </c>
      <c r="O390" s="96" t="s">
        <v>85</v>
      </c>
      <c r="P390" s="6">
        <v>510</v>
      </c>
      <c r="Q390" s="216">
        <v>2504.4</v>
      </c>
      <c r="R390" s="216">
        <v>2761.1</v>
      </c>
    </row>
    <row r="391" spans="1:18" s="179" customFormat="1" ht="22.5" customHeight="1">
      <c r="A391" s="142"/>
      <c r="B391" s="143"/>
      <c r="C391" s="157"/>
      <c r="D391" s="170"/>
      <c r="E391" s="145"/>
      <c r="F391" s="145"/>
      <c r="G391" s="155"/>
      <c r="H391" s="137" t="s">
        <v>638</v>
      </c>
      <c r="I391" s="146">
        <v>661</v>
      </c>
      <c r="J391" s="139">
        <v>14</v>
      </c>
      <c r="K391" s="139">
        <v>2</v>
      </c>
      <c r="L391" s="139" t="s">
        <v>527</v>
      </c>
      <c r="M391" s="141" t="s">
        <v>527</v>
      </c>
      <c r="N391" s="141"/>
      <c r="O391" s="141" t="s">
        <v>527</v>
      </c>
      <c r="P391" s="146" t="s">
        <v>527</v>
      </c>
      <c r="Q391" s="217">
        <f aca="true" t="shared" si="12" ref="Q391:R395">Q392</f>
        <v>12571.5</v>
      </c>
      <c r="R391" s="217">
        <f t="shared" si="12"/>
        <v>12181.1</v>
      </c>
    </row>
    <row r="392" spans="1:18" ht="36.75" customHeight="1">
      <c r="A392" s="97"/>
      <c r="B392" s="98"/>
      <c r="C392" s="103"/>
      <c r="D392" s="101"/>
      <c r="E392" s="104"/>
      <c r="F392" s="104"/>
      <c r="G392" s="89"/>
      <c r="H392" s="11" t="s">
        <v>700</v>
      </c>
      <c r="I392" s="10">
        <v>661</v>
      </c>
      <c r="J392" s="16">
        <v>14</v>
      </c>
      <c r="K392" s="16">
        <v>2</v>
      </c>
      <c r="L392" s="95" t="s">
        <v>701</v>
      </c>
      <c r="M392" s="96" t="s">
        <v>556</v>
      </c>
      <c r="N392" s="96" t="s">
        <v>576</v>
      </c>
      <c r="O392" s="96" t="s">
        <v>613</v>
      </c>
      <c r="P392" s="6"/>
      <c r="Q392" s="216">
        <f t="shared" si="12"/>
        <v>12571.5</v>
      </c>
      <c r="R392" s="216">
        <f t="shared" si="12"/>
        <v>12181.1</v>
      </c>
    </row>
    <row r="393" spans="1:18" ht="36.75" customHeight="1">
      <c r="A393" s="97"/>
      <c r="B393" s="98"/>
      <c r="C393" s="106"/>
      <c r="D393" s="107"/>
      <c r="E393" s="104"/>
      <c r="F393" s="104"/>
      <c r="G393" s="89"/>
      <c r="H393" s="11" t="s">
        <v>706</v>
      </c>
      <c r="I393" s="10">
        <v>661</v>
      </c>
      <c r="J393" s="16">
        <v>14</v>
      </c>
      <c r="K393" s="16">
        <v>2</v>
      </c>
      <c r="L393" s="95" t="s">
        <v>701</v>
      </c>
      <c r="M393" s="96" t="s">
        <v>552</v>
      </c>
      <c r="N393" s="96" t="s">
        <v>576</v>
      </c>
      <c r="O393" s="96" t="s">
        <v>613</v>
      </c>
      <c r="P393" s="6"/>
      <c r="Q393" s="216">
        <f t="shared" si="12"/>
        <v>12571.5</v>
      </c>
      <c r="R393" s="216">
        <f t="shared" si="12"/>
        <v>12181.1</v>
      </c>
    </row>
    <row r="394" spans="1:18" ht="18.75" customHeight="1">
      <c r="A394" s="97"/>
      <c r="B394" s="98"/>
      <c r="C394" s="106"/>
      <c r="D394" s="107"/>
      <c r="E394" s="104"/>
      <c r="F394" s="104"/>
      <c r="G394" s="105"/>
      <c r="H394" s="11" t="s">
        <v>44</v>
      </c>
      <c r="I394" s="6">
        <v>661</v>
      </c>
      <c r="J394" s="16">
        <v>14</v>
      </c>
      <c r="K394" s="16">
        <v>2</v>
      </c>
      <c r="L394" s="16">
        <v>33</v>
      </c>
      <c r="M394" s="96" t="s">
        <v>552</v>
      </c>
      <c r="N394" s="96" t="s">
        <v>585</v>
      </c>
      <c r="O394" s="96" t="s">
        <v>613</v>
      </c>
      <c r="P394" s="6"/>
      <c r="Q394" s="216">
        <f t="shared" si="12"/>
        <v>12571.5</v>
      </c>
      <c r="R394" s="216">
        <f t="shared" si="12"/>
        <v>12181.1</v>
      </c>
    </row>
    <row r="395" spans="1:18" ht="23.25" customHeight="1">
      <c r="A395" s="99"/>
      <c r="B395" s="98"/>
      <c r="C395" s="106"/>
      <c r="D395" s="107"/>
      <c r="E395" s="104"/>
      <c r="F395" s="104"/>
      <c r="G395" s="105"/>
      <c r="H395" s="11" t="s">
        <v>42</v>
      </c>
      <c r="I395" s="6">
        <v>661</v>
      </c>
      <c r="J395" s="16">
        <v>14</v>
      </c>
      <c r="K395" s="16">
        <v>2</v>
      </c>
      <c r="L395" s="16">
        <v>33</v>
      </c>
      <c r="M395" s="96" t="s">
        <v>552</v>
      </c>
      <c r="N395" s="96" t="s">
        <v>585</v>
      </c>
      <c r="O395" s="96" t="s">
        <v>86</v>
      </c>
      <c r="P395" s="6" t="s">
        <v>527</v>
      </c>
      <c r="Q395" s="216">
        <f t="shared" si="12"/>
        <v>12571.5</v>
      </c>
      <c r="R395" s="216">
        <f t="shared" si="12"/>
        <v>12181.1</v>
      </c>
    </row>
    <row r="396" spans="1:18" ht="20.25" customHeight="1">
      <c r="A396" s="99"/>
      <c r="B396" s="98"/>
      <c r="C396" s="106"/>
      <c r="D396" s="107"/>
      <c r="E396" s="104"/>
      <c r="F396" s="104"/>
      <c r="G396" s="105"/>
      <c r="H396" s="11" t="s">
        <v>718</v>
      </c>
      <c r="I396" s="6">
        <v>661</v>
      </c>
      <c r="J396" s="19">
        <v>14</v>
      </c>
      <c r="K396" s="16">
        <v>2</v>
      </c>
      <c r="L396" s="16">
        <v>33</v>
      </c>
      <c r="M396" s="96" t="s">
        <v>552</v>
      </c>
      <c r="N396" s="96" t="s">
        <v>585</v>
      </c>
      <c r="O396" s="96" t="s">
        <v>86</v>
      </c>
      <c r="P396" s="6">
        <v>510</v>
      </c>
      <c r="Q396" s="216">
        <v>12571.5</v>
      </c>
      <c r="R396" s="216">
        <v>12181.1</v>
      </c>
    </row>
    <row r="397" spans="1:18" s="319" customFormat="1" ht="28.5" customHeight="1">
      <c r="A397" s="158"/>
      <c r="B397" s="159"/>
      <c r="C397" s="160"/>
      <c r="D397" s="168"/>
      <c r="E397" s="169"/>
      <c r="F397" s="169"/>
      <c r="G397" s="163">
        <v>521</v>
      </c>
      <c r="H397" s="33" t="s">
        <v>368</v>
      </c>
      <c r="I397" s="14">
        <v>663</v>
      </c>
      <c r="J397" s="15" t="s">
        <v>527</v>
      </c>
      <c r="K397" s="15" t="s">
        <v>527</v>
      </c>
      <c r="L397" s="133" t="s">
        <v>527</v>
      </c>
      <c r="M397" s="134" t="s">
        <v>527</v>
      </c>
      <c r="N397" s="134"/>
      <c r="O397" s="134" t="s">
        <v>527</v>
      </c>
      <c r="P397" s="171"/>
      <c r="Q397" s="220">
        <f>Q398+Q537</f>
        <v>265095.10000000003</v>
      </c>
      <c r="R397" s="220">
        <f>R398+R537</f>
        <v>285298.5</v>
      </c>
    </row>
    <row r="398" spans="1:18" s="179" customFormat="1" ht="18" customHeight="1">
      <c r="A398" s="142"/>
      <c r="B398" s="143"/>
      <c r="C398" s="142"/>
      <c r="D398" s="385">
        <v>5550000</v>
      </c>
      <c r="E398" s="386"/>
      <c r="F398" s="386"/>
      <c r="G398" s="136">
        <v>314</v>
      </c>
      <c r="H398" s="137" t="s">
        <v>538</v>
      </c>
      <c r="I398" s="138">
        <v>663</v>
      </c>
      <c r="J398" s="139">
        <v>7</v>
      </c>
      <c r="K398" s="139" t="s">
        <v>614</v>
      </c>
      <c r="L398" s="140" t="s">
        <v>527</v>
      </c>
      <c r="M398" s="141" t="s">
        <v>527</v>
      </c>
      <c r="N398" s="141"/>
      <c r="O398" s="141" t="s">
        <v>527</v>
      </c>
      <c r="P398" s="138"/>
      <c r="Q398" s="213">
        <f>Q399+Q426+Q468+Q478</f>
        <v>261640.00000000006</v>
      </c>
      <c r="R398" s="213">
        <f>R399+R426+R468+R478</f>
        <v>281843.4</v>
      </c>
    </row>
    <row r="399" spans="1:18" s="179" customFormat="1" ht="18.75" customHeight="1">
      <c r="A399" s="142"/>
      <c r="B399" s="143"/>
      <c r="C399" s="153"/>
      <c r="D399" s="150"/>
      <c r="E399" s="384">
        <v>5551700</v>
      </c>
      <c r="F399" s="384"/>
      <c r="G399" s="136">
        <v>314</v>
      </c>
      <c r="H399" s="137" t="s">
        <v>369</v>
      </c>
      <c r="I399" s="138">
        <v>663</v>
      </c>
      <c r="J399" s="139">
        <v>7</v>
      </c>
      <c r="K399" s="139">
        <v>1</v>
      </c>
      <c r="L399" s="140" t="s">
        <v>527</v>
      </c>
      <c r="M399" s="141" t="s">
        <v>527</v>
      </c>
      <c r="N399" s="141"/>
      <c r="O399" s="141" t="s">
        <v>527</v>
      </c>
      <c r="P399" s="138"/>
      <c r="Q399" s="213">
        <f>Q400+Q409+Q419</f>
        <v>78520.2</v>
      </c>
      <c r="R399" s="213">
        <f>R400+R409+R419</f>
        <v>81322.4</v>
      </c>
    </row>
    <row r="400" spans="1:18" ht="41.25" customHeight="1" hidden="1">
      <c r="A400" s="99"/>
      <c r="B400" s="98"/>
      <c r="C400" s="103"/>
      <c r="D400" s="101"/>
      <c r="E400" s="104"/>
      <c r="F400" s="104"/>
      <c r="G400" s="89"/>
      <c r="H400" s="253" t="s">
        <v>264</v>
      </c>
      <c r="I400" s="10">
        <v>663</v>
      </c>
      <c r="J400" s="16">
        <v>7</v>
      </c>
      <c r="K400" s="16">
        <v>1</v>
      </c>
      <c r="L400" s="95" t="s">
        <v>588</v>
      </c>
      <c r="M400" s="96" t="s">
        <v>556</v>
      </c>
      <c r="N400" s="96" t="s">
        <v>576</v>
      </c>
      <c r="O400" s="96" t="s">
        <v>613</v>
      </c>
      <c r="P400" s="10"/>
      <c r="Q400" s="214"/>
      <c r="R400" s="214"/>
    </row>
    <row r="401" spans="1:18" ht="27" customHeight="1" hidden="1">
      <c r="A401" s="99"/>
      <c r="B401" s="98"/>
      <c r="C401" s="103"/>
      <c r="D401" s="101"/>
      <c r="E401" s="104"/>
      <c r="F401" s="104"/>
      <c r="G401" s="89"/>
      <c r="H401" s="254" t="s">
        <v>649</v>
      </c>
      <c r="I401" s="10">
        <v>663</v>
      </c>
      <c r="J401" s="16">
        <v>7</v>
      </c>
      <c r="K401" s="16">
        <v>1</v>
      </c>
      <c r="L401" s="95" t="s">
        <v>588</v>
      </c>
      <c r="M401" s="96" t="s">
        <v>556</v>
      </c>
      <c r="N401" s="96" t="s">
        <v>557</v>
      </c>
      <c r="O401" s="96" t="s">
        <v>613</v>
      </c>
      <c r="P401" s="10"/>
      <c r="Q401" s="214"/>
      <c r="R401" s="214"/>
    </row>
    <row r="402" spans="1:18" ht="24.75" customHeight="1" hidden="1">
      <c r="A402" s="99"/>
      <c r="B402" s="98"/>
      <c r="C402" s="103"/>
      <c r="D402" s="101"/>
      <c r="E402" s="104"/>
      <c r="F402" s="104"/>
      <c r="G402" s="89"/>
      <c r="H402" s="3" t="s">
        <v>324</v>
      </c>
      <c r="I402" s="10">
        <v>663</v>
      </c>
      <c r="J402" s="16">
        <v>7</v>
      </c>
      <c r="K402" s="16">
        <v>1</v>
      </c>
      <c r="L402" s="95" t="s">
        <v>588</v>
      </c>
      <c r="M402" s="96" t="s">
        <v>556</v>
      </c>
      <c r="N402" s="96" t="s">
        <v>557</v>
      </c>
      <c r="O402" s="96" t="s">
        <v>314</v>
      </c>
      <c r="P402" s="10"/>
      <c r="Q402" s="214"/>
      <c r="R402" s="214"/>
    </row>
    <row r="403" spans="1:18" ht="24.75" customHeight="1" hidden="1">
      <c r="A403" s="99"/>
      <c r="B403" s="98"/>
      <c r="C403" s="103"/>
      <c r="D403" s="101"/>
      <c r="E403" s="104"/>
      <c r="F403" s="104"/>
      <c r="G403" s="89"/>
      <c r="H403" s="3" t="s">
        <v>714</v>
      </c>
      <c r="I403" s="10">
        <v>663</v>
      </c>
      <c r="J403" s="16">
        <v>7</v>
      </c>
      <c r="K403" s="16">
        <v>1</v>
      </c>
      <c r="L403" s="95" t="s">
        <v>588</v>
      </c>
      <c r="M403" s="96" t="s">
        <v>556</v>
      </c>
      <c r="N403" s="96" t="s">
        <v>557</v>
      </c>
      <c r="O403" s="96" t="s">
        <v>314</v>
      </c>
      <c r="P403" s="10">
        <v>610</v>
      </c>
      <c r="Q403" s="214"/>
      <c r="R403" s="214"/>
    </row>
    <row r="404" spans="1:18" ht="39" customHeight="1" hidden="1">
      <c r="A404" s="99"/>
      <c r="B404" s="98"/>
      <c r="C404" s="103"/>
      <c r="D404" s="101"/>
      <c r="E404" s="104"/>
      <c r="F404" s="104"/>
      <c r="G404" s="89"/>
      <c r="H404" s="255" t="s">
        <v>326</v>
      </c>
      <c r="I404" s="10">
        <v>663</v>
      </c>
      <c r="J404" s="16">
        <v>7</v>
      </c>
      <c r="K404" s="16">
        <v>1</v>
      </c>
      <c r="L404" s="95" t="s">
        <v>588</v>
      </c>
      <c r="M404" s="96" t="s">
        <v>556</v>
      </c>
      <c r="N404" s="96" t="s">
        <v>557</v>
      </c>
      <c r="O404" s="96" t="s">
        <v>325</v>
      </c>
      <c r="P404" s="10"/>
      <c r="Q404" s="214"/>
      <c r="R404" s="214"/>
    </row>
    <row r="405" spans="1:18" ht="23.25" customHeight="1" hidden="1">
      <c r="A405" s="99"/>
      <c r="B405" s="98"/>
      <c r="C405" s="103"/>
      <c r="D405" s="101"/>
      <c r="E405" s="104"/>
      <c r="F405" s="104"/>
      <c r="G405" s="89"/>
      <c r="H405" s="255" t="s">
        <v>714</v>
      </c>
      <c r="I405" s="10">
        <v>663</v>
      </c>
      <c r="J405" s="16">
        <v>7</v>
      </c>
      <c r="K405" s="16">
        <v>1</v>
      </c>
      <c r="L405" s="95" t="s">
        <v>588</v>
      </c>
      <c r="M405" s="96" t="s">
        <v>556</v>
      </c>
      <c r="N405" s="96" t="s">
        <v>557</v>
      </c>
      <c r="O405" s="96" t="s">
        <v>325</v>
      </c>
      <c r="P405" s="10">
        <v>610</v>
      </c>
      <c r="Q405" s="214"/>
      <c r="R405" s="214"/>
    </row>
    <row r="406" spans="1:18" ht="23.25" customHeight="1" hidden="1">
      <c r="A406" s="99"/>
      <c r="B406" s="98"/>
      <c r="C406" s="103"/>
      <c r="D406" s="101"/>
      <c r="E406" s="104"/>
      <c r="F406" s="104"/>
      <c r="G406" s="89"/>
      <c r="H406" s="3" t="s">
        <v>785</v>
      </c>
      <c r="I406" s="10">
        <v>663</v>
      </c>
      <c r="J406" s="16">
        <v>7</v>
      </c>
      <c r="K406" s="16">
        <v>1</v>
      </c>
      <c r="L406" s="95" t="s">
        <v>588</v>
      </c>
      <c r="M406" s="96" t="s">
        <v>556</v>
      </c>
      <c r="N406" s="96" t="s">
        <v>559</v>
      </c>
      <c r="O406" s="96" t="s">
        <v>613</v>
      </c>
      <c r="P406" s="10"/>
      <c r="Q406" s="214"/>
      <c r="R406" s="214"/>
    </row>
    <row r="407" spans="1:18" ht="30.75" customHeight="1" hidden="1">
      <c r="A407" s="99"/>
      <c r="B407" s="98"/>
      <c r="C407" s="103"/>
      <c r="D407" s="101"/>
      <c r="E407" s="104"/>
      <c r="F407" s="104"/>
      <c r="G407" s="89"/>
      <c r="H407" s="3" t="s">
        <v>324</v>
      </c>
      <c r="I407" s="10">
        <v>663</v>
      </c>
      <c r="J407" s="16">
        <v>7</v>
      </c>
      <c r="K407" s="16">
        <v>1</v>
      </c>
      <c r="L407" s="95" t="s">
        <v>588</v>
      </c>
      <c r="M407" s="96" t="s">
        <v>556</v>
      </c>
      <c r="N407" s="96" t="s">
        <v>559</v>
      </c>
      <c r="O407" s="96" t="s">
        <v>314</v>
      </c>
      <c r="P407" s="10"/>
      <c r="Q407" s="214"/>
      <c r="R407" s="214"/>
    </row>
    <row r="408" spans="1:18" ht="27.75" customHeight="1" hidden="1">
      <c r="A408" s="99"/>
      <c r="B408" s="98"/>
      <c r="C408" s="103"/>
      <c r="D408" s="101"/>
      <c r="E408" s="104"/>
      <c r="F408" s="104"/>
      <c r="G408" s="89"/>
      <c r="H408" s="3" t="s">
        <v>714</v>
      </c>
      <c r="I408" s="10">
        <v>663</v>
      </c>
      <c r="J408" s="16">
        <v>7</v>
      </c>
      <c r="K408" s="16">
        <v>1</v>
      </c>
      <c r="L408" s="95" t="s">
        <v>588</v>
      </c>
      <c r="M408" s="96" t="s">
        <v>556</v>
      </c>
      <c r="N408" s="96" t="s">
        <v>559</v>
      </c>
      <c r="O408" s="96" t="s">
        <v>314</v>
      </c>
      <c r="P408" s="10">
        <v>610</v>
      </c>
      <c r="Q408" s="214"/>
      <c r="R408" s="214"/>
    </row>
    <row r="409" spans="1:18" ht="33" customHeight="1">
      <c r="A409" s="99"/>
      <c r="B409" s="98"/>
      <c r="C409" s="103"/>
      <c r="D409" s="101"/>
      <c r="E409" s="104"/>
      <c r="F409" s="104"/>
      <c r="G409" s="89"/>
      <c r="H409" s="5" t="s">
        <v>680</v>
      </c>
      <c r="I409" s="10">
        <v>663</v>
      </c>
      <c r="J409" s="16">
        <v>7</v>
      </c>
      <c r="K409" s="16">
        <v>1</v>
      </c>
      <c r="L409" s="95" t="s">
        <v>681</v>
      </c>
      <c r="M409" s="96" t="s">
        <v>556</v>
      </c>
      <c r="N409" s="96" t="s">
        <v>576</v>
      </c>
      <c r="O409" s="96" t="s">
        <v>613</v>
      </c>
      <c r="P409" s="10"/>
      <c r="Q409" s="214">
        <f>Q410+Q413+Q416</f>
        <v>149</v>
      </c>
      <c r="R409" s="214">
        <f>R410+R413+R416</f>
        <v>149</v>
      </c>
    </row>
    <row r="410" spans="1:18" ht="33" customHeight="1">
      <c r="A410" s="99"/>
      <c r="B410" s="98"/>
      <c r="C410" s="103"/>
      <c r="D410" s="101"/>
      <c r="E410" s="104"/>
      <c r="F410" s="104"/>
      <c r="G410" s="89"/>
      <c r="H410" s="5" t="s">
        <v>317</v>
      </c>
      <c r="I410" s="10">
        <v>663</v>
      </c>
      <c r="J410" s="16">
        <v>7</v>
      </c>
      <c r="K410" s="16">
        <v>1</v>
      </c>
      <c r="L410" s="95" t="s">
        <v>681</v>
      </c>
      <c r="M410" s="96" t="s">
        <v>556</v>
      </c>
      <c r="N410" s="96" t="s">
        <v>585</v>
      </c>
      <c r="O410" s="96" t="s">
        <v>613</v>
      </c>
      <c r="P410" s="10"/>
      <c r="Q410" s="214">
        <f>Q411</f>
        <v>131</v>
      </c>
      <c r="R410" s="214">
        <f>R411</f>
        <v>131</v>
      </c>
    </row>
    <row r="411" spans="1:18" ht="24" customHeight="1">
      <c r="A411" s="99"/>
      <c r="B411" s="98"/>
      <c r="C411" s="103"/>
      <c r="D411" s="101"/>
      <c r="E411" s="104"/>
      <c r="F411" s="104"/>
      <c r="G411" s="89"/>
      <c r="H411" s="5" t="s">
        <v>324</v>
      </c>
      <c r="I411" s="10">
        <v>663</v>
      </c>
      <c r="J411" s="16">
        <v>7</v>
      </c>
      <c r="K411" s="16">
        <v>1</v>
      </c>
      <c r="L411" s="95" t="s">
        <v>681</v>
      </c>
      <c r="M411" s="96" t="s">
        <v>556</v>
      </c>
      <c r="N411" s="96" t="s">
        <v>585</v>
      </c>
      <c r="O411" s="96" t="s">
        <v>314</v>
      </c>
      <c r="P411" s="10"/>
      <c r="Q411" s="214">
        <f>Q412</f>
        <v>131</v>
      </c>
      <c r="R411" s="214">
        <f>R412</f>
        <v>131</v>
      </c>
    </row>
    <row r="412" spans="1:18" ht="24" customHeight="1">
      <c r="A412" s="99"/>
      <c r="B412" s="98"/>
      <c r="C412" s="103"/>
      <c r="D412" s="101"/>
      <c r="E412" s="104"/>
      <c r="F412" s="104"/>
      <c r="G412" s="89"/>
      <c r="H412" s="5" t="s">
        <v>714</v>
      </c>
      <c r="I412" s="10">
        <v>663</v>
      </c>
      <c r="J412" s="16">
        <v>7</v>
      </c>
      <c r="K412" s="16">
        <v>1</v>
      </c>
      <c r="L412" s="95" t="s">
        <v>681</v>
      </c>
      <c r="M412" s="96" t="s">
        <v>556</v>
      </c>
      <c r="N412" s="96" t="s">
        <v>585</v>
      </c>
      <c r="O412" s="96" t="s">
        <v>314</v>
      </c>
      <c r="P412" s="10">
        <v>610</v>
      </c>
      <c r="Q412" s="214">
        <v>131</v>
      </c>
      <c r="R412" s="214">
        <v>131</v>
      </c>
    </row>
    <row r="413" spans="1:18" ht="26.25" customHeight="1">
      <c r="A413" s="99"/>
      <c r="B413" s="98"/>
      <c r="C413" s="103"/>
      <c r="D413" s="101"/>
      <c r="E413" s="104"/>
      <c r="F413" s="104"/>
      <c r="G413" s="89"/>
      <c r="H413" s="200" t="s">
        <v>313</v>
      </c>
      <c r="I413" s="10">
        <v>663</v>
      </c>
      <c r="J413" s="16">
        <v>7</v>
      </c>
      <c r="K413" s="16">
        <v>1</v>
      </c>
      <c r="L413" s="95" t="s">
        <v>681</v>
      </c>
      <c r="M413" s="96" t="s">
        <v>556</v>
      </c>
      <c r="N413" s="96" t="s">
        <v>586</v>
      </c>
      <c r="O413" s="96" t="s">
        <v>613</v>
      </c>
      <c r="P413" s="10"/>
      <c r="Q413" s="214">
        <f>Q414</f>
        <v>9</v>
      </c>
      <c r="R413" s="214">
        <f>R414</f>
        <v>9</v>
      </c>
    </row>
    <row r="414" spans="1:18" ht="22.5" customHeight="1">
      <c r="A414" s="99"/>
      <c r="B414" s="98"/>
      <c r="C414" s="103"/>
      <c r="D414" s="101"/>
      <c r="E414" s="104"/>
      <c r="F414" s="104"/>
      <c r="G414" s="89"/>
      <c r="H414" s="18" t="s">
        <v>315</v>
      </c>
      <c r="I414" s="10">
        <v>663</v>
      </c>
      <c r="J414" s="16">
        <v>7</v>
      </c>
      <c r="K414" s="16">
        <v>1</v>
      </c>
      <c r="L414" s="95" t="s">
        <v>681</v>
      </c>
      <c r="M414" s="96" t="s">
        <v>556</v>
      </c>
      <c r="N414" s="96" t="s">
        <v>586</v>
      </c>
      <c r="O414" s="96" t="s">
        <v>314</v>
      </c>
      <c r="P414" s="10"/>
      <c r="Q414" s="214">
        <f>Q415</f>
        <v>9</v>
      </c>
      <c r="R414" s="214">
        <f>R415</f>
        <v>9</v>
      </c>
    </row>
    <row r="415" spans="1:18" ht="22.5" customHeight="1">
      <c r="A415" s="99"/>
      <c r="B415" s="98"/>
      <c r="C415" s="103"/>
      <c r="D415" s="101"/>
      <c r="E415" s="104"/>
      <c r="F415" s="104"/>
      <c r="G415" s="89"/>
      <c r="H415" s="18" t="s">
        <v>714</v>
      </c>
      <c r="I415" s="10">
        <v>663</v>
      </c>
      <c r="J415" s="16">
        <v>7</v>
      </c>
      <c r="K415" s="16">
        <v>1</v>
      </c>
      <c r="L415" s="95" t="s">
        <v>681</v>
      </c>
      <c r="M415" s="96" t="s">
        <v>556</v>
      </c>
      <c r="N415" s="96" t="s">
        <v>586</v>
      </c>
      <c r="O415" s="96" t="s">
        <v>314</v>
      </c>
      <c r="P415" s="10">
        <v>610</v>
      </c>
      <c r="Q415" s="214">
        <v>9</v>
      </c>
      <c r="R415" s="214">
        <v>9</v>
      </c>
    </row>
    <row r="416" spans="1:18" ht="37.5" customHeight="1">
      <c r="A416" s="99"/>
      <c r="B416" s="98"/>
      <c r="C416" s="103"/>
      <c r="D416" s="101"/>
      <c r="E416" s="104"/>
      <c r="F416" s="104"/>
      <c r="G416" s="89"/>
      <c r="H416" s="18" t="s">
        <v>679</v>
      </c>
      <c r="I416" s="10">
        <v>663</v>
      </c>
      <c r="J416" s="16">
        <v>7</v>
      </c>
      <c r="K416" s="16">
        <v>1</v>
      </c>
      <c r="L416" s="95" t="s">
        <v>681</v>
      </c>
      <c r="M416" s="96" t="s">
        <v>556</v>
      </c>
      <c r="N416" s="96" t="s">
        <v>581</v>
      </c>
      <c r="O416" s="96" t="s">
        <v>613</v>
      </c>
      <c r="P416" s="10"/>
      <c r="Q416" s="214">
        <f>Q417</f>
        <v>9</v>
      </c>
      <c r="R416" s="214">
        <f>R417</f>
        <v>9</v>
      </c>
    </row>
    <row r="417" spans="1:18" ht="29.25" customHeight="1">
      <c r="A417" s="99"/>
      <c r="B417" s="98"/>
      <c r="C417" s="103"/>
      <c r="D417" s="101"/>
      <c r="E417" s="104"/>
      <c r="F417" s="104"/>
      <c r="G417" s="89"/>
      <c r="H417" s="18" t="s">
        <v>324</v>
      </c>
      <c r="I417" s="10">
        <v>663</v>
      </c>
      <c r="J417" s="16">
        <v>7</v>
      </c>
      <c r="K417" s="16">
        <v>1</v>
      </c>
      <c r="L417" s="95" t="s">
        <v>681</v>
      </c>
      <c r="M417" s="96" t="s">
        <v>556</v>
      </c>
      <c r="N417" s="96" t="s">
        <v>581</v>
      </c>
      <c r="O417" s="96" t="s">
        <v>314</v>
      </c>
      <c r="P417" s="10"/>
      <c r="Q417" s="214">
        <f>Q418</f>
        <v>9</v>
      </c>
      <c r="R417" s="214">
        <f>R418</f>
        <v>9</v>
      </c>
    </row>
    <row r="418" spans="1:18" ht="32.25" customHeight="1">
      <c r="A418" s="99"/>
      <c r="B418" s="98"/>
      <c r="C418" s="103"/>
      <c r="D418" s="101"/>
      <c r="E418" s="104"/>
      <c r="F418" s="104"/>
      <c r="G418" s="89"/>
      <c r="H418" s="18" t="s">
        <v>714</v>
      </c>
      <c r="I418" s="10">
        <v>663</v>
      </c>
      <c r="J418" s="16">
        <v>7</v>
      </c>
      <c r="K418" s="16">
        <v>1</v>
      </c>
      <c r="L418" s="95" t="s">
        <v>681</v>
      </c>
      <c r="M418" s="96" t="s">
        <v>556</v>
      </c>
      <c r="N418" s="96" t="s">
        <v>581</v>
      </c>
      <c r="O418" s="96" t="s">
        <v>314</v>
      </c>
      <c r="P418" s="10">
        <v>610</v>
      </c>
      <c r="Q418" s="214">
        <v>9</v>
      </c>
      <c r="R418" s="214">
        <v>9</v>
      </c>
    </row>
    <row r="419" spans="1:18" ht="30" customHeight="1">
      <c r="A419" s="99"/>
      <c r="B419" s="98"/>
      <c r="C419" s="103"/>
      <c r="D419" s="101"/>
      <c r="E419" s="104"/>
      <c r="F419" s="104"/>
      <c r="G419" s="89"/>
      <c r="H419" s="3" t="s">
        <v>292</v>
      </c>
      <c r="I419" s="10">
        <v>663</v>
      </c>
      <c r="J419" s="16">
        <v>7</v>
      </c>
      <c r="K419" s="16">
        <v>1</v>
      </c>
      <c r="L419" s="95" t="s">
        <v>573</v>
      </c>
      <c r="M419" s="96" t="s">
        <v>556</v>
      </c>
      <c r="N419" s="96" t="s">
        <v>576</v>
      </c>
      <c r="O419" s="96" t="s">
        <v>613</v>
      </c>
      <c r="P419" s="10"/>
      <c r="Q419" s="260">
        <f>Q420+Q424+Q422</f>
        <v>78371.2</v>
      </c>
      <c r="R419" s="260">
        <f>R420+R424+R422</f>
        <v>81173.4</v>
      </c>
    </row>
    <row r="420" spans="1:18" ht="30" customHeight="1">
      <c r="A420" s="99"/>
      <c r="B420" s="98"/>
      <c r="C420" s="103"/>
      <c r="D420" s="101"/>
      <c r="E420" s="104"/>
      <c r="F420" s="104"/>
      <c r="G420" s="89"/>
      <c r="H420" s="3" t="s">
        <v>324</v>
      </c>
      <c r="I420" s="10">
        <v>663</v>
      </c>
      <c r="J420" s="16">
        <v>7</v>
      </c>
      <c r="K420" s="16">
        <v>1</v>
      </c>
      <c r="L420" s="95" t="s">
        <v>573</v>
      </c>
      <c r="M420" s="96" t="s">
        <v>556</v>
      </c>
      <c r="N420" s="96" t="s">
        <v>576</v>
      </c>
      <c r="O420" s="96" t="s">
        <v>314</v>
      </c>
      <c r="P420" s="10"/>
      <c r="Q420" s="260">
        <f>Q421</f>
        <v>15039.5</v>
      </c>
      <c r="R420" s="260">
        <f>R421</f>
        <v>15039.5</v>
      </c>
    </row>
    <row r="421" spans="1:18" ht="30" customHeight="1">
      <c r="A421" s="99"/>
      <c r="B421" s="98"/>
      <c r="C421" s="103"/>
      <c r="D421" s="101"/>
      <c r="E421" s="104"/>
      <c r="F421" s="104"/>
      <c r="G421" s="89"/>
      <c r="H421" s="3" t="s">
        <v>714</v>
      </c>
      <c r="I421" s="10">
        <v>663</v>
      </c>
      <c r="J421" s="16">
        <v>7</v>
      </c>
      <c r="K421" s="16">
        <v>1</v>
      </c>
      <c r="L421" s="95" t="s">
        <v>573</v>
      </c>
      <c r="M421" s="96" t="s">
        <v>556</v>
      </c>
      <c r="N421" s="96" t="s">
        <v>576</v>
      </c>
      <c r="O421" s="96" t="s">
        <v>314</v>
      </c>
      <c r="P421" s="10">
        <v>610</v>
      </c>
      <c r="Q421" s="214">
        <v>15039.5</v>
      </c>
      <c r="R421" s="214">
        <v>15039.5</v>
      </c>
    </row>
    <row r="422" spans="1:18" ht="32.25" customHeight="1">
      <c r="A422" s="99"/>
      <c r="B422" s="98"/>
      <c r="C422" s="103"/>
      <c r="D422" s="101"/>
      <c r="E422" s="104"/>
      <c r="F422" s="104"/>
      <c r="G422" s="89"/>
      <c r="H422" s="3" t="s">
        <v>61</v>
      </c>
      <c r="I422" s="10">
        <v>663</v>
      </c>
      <c r="J422" s="16">
        <v>7</v>
      </c>
      <c r="K422" s="16">
        <v>1</v>
      </c>
      <c r="L422" s="95" t="s">
        <v>573</v>
      </c>
      <c r="M422" s="96" t="s">
        <v>556</v>
      </c>
      <c r="N422" s="96" t="s">
        <v>576</v>
      </c>
      <c r="O422" s="96" t="s">
        <v>60</v>
      </c>
      <c r="P422" s="10"/>
      <c r="Q422" s="214">
        <f>Q423</f>
        <v>3304</v>
      </c>
      <c r="R422" s="214">
        <f>R423</f>
        <v>3304</v>
      </c>
    </row>
    <row r="423" spans="1:18" ht="30" customHeight="1">
      <c r="A423" s="99"/>
      <c r="B423" s="98"/>
      <c r="C423" s="103"/>
      <c r="D423" s="101"/>
      <c r="E423" s="104"/>
      <c r="F423" s="104"/>
      <c r="G423" s="89"/>
      <c r="H423" s="3" t="s">
        <v>714</v>
      </c>
      <c r="I423" s="10">
        <v>663</v>
      </c>
      <c r="J423" s="16">
        <v>7</v>
      </c>
      <c r="K423" s="16">
        <v>1</v>
      </c>
      <c r="L423" s="95" t="s">
        <v>573</v>
      </c>
      <c r="M423" s="96" t="s">
        <v>556</v>
      </c>
      <c r="N423" s="96" t="s">
        <v>576</v>
      </c>
      <c r="O423" s="96" t="s">
        <v>60</v>
      </c>
      <c r="P423" s="10">
        <v>610</v>
      </c>
      <c r="Q423" s="214">
        <v>3304</v>
      </c>
      <c r="R423" s="214">
        <v>3304</v>
      </c>
    </row>
    <row r="424" spans="1:18" ht="36" customHeight="1">
      <c r="A424" s="99"/>
      <c r="B424" s="98"/>
      <c r="C424" s="103"/>
      <c r="D424" s="101"/>
      <c r="E424" s="104"/>
      <c r="F424" s="104"/>
      <c r="G424" s="89"/>
      <c r="H424" s="3" t="s">
        <v>326</v>
      </c>
      <c r="I424" s="10">
        <v>663</v>
      </c>
      <c r="J424" s="16">
        <v>7</v>
      </c>
      <c r="K424" s="16">
        <v>1</v>
      </c>
      <c r="L424" s="95" t="s">
        <v>573</v>
      </c>
      <c r="M424" s="96" t="s">
        <v>556</v>
      </c>
      <c r="N424" s="96" t="s">
        <v>576</v>
      </c>
      <c r="O424" s="96" t="s">
        <v>325</v>
      </c>
      <c r="P424" s="10"/>
      <c r="Q424" s="260">
        <f>Q425</f>
        <v>60027.7</v>
      </c>
      <c r="R424" s="260">
        <f>R425</f>
        <v>62829.9</v>
      </c>
    </row>
    <row r="425" spans="1:18" ht="30" customHeight="1">
      <c r="A425" s="99"/>
      <c r="B425" s="98"/>
      <c r="C425" s="103"/>
      <c r="D425" s="101"/>
      <c r="E425" s="104"/>
      <c r="F425" s="104"/>
      <c r="G425" s="89"/>
      <c r="H425" s="3" t="s">
        <v>714</v>
      </c>
      <c r="I425" s="10">
        <v>663</v>
      </c>
      <c r="J425" s="16">
        <v>7</v>
      </c>
      <c r="K425" s="16">
        <v>1</v>
      </c>
      <c r="L425" s="95" t="s">
        <v>573</v>
      </c>
      <c r="M425" s="96" t="s">
        <v>556</v>
      </c>
      <c r="N425" s="96" t="s">
        <v>576</v>
      </c>
      <c r="O425" s="96" t="s">
        <v>325</v>
      </c>
      <c r="P425" s="10">
        <v>610</v>
      </c>
      <c r="Q425" s="214">
        <v>60027.7</v>
      </c>
      <c r="R425" s="214">
        <v>62829.9</v>
      </c>
    </row>
    <row r="426" spans="1:18" s="179" customFormat="1" ht="27" customHeight="1">
      <c r="A426" s="142"/>
      <c r="B426" s="143"/>
      <c r="C426" s="153"/>
      <c r="D426" s="150"/>
      <c r="E426" s="145"/>
      <c r="F426" s="145"/>
      <c r="G426" s="136"/>
      <c r="H426" s="149" t="s">
        <v>537</v>
      </c>
      <c r="I426" s="138">
        <v>663</v>
      </c>
      <c r="J426" s="139">
        <v>7</v>
      </c>
      <c r="K426" s="139">
        <v>2</v>
      </c>
      <c r="L426" s="139"/>
      <c r="M426" s="141" t="s">
        <v>614</v>
      </c>
      <c r="N426" s="141"/>
      <c r="O426" s="141"/>
      <c r="P426" s="138"/>
      <c r="Q426" s="256">
        <f>Q427+Q445+Q458</f>
        <v>158333.90000000002</v>
      </c>
      <c r="R426" s="256">
        <f>R427+R445+R458</f>
        <v>164603.90000000002</v>
      </c>
    </row>
    <row r="427" spans="1:18" ht="30" customHeight="1" hidden="1">
      <c r="A427" s="99"/>
      <c r="B427" s="98"/>
      <c r="C427" s="103"/>
      <c r="D427" s="101"/>
      <c r="E427" s="104"/>
      <c r="F427" s="104"/>
      <c r="G427" s="89"/>
      <c r="H427" s="253" t="s">
        <v>264</v>
      </c>
      <c r="I427" s="10">
        <v>663</v>
      </c>
      <c r="J427" s="16">
        <v>7</v>
      </c>
      <c r="K427" s="16">
        <v>2</v>
      </c>
      <c r="L427" s="95" t="s">
        <v>588</v>
      </c>
      <c r="M427" s="96" t="s">
        <v>556</v>
      </c>
      <c r="N427" s="96" t="s">
        <v>576</v>
      </c>
      <c r="O427" s="96" t="s">
        <v>613</v>
      </c>
      <c r="P427" s="10"/>
      <c r="Q427" s="214"/>
      <c r="R427" s="214"/>
    </row>
    <row r="428" spans="1:18" ht="30" customHeight="1" hidden="1">
      <c r="A428" s="99"/>
      <c r="B428" s="98"/>
      <c r="C428" s="103"/>
      <c r="D428" s="101"/>
      <c r="E428" s="104"/>
      <c r="F428" s="104"/>
      <c r="G428" s="89"/>
      <c r="H428" s="55" t="s">
        <v>649</v>
      </c>
      <c r="I428" s="10">
        <v>663</v>
      </c>
      <c r="J428" s="16">
        <v>7</v>
      </c>
      <c r="K428" s="16">
        <v>2</v>
      </c>
      <c r="L428" s="95" t="s">
        <v>588</v>
      </c>
      <c r="M428" s="96" t="s">
        <v>556</v>
      </c>
      <c r="N428" s="96" t="s">
        <v>557</v>
      </c>
      <c r="O428" s="96" t="s">
        <v>613</v>
      </c>
      <c r="P428" s="10"/>
      <c r="Q428" s="214"/>
      <c r="R428" s="214"/>
    </row>
    <row r="429" spans="1:18" ht="24.75" customHeight="1" hidden="1">
      <c r="A429" s="99"/>
      <c r="B429" s="98"/>
      <c r="C429" s="103"/>
      <c r="D429" s="101"/>
      <c r="E429" s="104"/>
      <c r="F429" s="104"/>
      <c r="G429" s="89"/>
      <c r="H429" s="254" t="s">
        <v>327</v>
      </c>
      <c r="I429" s="10">
        <v>663</v>
      </c>
      <c r="J429" s="16">
        <v>7</v>
      </c>
      <c r="K429" s="16">
        <v>2</v>
      </c>
      <c r="L429" s="95" t="s">
        <v>588</v>
      </c>
      <c r="M429" s="96" t="s">
        <v>556</v>
      </c>
      <c r="N429" s="96" t="s">
        <v>557</v>
      </c>
      <c r="O429" s="96" t="s">
        <v>316</v>
      </c>
      <c r="P429" s="10"/>
      <c r="Q429" s="214"/>
      <c r="R429" s="214"/>
    </row>
    <row r="430" spans="1:18" ht="24.75" customHeight="1" hidden="1">
      <c r="A430" s="99"/>
      <c r="B430" s="98"/>
      <c r="C430" s="103"/>
      <c r="D430" s="101"/>
      <c r="E430" s="104"/>
      <c r="F430" s="104"/>
      <c r="G430" s="89"/>
      <c r="H430" s="254" t="s">
        <v>714</v>
      </c>
      <c r="I430" s="10">
        <v>663</v>
      </c>
      <c r="J430" s="16">
        <v>7</v>
      </c>
      <c r="K430" s="16">
        <v>2</v>
      </c>
      <c r="L430" s="95" t="s">
        <v>588</v>
      </c>
      <c r="M430" s="96" t="s">
        <v>556</v>
      </c>
      <c r="N430" s="96" t="s">
        <v>557</v>
      </c>
      <c r="O430" s="96" t="s">
        <v>316</v>
      </c>
      <c r="P430" s="10">
        <v>610</v>
      </c>
      <c r="Q430" s="214"/>
      <c r="R430" s="214"/>
    </row>
    <row r="431" spans="1:18" ht="27" customHeight="1" hidden="1">
      <c r="A431" s="99"/>
      <c r="B431" s="98"/>
      <c r="C431" s="103"/>
      <c r="D431" s="101"/>
      <c r="E431" s="104"/>
      <c r="F431" s="104"/>
      <c r="G431" s="89"/>
      <c r="H431" s="18" t="s">
        <v>650</v>
      </c>
      <c r="I431" s="6">
        <v>663</v>
      </c>
      <c r="J431" s="19">
        <v>7</v>
      </c>
      <c r="K431" s="16">
        <v>2</v>
      </c>
      <c r="L431" s="95" t="s">
        <v>588</v>
      </c>
      <c r="M431" s="96" t="s">
        <v>556</v>
      </c>
      <c r="N431" s="96" t="s">
        <v>585</v>
      </c>
      <c r="O431" s="96" t="s">
        <v>613</v>
      </c>
      <c r="P431" s="6"/>
      <c r="Q431" s="216"/>
      <c r="R431" s="216"/>
    </row>
    <row r="432" spans="1:18" ht="27" customHeight="1" hidden="1">
      <c r="A432" s="99"/>
      <c r="B432" s="98"/>
      <c r="C432" s="103"/>
      <c r="D432" s="101"/>
      <c r="E432" s="104"/>
      <c r="F432" s="104"/>
      <c r="G432" s="89"/>
      <c r="H432" s="20" t="s">
        <v>327</v>
      </c>
      <c r="I432" s="6">
        <v>663</v>
      </c>
      <c r="J432" s="19">
        <v>7</v>
      </c>
      <c r="K432" s="16">
        <v>2</v>
      </c>
      <c r="L432" s="95" t="s">
        <v>588</v>
      </c>
      <c r="M432" s="96" t="s">
        <v>556</v>
      </c>
      <c r="N432" s="96" t="s">
        <v>585</v>
      </c>
      <c r="O432" s="96" t="s">
        <v>316</v>
      </c>
      <c r="P432" s="6"/>
      <c r="Q432" s="216"/>
      <c r="R432" s="216"/>
    </row>
    <row r="433" spans="1:18" ht="27" customHeight="1" hidden="1">
      <c r="A433" s="99"/>
      <c r="B433" s="98"/>
      <c r="C433" s="103"/>
      <c r="D433" s="101"/>
      <c r="E433" s="104"/>
      <c r="F433" s="104"/>
      <c r="G433" s="89"/>
      <c r="H433" s="5" t="s">
        <v>712</v>
      </c>
      <c r="I433" s="6">
        <v>663</v>
      </c>
      <c r="J433" s="19">
        <v>7</v>
      </c>
      <c r="K433" s="16">
        <v>2</v>
      </c>
      <c r="L433" s="95" t="s">
        <v>588</v>
      </c>
      <c r="M433" s="96" t="s">
        <v>556</v>
      </c>
      <c r="N433" s="96" t="s">
        <v>585</v>
      </c>
      <c r="O433" s="96" t="s">
        <v>316</v>
      </c>
      <c r="P433" s="6">
        <v>240</v>
      </c>
      <c r="Q433" s="216"/>
      <c r="R433" s="216"/>
    </row>
    <row r="434" spans="1:18" ht="27" customHeight="1" hidden="1">
      <c r="A434" s="99"/>
      <c r="B434" s="98"/>
      <c r="C434" s="103"/>
      <c r="D434" s="101"/>
      <c r="E434" s="104"/>
      <c r="F434" s="104"/>
      <c r="G434" s="89"/>
      <c r="H434" s="20" t="s">
        <v>714</v>
      </c>
      <c r="I434" s="6">
        <v>663</v>
      </c>
      <c r="J434" s="19">
        <v>7</v>
      </c>
      <c r="K434" s="16">
        <v>2</v>
      </c>
      <c r="L434" s="95" t="s">
        <v>588</v>
      </c>
      <c r="M434" s="96" t="s">
        <v>556</v>
      </c>
      <c r="N434" s="96" t="s">
        <v>585</v>
      </c>
      <c r="O434" s="96" t="s">
        <v>316</v>
      </c>
      <c r="P434" s="6">
        <v>610</v>
      </c>
      <c r="Q434" s="216"/>
      <c r="R434" s="216"/>
    </row>
    <row r="435" spans="1:18" ht="40.5" customHeight="1" hidden="1">
      <c r="A435" s="99"/>
      <c r="B435" s="98"/>
      <c r="C435" s="103"/>
      <c r="D435" s="101"/>
      <c r="E435" s="104"/>
      <c r="F435" s="104"/>
      <c r="G435" s="89"/>
      <c r="H435" s="20" t="s">
        <v>326</v>
      </c>
      <c r="I435" s="6">
        <v>663</v>
      </c>
      <c r="J435" s="19">
        <v>7</v>
      </c>
      <c r="K435" s="16">
        <v>2</v>
      </c>
      <c r="L435" s="95" t="s">
        <v>588</v>
      </c>
      <c r="M435" s="96" t="s">
        <v>556</v>
      </c>
      <c r="N435" s="96" t="s">
        <v>585</v>
      </c>
      <c r="O435" s="96" t="s">
        <v>325</v>
      </c>
      <c r="P435" s="6"/>
      <c r="Q435" s="216"/>
      <c r="R435" s="216"/>
    </row>
    <row r="436" spans="1:18" ht="27" customHeight="1" hidden="1">
      <c r="A436" s="99"/>
      <c r="B436" s="98"/>
      <c r="C436" s="103"/>
      <c r="D436" s="101"/>
      <c r="E436" s="104"/>
      <c r="F436" s="104"/>
      <c r="G436" s="89"/>
      <c r="H436" s="20" t="s">
        <v>714</v>
      </c>
      <c r="I436" s="6">
        <v>663</v>
      </c>
      <c r="J436" s="19">
        <v>7</v>
      </c>
      <c r="K436" s="16">
        <v>2</v>
      </c>
      <c r="L436" s="95" t="s">
        <v>588</v>
      </c>
      <c r="M436" s="96" t="s">
        <v>556</v>
      </c>
      <c r="N436" s="96" t="s">
        <v>585</v>
      </c>
      <c r="O436" s="96" t="s">
        <v>325</v>
      </c>
      <c r="P436" s="6">
        <v>610</v>
      </c>
      <c r="Q436" s="216"/>
      <c r="R436" s="216"/>
    </row>
    <row r="437" spans="1:18" ht="24" customHeight="1" hidden="1">
      <c r="A437" s="99"/>
      <c r="B437" s="98"/>
      <c r="C437" s="103"/>
      <c r="D437" s="101"/>
      <c r="E437" s="104"/>
      <c r="F437" s="104"/>
      <c r="G437" s="89"/>
      <c r="H437" s="3" t="s">
        <v>784</v>
      </c>
      <c r="I437" s="8">
        <v>663</v>
      </c>
      <c r="J437" s="19">
        <v>7</v>
      </c>
      <c r="K437" s="16">
        <v>2</v>
      </c>
      <c r="L437" s="95" t="s">
        <v>588</v>
      </c>
      <c r="M437" s="96" t="s">
        <v>556</v>
      </c>
      <c r="N437" s="96" t="s">
        <v>586</v>
      </c>
      <c r="O437" s="96" t="s">
        <v>613</v>
      </c>
      <c r="P437" s="6"/>
      <c r="Q437" s="216"/>
      <c r="R437" s="216"/>
    </row>
    <row r="438" spans="1:18" ht="24" customHeight="1" hidden="1">
      <c r="A438" s="99"/>
      <c r="B438" s="98"/>
      <c r="C438" s="103"/>
      <c r="D438" s="101"/>
      <c r="E438" s="104"/>
      <c r="F438" s="104"/>
      <c r="G438" s="89"/>
      <c r="H438" s="3" t="s">
        <v>327</v>
      </c>
      <c r="I438" s="8">
        <v>663</v>
      </c>
      <c r="J438" s="19">
        <v>7</v>
      </c>
      <c r="K438" s="16">
        <v>2</v>
      </c>
      <c r="L438" s="95" t="s">
        <v>588</v>
      </c>
      <c r="M438" s="96" t="s">
        <v>556</v>
      </c>
      <c r="N438" s="96" t="s">
        <v>586</v>
      </c>
      <c r="O438" s="96" t="s">
        <v>316</v>
      </c>
      <c r="P438" s="6"/>
      <c r="Q438" s="216"/>
      <c r="R438" s="216"/>
    </row>
    <row r="439" spans="1:18" ht="24" customHeight="1" hidden="1">
      <c r="A439" s="99"/>
      <c r="B439" s="98"/>
      <c r="C439" s="103"/>
      <c r="D439" s="101"/>
      <c r="E439" s="104"/>
      <c r="F439" s="104"/>
      <c r="G439" s="89"/>
      <c r="H439" s="3" t="s">
        <v>714</v>
      </c>
      <c r="I439" s="8">
        <v>663</v>
      </c>
      <c r="J439" s="19">
        <v>7</v>
      </c>
      <c r="K439" s="16">
        <v>2</v>
      </c>
      <c r="L439" s="95" t="s">
        <v>588</v>
      </c>
      <c r="M439" s="96" t="s">
        <v>556</v>
      </c>
      <c r="N439" s="96" t="s">
        <v>586</v>
      </c>
      <c r="O439" s="96" t="s">
        <v>316</v>
      </c>
      <c r="P439" s="6">
        <v>610</v>
      </c>
      <c r="Q439" s="216"/>
      <c r="R439" s="216"/>
    </row>
    <row r="440" spans="1:18" ht="29.25" customHeight="1" hidden="1">
      <c r="A440" s="99"/>
      <c r="B440" s="98"/>
      <c r="C440" s="103"/>
      <c r="D440" s="101"/>
      <c r="E440" s="104"/>
      <c r="F440" s="104"/>
      <c r="G440" s="89"/>
      <c r="H440" s="3" t="s">
        <v>785</v>
      </c>
      <c r="I440" s="8">
        <v>663</v>
      </c>
      <c r="J440" s="19">
        <v>7</v>
      </c>
      <c r="K440" s="16">
        <v>2</v>
      </c>
      <c r="L440" s="95" t="s">
        <v>588</v>
      </c>
      <c r="M440" s="96" t="s">
        <v>556</v>
      </c>
      <c r="N440" s="96" t="s">
        <v>559</v>
      </c>
      <c r="O440" s="96" t="s">
        <v>613</v>
      </c>
      <c r="P440" s="6"/>
      <c r="Q440" s="216"/>
      <c r="R440" s="216"/>
    </row>
    <row r="441" spans="1:18" ht="22.5" customHeight="1" hidden="1">
      <c r="A441" s="99"/>
      <c r="B441" s="98"/>
      <c r="C441" s="103"/>
      <c r="D441" s="101"/>
      <c r="E441" s="104"/>
      <c r="F441" s="104"/>
      <c r="G441" s="89"/>
      <c r="H441" s="3" t="s">
        <v>327</v>
      </c>
      <c r="I441" s="8">
        <v>663</v>
      </c>
      <c r="J441" s="19">
        <v>7</v>
      </c>
      <c r="K441" s="16">
        <v>2</v>
      </c>
      <c r="L441" s="95" t="s">
        <v>588</v>
      </c>
      <c r="M441" s="96" t="s">
        <v>556</v>
      </c>
      <c r="N441" s="96" t="s">
        <v>559</v>
      </c>
      <c r="O441" s="96" t="s">
        <v>316</v>
      </c>
      <c r="P441" s="6"/>
      <c r="Q441" s="216"/>
      <c r="R441" s="216"/>
    </row>
    <row r="442" spans="1:18" ht="27.75" customHeight="1" hidden="1">
      <c r="A442" s="99"/>
      <c r="B442" s="98"/>
      <c r="C442" s="103"/>
      <c r="D442" s="101"/>
      <c r="E442" s="104"/>
      <c r="F442" s="104"/>
      <c r="G442" s="89"/>
      <c r="H442" s="3" t="s">
        <v>714</v>
      </c>
      <c r="I442" s="8">
        <v>663</v>
      </c>
      <c r="J442" s="19">
        <v>7</v>
      </c>
      <c r="K442" s="16">
        <v>2</v>
      </c>
      <c r="L442" s="95" t="s">
        <v>588</v>
      </c>
      <c r="M442" s="96" t="s">
        <v>556</v>
      </c>
      <c r="N442" s="96" t="s">
        <v>559</v>
      </c>
      <c r="O442" s="96" t="s">
        <v>316</v>
      </c>
      <c r="P442" s="10">
        <v>610</v>
      </c>
      <c r="Q442" s="214"/>
      <c r="R442" s="214"/>
    </row>
    <row r="443" spans="1:18" ht="36" customHeight="1" hidden="1">
      <c r="A443" s="99"/>
      <c r="B443" s="98"/>
      <c r="C443" s="103"/>
      <c r="D443" s="101"/>
      <c r="E443" s="113"/>
      <c r="F443" s="113"/>
      <c r="G443" s="89"/>
      <c r="H443" s="5" t="s">
        <v>287</v>
      </c>
      <c r="I443" s="8">
        <v>663</v>
      </c>
      <c r="J443" s="21">
        <v>7</v>
      </c>
      <c r="K443" s="16">
        <v>2</v>
      </c>
      <c r="L443" s="16">
        <v>6</v>
      </c>
      <c r="M443" s="96" t="s">
        <v>556</v>
      </c>
      <c r="N443" s="96" t="s">
        <v>559</v>
      </c>
      <c r="O443" s="96" t="s">
        <v>288</v>
      </c>
      <c r="P443" s="10"/>
      <c r="Q443" s="214"/>
      <c r="R443" s="214"/>
    </row>
    <row r="444" spans="1:18" ht="24.75" customHeight="1" hidden="1">
      <c r="A444" s="99"/>
      <c r="B444" s="98"/>
      <c r="C444" s="103"/>
      <c r="D444" s="101"/>
      <c r="E444" s="113"/>
      <c r="F444" s="113"/>
      <c r="G444" s="89"/>
      <c r="H444" s="5" t="s">
        <v>714</v>
      </c>
      <c r="I444" s="8">
        <v>663</v>
      </c>
      <c r="J444" s="21">
        <v>7</v>
      </c>
      <c r="K444" s="16">
        <v>2</v>
      </c>
      <c r="L444" s="16">
        <v>6</v>
      </c>
      <c r="M444" s="96" t="s">
        <v>556</v>
      </c>
      <c r="N444" s="96" t="s">
        <v>559</v>
      </c>
      <c r="O444" s="96" t="s">
        <v>288</v>
      </c>
      <c r="P444" s="10">
        <v>610</v>
      </c>
      <c r="Q444" s="214"/>
      <c r="R444" s="214"/>
    </row>
    <row r="445" spans="1:18" ht="30.75" customHeight="1">
      <c r="A445" s="99"/>
      <c r="B445" s="98"/>
      <c r="C445" s="103"/>
      <c r="D445" s="101"/>
      <c r="E445" s="104"/>
      <c r="F445" s="104"/>
      <c r="G445" s="89"/>
      <c r="H445" s="5" t="s">
        <v>680</v>
      </c>
      <c r="I445" s="10">
        <v>663</v>
      </c>
      <c r="J445" s="16">
        <v>7</v>
      </c>
      <c r="K445" s="16">
        <v>2</v>
      </c>
      <c r="L445" s="95" t="s">
        <v>681</v>
      </c>
      <c r="M445" s="96" t="s">
        <v>556</v>
      </c>
      <c r="N445" s="96" t="s">
        <v>576</v>
      </c>
      <c r="O445" s="96" t="s">
        <v>613</v>
      </c>
      <c r="P445" s="10"/>
      <c r="Q445" s="214">
        <f>Q446+Q449+Q452+Q455</f>
        <v>239</v>
      </c>
      <c r="R445" s="214">
        <f>R446+R449+R452+R455</f>
        <v>239</v>
      </c>
    </row>
    <row r="446" spans="1:18" ht="34.5" customHeight="1">
      <c r="A446" s="99"/>
      <c r="B446" s="98"/>
      <c r="C446" s="103"/>
      <c r="D446" s="101"/>
      <c r="E446" s="104"/>
      <c r="F446" s="104"/>
      <c r="G446" s="89"/>
      <c r="H446" s="18" t="s">
        <v>317</v>
      </c>
      <c r="I446" s="10">
        <v>663</v>
      </c>
      <c r="J446" s="16">
        <v>7</v>
      </c>
      <c r="K446" s="16">
        <v>2</v>
      </c>
      <c r="L446" s="95" t="s">
        <v>681</v>
      </c>
      <c r="M446" s="96" t="s">
        <v>556</v>
      </c>
      <c r="N446" s="96" t="s">
        <v>585</v>
      </c>
      <c r="O446" s="96" t="s">
        <v>613</v>
      </c>
      <c r="P446" s="10"/>
      <c r="Q446" s="214">
        <f>Q447</f>
        <v>9</v>
      </c>
      <c r="R446" s="214">
        <f>R447</f>
        <v>9</v>
      </c>
    </row>
    <row r="447" spans="1:18" ht="24.75" customHeight="1">
      <c r="A447" s="99"/>
      <c r="B447" s="98"/>
      <c r="C447" s="103"/>
      <c r="D447" s="101"/>
      <c r="E447" s="104"/>
      <c r="F447" s="104"/>
      <c r="G447" s="89"/>
      <c r="H447" s="18" t="s">
        <v>318</v>
      </c>
      <c r="I447" s="10">
        <v>663</v>
      </c>
      <c r="J447" s="16">
        <v>7</v>
      </c>
      <c r="K447" s="16">
        <v>2</v>
      </c>
      <c r="L447" s="95" t="s">
        <v>681</v>
      </c>
      <c r="M447" s="96" t="s">
        <v>556</v>
      </c>
      <c r="N447" s="96" t="s">
        <v>585</v>
      </c>
      <c r="O447" s="96" t="s">
        <v>316</v>
      </c>
      <c r="P447" s="10"/>
      <c r="Q447" s="214">
        <f>Q448</f>
        <v>9</v>
      </c>
      <c r="R447" s="214">
        <f>R448</f>
        <v>9</v>
      </c>
    </row>
    <row r="448" spans="1:18" ht="24.75" customHeight="1">
      <c r="A448" s="99"/>
      <c r="B448" s="98"/>
      <c r="C448" s="103"/>
      <c r="D448" s="101"/>
      <c r="E448" s="104"/>
      <c r="F448" s="104"/>
      <c r="G448" s="89"/>
      <c r="H448" s="18" t="s">
        <v>714</v>
      </c>
      <c r="I448" s="10">
        <v>663</v>
      </c>
      <c r="J448" s="16">
        <v>7</v>
      </c>
      <c r="K448" s="16">
        <v>2</v>
      </c>
      <c r="L448" s="95" t="s">
        <v>681</v>
      </c>
      <c r="M448" s="96" t="s">
        <v>556</v>
      </c>
      <c r="N448" s="96" t="s">
        <v>585</v>
      </c>
      <c r="O448" s="96" t="s">
        <v>316</v>
      </c>
      <c r="P448" s="10">
        <v>610</v>
      </c>
      <c r="Q448" s="214">
        <v>9</v>
      </c>
      <c r="R448" s="214">
        <v>9</v>
      </c>
    </row>
    <row r="449" spans="1:18" ht="30" customHeight="1">
      <c r="A449" s="99"/>
      <c r="B449" s="98"/>
      <c r="C449" s="103"/>
      <c r="D449" s="101"/>
      <c r="E449" s="104"/>
      <c r="F449" s="104"/>
      <c r="G449" s="89"/>
      <c r="H449" s="5" t="s">
        <v>319</v>
      </c>
      <c r="I449" s="10">
        <v>663</v>
      </c>
      <c r="J449" s="16">
        <v>7</v>
      </c>
      <c r="K449" s="16">
        <v>2</v>
      </c>
      <c r="L449" s="95" t="s">
        <v>681</v>
      </c>
      <c r="M449" s="96" t="s">
        <v>556</v>
      </c>
      <c r="N449" s="96" t="s">
        <v>586</v>
      </c>
      <c r="O449" s="96" t="s">
        <v>613</v>
      </c>
      <c r="P449" s="10"/>
      <c r="Q449" s="214">
        <f>Q450</f>
        <v>25</v>
      </c>
      <c r="R449" s="214">
        <f>R450</f>
        <v>25</v>
      </c>
    </row>
    <row r="450" spans="1:18" ht="30" customHeight="1">
      <c r="A450" s="99"/>
      <c r="B450" s="98"/>
      <c r="C450" s="103"/>
      <c r="D450" s="101"/>
      <c r="E450" s="104"/>
      <c r="F450" s="104"/>
      <c r="G450" s="89"/>
      <c r="H450" s="5" t="s">
        <v>318</v>
      </c>
      <c r="I450" s="10">
        <v>663</v>
      </c>
      <c r="J450" s="16">
        <v>7</v>
      </c>
      <c r="K450" s="16">
        <v>2</v>
      </c>
      <c r="L450" s="95" t="s">
        <v>681</v>
      </c>
      <c r="M450" s="96" t="s">
        <v>556</v>
      </c>
      <c r="N450" s="96" t="s">
        <v>586</v>
      </c>
      <c r="O450" s="96" t="s">
        <v>316</v>
      </c>
      <c r="P450" s="10"/>
      <c r="Q450" s="214">
        <f>Q451</f>
        <v>25</v>
      </c>
      <c r="R450" s="214">
        <f>R451</f>
        <v>25</v>
      </c>
    </row>
    <row r="451" spans="1:18" ht="30" customHeight="1">
      <c r="A451" s="99"/>
      <c r="B451" s="98"/>
      <c r="C451" s="103"/>
      <c r="D451" s="101"/>
      <c r="E451" s="104"/>
      <c r="F451" s="104"/>
      <c r="G451" s="89"/>
      <c r="H451" s="5" t="s">
        <v>714</v>
      </c>
      <c r="I451" s="10">
        <v>663</v>
      </c>
      <c r="J451" s="16">
        <v>7</v>
      </c>
      <c r="K451" s="16">
        <v>2</v>
      </c>
      <c r="L451" s="95" t="s">
        <v>681</v>
      </c>
      <c r="M451" s="96" t="s">
        <v>556</v>
      </c>
      <c r="N451" s="96" t="s">
        <v>586</v>
      </c>
      <c r="O451" s="96" t="s">
        <v>316</v>
      </c>
      <c r="P451" s="10">
        <v>610</v>
      </c>
      <c r="Q451" s="214">
        <v>25</v>
      </c>
      <c r="R451" s="214">
        <v>25</v>
      </c>
    </row>
    <row r="452" spans="1:18" ht="41.25" customHeight="1">
      <c r="A452" s="99"/>
      <c r="B452" s="98"/>
      <c r="C452" s="103"/>
      <c r="D452" s="101"/>
      <c r="E452" s="104"/>
      <c r="F452" s="104"/>
      <c r="G452" s="89"/>
      <c r="H452" s="5" t="s">
        <v>679</v>
      </c>
      <c r="I452" s="10">
        <v>663</v>
      </c>
      <c r="J452" s="16">
        <v>7</v>
      </c>
      <c r="K452" s="16">
        <v>2</v>
      </c>
      <c r="L452" s="95" t="s">
        <v>681</v>
      </c>
      <c r="M452" s="96" t="s">
        <v>556</v>
      </c>
      <c r="N452" s="96" t="s">
        <v>581</v>
      </c>
      <c r="O452" s="96" t="s">
        <v>613</v>
      </c>
      <c r="P452" s="10"/>
      <c r="Q452" s="214">
        <f>Q453</f>
        <v>80</v>
      </c>
      <c r="R452" s="214">
        <f>R453</f>
        <v>80</v>
      </c>
    </row>
    <row r="453" spans="1:18" ht="28.5" customHeight="1">
      <c r="A453" s="99"/>
      <c r="B453" s="98"/>
      <c r="C453" s="103"/>
      <c r="D453" s="101"/>
      <c r="E453" s="104"/>
      <c r="F453" s="104"/>
      <c r="G453" s="89"/>
      <c r="H453" s="5" t="s">
        <v>318</v>
      </c>
      <c r="I453" s="10">
        <v>663</v>
      </c>
      <c r="J453" s="16">
        <v>7</v>
      </c>
      <c r="K453" s="16">
        <v>2</v>
      </c>
      <c r="L453" s="95" t="s">
        <v>681</v>
      </c>
      <c r="M453" s="96" t="s">
        <v>556</v>
      </c>
      <c r="N453" s="96" t="s">
        <v>581</v>
      </c>
      <c r="O453" s="96" t="s">
        <v>316</v>
      </c>
      <c r="P453" s="10"/>
      <c r="Q453" s="214">
        <f>Q454</f>
        <v>80</v>
      </c>
      <c r="R453" s="214">
        <f>R454</f>
        <v>80</v>
      </c>
    </row>
    <row r="454" spans="1:18" ht="30" customHeight="1">
      <c r="A454" s="99"/>
      <c r="B454" s="98"/>
      <c r="C454" s="103"/>
      <c r="D454" s="101"/>
      <c r="E454" s="104"/>
      <c r="F454" s="104"/>
      <c r="G454" s="89"/>
      <c r="H454" s="5" t="s">
        <v>714</v>
      </c>
      <c r="I454" s="10">
        <v>663</v>
      </c>
      <c r="J454" s="16">
        <v>7</v>
      </c>
      <c r="K454" s="16">
        <v>2</v>
      </c>
      <c r="L454" s="95" t="s">
        <v>681</v>
      </c>
      <c r="M454" s="96" t="s">
        <v>556</v>
      </c>
      <c r="N454" s="96" t="s">
        <v>581</v>
      </c>
      <c r="O454" s="96" t="s">
        <v>316</v>
      </c>
      <c r="P454" s="10">
        <v>610</v>
      </c>
      <c r="Q454" s="214">
        <v>80</v>
      </c>
      <c r="R454" s="214">
        <v>80</v>
      </c>
    </row>
    <row r="455" spans="1:18" ht="41.25" customHeight="1">
      <c r="A455" s="99"/>
      <c r="B455" s="98"/>
      <c r="C455" s="103"/>
      <c r="D455" s="101"/>
      <c r="E455" s="104"/>
      <c r="F455" s="104"/>
      <c r="G455" s="89"/>
      <c r="H455" s="117" t="s">
        <v>246</v>
      </c>
      <c r="I455" s="10">
        <v>663</v>
      </c>
      <c r="J455" s="16">
        <v>7</v>
      </c>
      <c r="K455" s="16">
        <v>2</v>
      </c>
      <c r="L455" s="95" t="s">
        <v>681</v>
      </c>
      <c r="M455" s="96" t="s">
        <v>556</v>
      </c>
      <c r="N455" s="96" t="s">
        <v>559</v>
      </c>
      <c r="O455" s="96" t="s">
        <v>613</v>
      </c>
      <c r="P455" s="10"/>
      <c r="Q455" s="214">
        <f>Q456</f>
        <v>125</v>
      </c>
      <c r="R455" s="214">
        <f>R456</f>
        <v>125</v>
      </c>
    </row>
    <row r="456" spans="1:18" ht="25.5" customHeight="1">
      <c r="A456" s="99"/>
      <c r="B456" s="98"/>
      <c r="C456" s="103"/>
      <c r="D456" s="101"/>
      <c r="E456" s="104"/>
      <c r="F456" s="104"/>
      <c r="G456" s="89"/>
      <c r="H456" s="5" t="s">
        <v>318</v>
      </c>
      <c r="I456" s="10">
        <v>663</v>
      </c>
      <c r="J456" s="16">
        <v>7</v>
      </c>
      <c r="K456" s="16">
        <v>2</v>
      </c>
      <c r="L456" s="95" t="s">
        <v>681</v>
      </c>
      <c r="M456" s="96" t="s">
        <v>556</v>
      </c>
      <c r="N456" s="96" t="s">
        <v>559</v>
      </c>
      <c r="O456" s="96" t="s">
        <v>316</v>
      </c>
      <c r="P456" s="10"/>
      <c r="Q456" s="214">
        <f>Q457</f>
        <v>125</v>
      </c>
      <c r="R456" s="214">
        <f>R457</f>
        <v>125</v>
      </c>
    </row>
    <row r="457" spans="1:18" ht="27" customHeight="1">
      <c r="A457" s="99"/>
      <c r="B457" s="98"/>
      <c r="C457" s="103"/>
      <c r="D457" s="101"/>
      <c r="E457" s="104"/>
      <c r="F457" s="104"/>
      <c r="G457" s="89"/>
      <c r="H457" s="5" t="s">
        <v>714</v>
      </c>
      <c r="I457" s="10">
        <v>663</v>
      </c>
      <c r="J457" s="16">
        <v>7</v>
      </c>
      <c r="K457" s="16">
        <v>2</v>
      </c>
      <c r="L457" s="95" t="s">
        <v>681</v>
      </c>
      <c r="M457" s="96" t="s">
        <v>556</v>
      </c>
      <c r="N457" s="96" t="s">
        <v>559</v>
      </c>
      <c r="O457" s="96" t="s">
        <v>316</v>
      </c>
      <c r="P457" s="10">
        <v>610</v>
      </c>
      <c r="Q457" s="214">
        <v>125</v>
      </c>
      <c r="R457" s="214">
        <v>125</v>
      </c>
    </row>
    <row r="458" spans="1:18" ht="33" customHeight="1">
      <c r="A458" s="99"/>
      <c r="B458" s="98"/>
      <c r="C458" s="103"/>
      <c r="D458" s="101"/>
      <c r="E458" s="113"/>
      <c r="F458" s="113"/>
      <c r="G458" s="89"/>
      <c r="H458" s="5" t="s">
        <v>292</v>
      </c>
      <c r="I458" s="8">
        <v>663</v>
      </c>
      <c r="J458" s="21">
        <v>7</v>
      </c>
      <c r="K458" s="16">
        <v>2</v>
      </c>
      <c r="L458" s="16">
        <v>91</v>
      </c>
      <c r="M458" s="96" t="s">
        <v>556</v>
      </c>
      <c r="N458" s="96" t="s">
        <v>576</v>
      </c>
      <c r="O458" s="96" t="s">
        <v>613</v>
      </c>
      <c r="P458" s="10"/>
      <c r="Q458" s="214">
        <f>Q459+Q466+Q464+Q462</f>
        <v>158094.90000000002</v>
      </c>
      <c r="R458" s="214">
        <f>R459+R466+R464+R462</f>
        <v>164364.90000000002</v>
      </c>
    </row>
    <row r="459" spans="1:18" ht="33" customHeight="1">
      <c r="A459" s="99"/>
      <c r="B459" s="98"/>
      <c r="C459" s="103"/>
      <c r="D459" s="101"/>
      <c r="E459" s="113"/>
      <c r="F459" s="113"/>
      <c r="G459" s="89"/>
      <c r="H459" s="5" t="s">
        <v>327</v>
      </c>
      <c r="I459" s="8">
        <v>663</v>
      </c>
      <c r="J459" s="21">
        <v>7</v>
      </c>
      <c r="K459" s="16">
        <v>2</v>
      </c>
      <c r="L459" s="16">
        <v>91</v>
      </c>
      <c r="M459" s="96" t="s">
        <v>556</v>
      </c>
      <c r="N459" s="96" t="s">
        <v>576</v>
      </c>
      <c r="O459" s="96" t="s">
        <v>316</v>
      </c>
      <c r="P459" s="10"/>
      <c r="Q459" s="214">
        <f>SUM(Q460:Q461)</f>
        <v>34860.6</v>
      </c>
      <c r="R459" s="214">
        <f>SUM(R460:R461)</f>
        <v>34860.6</v>
      </c>
    </row>
    <row r="460" spans="1:18" ht="33" customHeight="1">
      <c r="A460" s="99"/>
      <c r="B460" s="98"/>
      <c r="C460" s="103"/>
      <c r="D460" s="101"/>
      <c r="E460" s="113"/>
      <c r="F460" s="113"/>
      <c r="G460" s="89"/>
      <c r="H460" s="5" t="s">
        <v>712</v>
      </c>
      <c r="I460" s="8">
        <v>663</v>
      </c>
      <c r="J460" s="21">
        <v>7</v>
      </c>
      <c r="K460" s="16">
        <v>2</v>
      </c>
      <c r="L460" s="16">
        <v>91</v>
      </c>
      <c r="M460" s="96" t="s">
        <v>556</v>
      </c>
      <c r="N460" s="96" t="s">
        <v>576</v>
      </c>
      <c r="O460" s="96" t="s">
        <v>316</v>
      </c>
      <c r="P460" s="10">
        <v>240</v>
      </c>
      <c r="Q460" s="214">
        <v>13.5</v>
      </c>
      <c r="R460" s="214">
        <v>13.5</v>
      </c>
    </row>
    <row r="461" spans="1:18" ht="33" customHeight="1">
      <c r="A461" s="99"/>
      <c r="B461" s="98"/>
      <c r="C461" s="103"/>
      <c r="D461" s="101"/>
      <c r="E461" s="113"/>
      <c r="F461" s="113"/>
      <c r="G461" s="89"/>
      <c r="H461" s="5" t="s">
        <v>714</v>
      </c>
      <c r="I461" s="8">
        <v>663</v>
      </c>
      <c r="J461" s="21">
        <v>7</v>
      </c>
      <c r="K461" s="16">
        <v>2</v>
      </c>
      <c r="L461" s="16">
        <v>91</v>
      </c>
      <c r="M461" s="96" t="s">
        <v>556</v>
      </c>
      <c r="N461" s="96" t="s">
        <v>576</v>
      </c>
      <c r="O461" s="96" t="s">
        <v>316</v>
      </c>
      <c r="P461" s="10">
        <v>610</v>
      </c>
      <c r="Q461" s="214">
        <v>34847.1</v>
      </c>
      <c r="R461" s="214">
        <v>34847.1</v>
      </c>
    </row>
    <row r="462" spans="1:18" ht="76.5" customHeight="1">
      <c r="A462" s="99"/>
      <c r="B462" s="98"/>
      <c r="C462" s="103"/>
      <c r="D462" s="101"/>
      <c r="E462" s="113"/>
      <c r="F462" s="113"/>
      <c r="G462" s="89"/>
      <c r="H462" s="20" t="s">
        <v>221</v>
      </c>
      <c r="I462" s="8">
        <v>663</v>
      </c>
      <c r="J462" s="21">
        <v>7</v>
      </c>
      <c r="K462" s="16">
        <v>2</v>
      </c>
      <c r="L462" s="16">
        <v>91</v>
      </c>
      <c r="M462" s="96" t="s">
        <v>556</v>
      </c>
      <c r="N462" s="96" t="s">
        <v>576</v>
      </c>
      <c r="O462" s="96" t="s">
        <v>220</v>
      </c>
      <c r="P462" s="10"/>
      <c r="Q462" s="214">
        <f>Q463</f>
        <v>9343.2</v>
      </c>
      <c r="R462" s="214">
        <f>R463</f>
        <v>9343.2</v>
      </c>
    </row>
    <row r="463" spans="1:18" ht="33" customHeight="1">
      <c r="A463" s="99"/>
      <c r="B463" s="98"/>
      <c r="C463" s="103"/>
      <c r="D463" s="101"/>
      <c r="E463" s="113"/>
      <c r="F463" s="113"/>
      <c r="G463" s="89"/>
      <c r="H463" s="20" t="s">
        <v>714</v>
      </c>
      <c r="I463" s="8">
        <v>663</v>
      </c>
      <c r="J463" s="21">
        <v>7</v>
      </c>
      <c r="K463" s="16">
        <v>2</v>
      </c>
      <c r="L463" s="16">
        <v>91</v>
      </c>
      <c r="M463" s="96" t="s">
        <v>556</v>
      </c>
      <c r="N463" s="96" t="s">
        <v>576</v>
      </c>
      <c r="O463" s="96" t="s">
        <v>220</v>
      </c>
      <c r="P463" s="10">
        <v>610</v>
      </c>
      <c r="Q463" s="214">
        <v>9343.2</v>
      </c>
      <c r="R463" s="214">
        <v>9343.2</v>
      </c>
    </row>
    <row r="464" spans="1:18" ht="33" customHeight="1">
      <c r="A464" s="99"/>
      <c r="B464" s="98"/>
      <c r="C464" s="103"/>
      <c r="D464" s="101"/>
      <c r="E464" s="113"/>
      <c r="F464" s="113"/>
      <c r="G464" s="89"/>
      <c r="H464" s="20" t="s">
        <v>61</v>
      </c>
      <c r="I464" s="8">
        <v>663</v>
      </c>
      <c r="J464" s="21">
        <v>7</v>
      </c>
      <c r="K464" s="16">
        <v>2</v>
      </c>
      <c r="L464" s="16">
        <v>91</v>
      </c>
      <c r="M464" s="96" t="s">
        <v>556</v>
      </c>
      <c r="N464" s="96" t="s">
        <v>576</v>
      </c>
      <c r="O464" s="96" t="s">
        <v>60</v>
      </c>
      <c r="P464" s="10"/>
      <c r="Q464" s="214">
        <f>Q465</f>
        <v>7879.7</v>
      </c>
      <c r="R464" s="214">
        <f>R465</f>
        <v>7879.7</v>
      </c>
    </row>
    <row r="465" spans="1:18" ht="33" customHeight="1">
      <c r="A465" s="99"/>
      <c r="B465" s="98"/>
      <c r="C465" s="103"/>
      <c r="D465" s="101"/>
      <c r="E465" s="113"/>
      <c r="F465" s="113"/>
      <c r="G465" s="89"/>
      <c r="H465" s="20" t="s">
        <v>714</v>
      </c>
      <c r="I465" s="8">
        <v>663</v>
      </c>
      <c r="J465" s="21">
        <v>7</v>
      </c>
      <c r="K465" s="16">
        <v>2</v>
      </c>
      <c r="L465" s="16">
        <v>91</v>
      </c>
      <c r="M465" s="96" t="s">
        <v>556</v>
      </c>
      <c r="N465" s="96" t="s">
        <v>576</v>
      </c>
      <c r="O465" s="96" t="s">
        <v>60</v>
      </c>
      <c r="P465" s="10">
        <v>610</v>
      </c>
      <c r="Q465" s="214">
        <v>7879.7</v>
      </c>
      <c r="R465" s="214">
        <v>7879.7</v>
      </c>
    </row>
    <row r="466" spans="1:18" ht="33" customHeight="1">
      <c r="A466" s="99"/>
      <c r="B466" s="98"/>
      <c r="C466" s="103"/>
      <c r="D466" s="101"/>
      <c r="E466" s="113"/>
      <c r="F466" s="113"/>
      <c r="G466" s="89"/>
      <c r="H466" s="5" t="s">
        <v>326</v>
      </c>
      <c r="I466" s="8">
        <v>663</v>
      </c>
      <c r="J466" s="21">
        <v>7</v>
      </c>
      <c r="K466" s="16">
        <v>2</v>
      </c>
      <c r="L466" s="16">
        <v>91</v>
      </c>
      <c r="M466" s="96" t="s">
        <v>556</v>
      </c>
      <c r="N466" s="96" t="s">
        <v>576</v>
      </c>
      <c r="O466" s="96" t="s">
        <v>325</v>
      </c>
      <c r="P466" s="10"/>
      <c r="Q466" s="214">
        <f>Q467</f>
        <v>106011.4</v>
      </c>
      <c r="R466" s="214">
        <f>R467</f>
        <v>112281.4</v>
      </c>
    </row>
    <row r="467" spans="1:18" ht="33" customHeight="1">
      <c r="A467" s="99"/>
      <c r="B467" s="98"/>
      <c r="C467" s="103"/>
      <c r="D467" s="101"/>
      <c r="E467" s="113"/>
      <c r="F467" s="113"/>
      <c r="G467" s="89"/>
      <c r="H467" s="5" t="s">
        <v>714</v>
      </c>
      <c r="I467" s="8">
        <v>663</v>
      </c>
      <c r="J467" s="21">
        <v>7</v>
      </c>
      <c r="K467" s="16">
        <v>2</v>
      </c>
      <c r="L467" s="16">
        <v>91</v>
      </c>
      <c r="M467" s="96" t="s">
        <v>556</v>
      </c>
      <c r="N467" s="96" t="s">
        <v>576</v>
      </c>
      <c r="O467" s="96" t="s">
        <v>325</v>
      </c>
      <c r="P467" s="10">
        <v>610</v>
      </c>
      <c r="Q467" s="214">
        <v>106011.4</v>
      </c>
      <c r="R467" s="214">
        <v>112281.4</v>
      </c>
    </row>
    <row r="468" spans="1:18" s="179" customFormat="1" ht="25.5" customHeight="1">
      <c r="A468" s="142"/>
      <c r="B468" s="143"/>
      <c r="C468" s="153"/>
      <c r="D468" s="150"/>
      <c r="E468" s="154"/>
      <c r="F468" s="154"/>
      <c r="G468" s="136"/>
      <c r="H468" s="149" t="s">
        <v>340</v>
      </c>
      <c r="I468" s="152">
        <v>663</v>
      </c>
      <c r="J468" s="156">
        <v>7</v>
      </c>
      <c r="K468" s="139">
        <v>3</v>
      </c>
      <c r="L468" s="139"/>
      <c r="M468" s="141"/>
      <c r="N468" s="141"/>
      <c r="O468" s="141"/>
      <c r="P468" s="138"/>
      <c r="Q468" s="213">
        <f>Q469+Q473</f>
        <v>4805.6</v>
      </c>
      <c r="R468" s="213">
        <f>R469+R473</f>
        <v>4805.6</v>
      </c>
    </row>
    <row r="469" spans="1:18" ht="30.75" customHeight="1" hidden="1">
      <c r="A469" s="97"/>
      <c r="B469" s="98"/>
      <c r="C469" s="103"/>
      <c r="D469" s="101"/>
      <c r="E469" s="113"/>
      <c r="F469" s="113"/>
      <c r="G469" s="89"/>
      <c r="H469" s="5" t="s">
        <v>264</v>
      </c>
      <c r="I469" s="8">
        <v>663</v>
      </c>
      <c r="J469" s="21">
        <v>7</v>
      </c>
      <c r="K469" s="16">
        <v>3</v>
      </c>
      <c r="L469" s="16">
        <v>6</v>
      </c>
      <c r="M469" s="96" t="s">
        <v>556</v>
      </c>
      <c r="N469" s="96" t="s">
        <v>576</v>
      </c>
      <c r="O469" s="96" t="s">
        <v>613</v>
      </c>
      <c r="P469" s="10"/>
      <c r="Q469" s="214"/>
      <c r="R469" s="214"/>
    </row>
    <row r="470" spans="1:18" ht="25.5" customHeight="1" hidden="1">
      <c r="A470" s="99"/>
      <c r="B470" s="98"/>
      <c r="C470" s="103"/>
      <c r="D470" s="101"/>
      <c r="E470" s="113"/>
      <c r="F470" s="113"/>
      <c r="G470" s="89"/>
      <c r="H470" s="5" t="s">
        <v>784</v>
      </c>
      <c r="I470" s="8">
        <v>663</v>
      </c>
      <c r="J470" s="21">
        <v>7</v>
      </c>
      <c r="K470" s="16">
        <v>3</v>
      </c>
      <c r="L470" s="16">
        <v>6</v>
      </c>
      <c r="M470" s="96" t="s">
        <v>556</v>
      </c>
      <c r="N470" s="96" t="s">
        <v>586</v>
      </c>
      <c r="O470" s="96" t="s">
        <v>613</v>
      </c>
      <c r="P470" s="10"/>
      <c r="Q470" s="214"/>
      <c r="R470" s="214"/>
    </row>
    <row r="471" spans="1:18" ht="25.5" customHeight="1" hidden="1">
      <c r="A471" s="99"/>
      <c r="B471" s="98"/>
      <c r="C471" s="103"/>
      <c r="D471" s="101"/>
      <c r="E471" s="113"/>
      <c r="F471" s="113"/>
      <c r="G471" s="89"/>
      <c r="H471" s="5" t="s">
        <v>328</v>
      </c>
      <c r="I471" s="8">
        <v>663</v>
      </c>
      <c r="J471" s="21">
        <v>7</v>
      </c>
      <c r="K471" s="16">
        <v>3</v>
      </c>
      <c r="L471" s="16">
        <v>6</v>
      </c>
      <c r="M471" s="96" t="s">
        <v>556</v>
      </c>
      <c r="N471" s="96" t="s">
        <v>586</v>
      </c>
      <c r="O471" s="96" t="s">
        <v>263</v>
      </c>
      <c r="P471" s="10"/>
      <c r="Q471" s="214"/>
      <c r="R471" s="214"/>
    </row>
    <row r="472" spans="1:18" ht="25.5" customHeight="1" hidden="1">
      <c r="A472" s="99"/>
      <c r="B472" s="98"/>
      <c r="C472" s="103"/>
      <c r="D472" s="101"/>
      <c r="E472" s="113"/>
      <c r="F472" s="113"/>
      <c r="G472" s="89"/>
      <c r="H472" s="5" t="s">
        <v>714</v>
      </c>
      <c r="I472" s="8">
        <v>663</v>
      </c>
      <c r="J472" s="21">
        <v>7</v>
      </c>
      <c r="K472" s="16">
        <v>3</v>
      </c>
      <c r="L472" s="16">
        <v>6</v>
      </c>
      <c r="M472" s="96" t="s">
        <v>556</v>
      </c>
      <c r="N472" s="96" t="s">
        <v>586</v>
      </c>
      <c r="O472" s="96" t="s">
        <v>263</v>
      </c>
      <c r="P472" s="10">
        <v>610</v>
      </c>
      <c r="Q472" s="214"/>
      <c r="R472" s="214"/>
    </row>
    <row r="473" spans="1:18" ht="26.25" customHeight="1">
      <c r="A473" s="99"/>
      <c r="B473" s="98"/>
      <c r="C473" s="103"/>
      <c r="D473" s="101"/>
      <c r="E473" s="113"/>
      <c r="F473" s="113"/>
      <c r="G473" s="89"/>
      <c r="H473" s="5" t="s">
        <v>292</v>
      </c>
      <c r="I473" s="8">
        <v>663</v>
      </c>
      <c r="J473" s="21">
        <v>7</v>
      </c>
      <c r="K473" s="16">
        <v>3</v>
      </c>
      <c r="L473" s="16">
        <v>91</v>
      </c>
      <c r="M473" s="96" t="s">
        <v>556</v>
      </c>
      <c r="N473" s="96" t="s">
        <v>576</v>
      </c>
      <c r="O473" s="96" t="s">
        <v>613</v>
      </c>
      <c r="P473" s="10"/>
      <c r="Q473" s="214">
        <f>Q474+Q476</f>
        <v>4805.6</v>
      </c>
      <c r="R473" s="214">
        <f>R474+R476</f>
        <v>4805.6</v>
      </c>
    </row>
    <row r="474" spans="1:18" ht="27" customHeight="1">
      <c r="A474" s="99"/>
      <c r="B474" s="98"/>
      <c r="C474" s="103"/>
      <c r="D474" s="101"/>
      <c r="E474" s="113"/>
      <c r="F474" s="113"/>
      <c r="G474" s="89"/>
      <c r="H474" s="5" t="s">
        <v>328</v>
      </c>
      <c r="I474" s="8">
        <v>663</v>
      </c>
      <c r="J474" s="21">
        <v>7</v>
      </c>
      <c r="K474" s="16">
        <v>3</v>
      </c>
      <c r="L474" s="16">
        <v>91</v>
      </c>
      <c r="M474" s="96" t="s">
        <v>556</v>
      </c>
      <c r="N474" s="96" t="s">
        <v>576</v>
      </c>
      <c r="O474" s="96" t="s">
        <v>263</v>
      </c>
      <c r="P474" s="10"/>
      <c r="Q474" s="214">
        <f>Q475</f>
        <v>3680.3</v>
      </c>
      <c r="R474" s="214">
        <f>R475</f>
        <v>3434.9</v>
      </c>
    </row>
    <row r="475" spans="1:18" ht="21" customHeight="1">
      <c r="A475" s="99"/>
      <c r="B475" s="98"/>
      <c r="C475" s="103"/>
      <c r="D475" s="101"/>
      <c r="E475" s="113"/>
      <c r="F475" s="113"/>
      <c r="G475" s="89"/>
      <c r="H475" s="5" t="s">
        <v>714</v>
      </c>
      <c r="I475" s="8">
        <v>663</v>
      </c>
      <c r="J475" s="21">
        <v>7</v>
      </c>
      <c r="K475" s="16">
        <v>3</v>
      </c>
      <c r="L475" s="16">
        <v>91</v>
      </c>
      <c r="M475" s="96" t="s">
        <v>556</v>
      </c>
      <c r="N475" s="96" t="s">
        <v>576</v>
      </c>
      <c r="O475" s="96" t="s">
        <v>263</v>
      </c>
      <c r="P475" s="10">
        <v>610</v>
      </c>
      <c r="Q475" s="214">
        <v>3680.3</v>
      </c>
      <c r="R475" s="216">
        <v>3434.9</v>
      </c>
    </row>
    <row r="476" spans="1:18" ht="33.75" customHeight="1">
      <c r="A476" s="99"/>
      <c r="B476" s="98"/>
      <c r="C476" s="103"/>
      <c r="D476" s="101"/>
      <c r="E476" s="113"/>
      <c r="F476" s="113"/>
      <c r="G476" s="89"/>
      <c r="H476" s="5" t="s">
        <v>61</v>
      </c>
      <c r="I476" s="8">
        <v>663</v>
      </c>
      <c r="J476" s="21">
        <v>7</v>
      </c>
      <c r="K476" s="16">
        <v>3</v>
      </c>
      <c r="L476" s="16">
        <v>91</v>
      </c>
      <c r="M476" s="96" t="s">
        <v>556</v>
      </c>
      <c r="N476" s="96" t="s">
        <v>576</v>
      </c>
      <c r="O476" s="96" t="s">
        <v>60</v>
      </c>
      <c r="P476" s="10"/>
      <c r="Q476" s="214">
        <f>Q477</f>
        <v>1125.3</v>
      </c>
      <c r="R476" s="216">
        <f>R477</f>
        <v>1370.7</v>
      </c>
    </row>
    <row r="477" spans="1:18" ht="21" customHeight="1">
      <c r="A477" s="99"/>
      <c r="B477" s="98"/>
      <c r="C477" s="103"/>
      <c r="D477" s="101"/>
      <c r="E477" s="113"/>
      <c r="F477" s="113"/>
      <c r="G477" s="89"/>
      <c r="H477" s="5" t="s">
        <v>714</v>
      </c>
      <c r="I477" s="8">
        <v>663</v>
      </c>
      <c r="J477" s="21">
        <v>7</v>
      </c>
      <c r="K477" s="16">
        <v>3</v>
      </c>
      <c r="L477" s="16">
        <v>91</v>
      </c>
      <c r="M477" s="96" t="s">
        <v>556</v>
      </c>
      <c r="N477" s="96" t="s">
        <v>576</v>
      </c>
      <c r="O477" s="96" t="s">
        <v>60</v>
      </c>
      <c r="P477" s="10">
        <v>610</v>
      </c>
      <c r="Q477" s="214">
        <v>1125.3</v>
      </c>
      <c r="R477" s="216">
        <v>1370.7</v>
      </c>
    </row>
    <row r="478" spans="1:18" s="179" customFormat="1" ht="24.75" customHeight="1">
      <c r="A478" s="142"/>
      <c r="B478" s="143"/>
      <c r="C478" s="153"/>
      <c r="D478" s="150"/>
      <c r="E478" s="154"/>
      <c r="F478" s="154"/>
      <c r="G478" s="136"/>
      <c r="H478" s="149" t="s">
        <v>536</v>
      </c>
      <c r="I478" s="152">
        <v>663</v>
      </c>
      <c r="J478" s="156">
        <v>7</v>
      </c>
      <c r="K478" s="139">
        <v>9</v>
      </c>
      <c r="L478" s="140"/>
      <c r="M478" s="141"/>
      <c r="N478" s="141"/>
      <c r="O478" s="141"/>
      <c r="P478" s="146"/>
      <c r="Q478" s="217">
        <f>Q479+Q510+Q521</f>
        <v>19980.300000000003</v>
      </c>
      <c r="R478" s="217">
        <f>R479+R510+R521</f>
        <v>31111.500000000004</v>
      </c>
    </row>
    <row r="479" spans="1:18" ht="30.75" customHeight="1" hidden="1">
      <c r="A479" s="99"/>
      <c r="B479" s="98"/>
      <c r="C479" s="103"/>
      <c r="D479" s="101"/>
      <c r="E479" s="104"/>
      <c r="F479" s="104"/>
      <c r="G479" s="89"/>
      <c r="H479" s="253" t="s">
        <v>264</v>
      </c>
      <c r="I479" s="10">
        <v>663</v>
      </c>
      <c r="J479" s="16">
        <v>7</v>
      </c>
      <c r="K479" s="16">
        <v>9</v>
      </c>
      <c r="L479" s="95" t="s">
        <v>588</v>
      </c>
      <c r="M479" s="96" t="s">
        <v>556</v>
      </c>
      <c r="N479" s="96" t="s">
        <v>576</v>
      </c>
      <c r="O479" s="96" t="s">
        <v>613</v>
      </c>
      <c r="P479" s="10"/>
      <c r="Q479" s="214"/>
      <c r="R479" s="214"/>
    </row>
    <row r="480" spans="1:18" ht="32.25" customHeight="1" hidden="1">
      <c r="A480" s="99"/>
      <c r="B480" s="98"/>
      <c r="C480" s="103"/>
      <c r="D480" s="101"/>
      <c r="E480" s="104"/>
      <c r="F480" s="104"/>
      <c r="G480" s="89"/>
      <c r="H480" s="254" t="s">
        <v>649</v>
      </c>
      <c r="I480" s="10">
        <v>663</v>
      </c>
      <c r="J480" s="16">
        <v>7</v>
      </c>
      <c r="K480" s="16">
        <v>9</v>
      </c>
      <c r="L480" s="95" t="s">
        <v>588</v>
      </c>
      <c r="M480" s="96" t="s">
        <v>556</v>
      </c>
      <c r="N480" s="96" t="s">
        <v>557</v>
      </c>
      <c r="O480" s="96" t="s">
        <v>613</v>
      </c>
      <c r="P480" s="10" t="s">
        <v>614</v>
      </c>
      <c r="Q480" s="214"/>
      <c r="R480" s="214"/>
    </row>
    <row r="481" spans="1:18" ht="32.25" customHeight="1" hidden="1">
      <c r="A481" s="99"/>
      <c r="B481" s="98"/>
      <c r="C481" s="103"/>
      <c r="D481" s="101"/>
      <c r="E481" s="104"/>
      <c r="F481" s="104"/>
      <c r="G481" s="89"/>
      <c r="H481" s="258" t="s">
        <v>335</v>
      </c>
      <c r="I481" s="10">
        <v>663</v>
      </c>
      <c r="J481" s="16">
        <v>7</v>
      </c>
      <c r="K481" s="16">
        <v>9</v>
      </c>
      <c r="L481" s="95" t="s">
        <v>588</v>
      </c>
      <c r="M481" s="96" t="s">
        <v>556</v>
      </c>
      <c r="N481" s="96" t="s">
        <v>557</v>
      </c>
      <c r="O481" s="96" t="s">
        <v>641</v>
      </c>
      <c r="P481" s="10"/>
      <c r="Q481" s="214"/>
      <c r="R481" s="214"/>
    </row>
    <row r="482" spans="1:18" ht="32.25" customHeight="1" hidden="1">
      <c r="A482" s="99"/>
      <c r="B482" s="98"/>
      <c r="C482" s="103"/>
      <c r="D482" s="101"/>
      <c r="E482" s="104"/>
      <c r="F482" s="104"/>
      <c r="G482" s="89"/>
      <c r="H482" s="258" t="s">
        <v>712</v>
      </c>
      <c r="I482" s="10">
        <v>663</v>
      </c>
      <c r="J482" s="16">
        <v>7</v>
      </c>
      <c r="K482" s="16">
        <v>9</v>
      </c>
      <c r="L482" s="95" t="s">
        <v>588</v>
      </c>
      <c r="M482" s="96" t="s">
        <v>556</v>
      </c>
      <c r="N482" s="96" t="s">
        <v>557</v>
      </c>
      <c r="O482" s="96" t="s">
        <v>641</v>
      </c>
      <c r="P482" s="10">
        <v>240</v>
      </c>
      <c r="Q482" s="214"/>
      <c r="R482" s="214"/>
    </row>
    <row r="483" spans="1:18" ht="39" customHeight="1" hidden="1">
      <c r="A483" s="99"/>
      <c r="B483" s="98"/>
      <c r="C483" s="103"/>
      <c r="D483" s="101"/>
      <c r="E483" s="104"/>
      <c r="F483" s="104"/>
      <c r="G483" s="89"/>
      <c r="H483" s="22" t="s">
        <v>323</v>
      </c>
      <c r="I483" s="10">
        <v>663</v>
      </c>
      <c r="J483" s="16">
        <v>7</v>
      </c>
      <c r="K483" s="16">
        <v>9</v>
      </c>
      <c r="L483" s="95" t="s">
        <v>588</v>
      </c>
      <c r="M483" s="96" t="s">
        <v>556</v>
      </c>
      <c r="N483" s="96" t="s">
        <v>557</v>
      </c>
      <c r="O483" s="96" t="s">
        <v>322</v>
      </c>
      <c r="P483" s="10"/>
      <c r="Q483" s="214"/>
      <c r="R483" s="214"/>
    </row>
    <row r="484" spans="1:18" ht="33" customHeight="1" hidden="1">
      <c r="A484" s="99"/>
      <c r="B484" s="98"/>
      <c r="C484" s="103"/>
      <c r="D484" s="101"/>
      <c r="E484" s="104"/>
      <c r="F484" s="104"/>
      <c r="G484" s="89"/>
      <c r="H484" s="5" t="s">
        <v>714</v>
      </c>
      <c r="I484" s="10">
        <v>663</v>
      </c>
      <c r="J484" s="16">
        <v>7</v>
      </c>
      <c r="K484" s="16">
        <v>9</v>
      </c>
      <c r="L484" s="95" t="s">
        <v>588</v>
      </c>
      <c r="M484" s="96" t="s">
        <v>556</v>
      </c>
      <c r="N484" s="96" t="s">
        <v>557</v>
      </c>
      <c r="O484" s="96" t="s">
        <v>322</v>
      </c>
      <c r="P484" s="10">
        <v>610</v>
      </c>
      <c r="Q484" s="214"/>
      <c r="R484" s="214"/>
    </row>
    <row r="485" spans="1:18" ht="29.25" customHeight="1" hidden="1">
      <c r="A485" s="99"/>
      <c r="B485" s="98"/>
      <c r="C485" s="103"/>
      <c r="D485" s="101"/>
      <c r="E485" s="104"/>
      <c r="F485" s="104"/>
      <c r="G485" s="89"/>
      <c r="H485" s="18" t="s">
        <v>650</v>
      </c>
      <c r="I485" s="10">
        <v>663</v>
      </c>
      <c r="J485" s="16">
        <v>7</v>
      </c>
      <c r="K485" s="16">
        <v>9</v>
      </c>
      <c r="L485" s="95" t="s">
        <v>588</v>
      </c>
      <c r="M485" s="96" t="s">
        <v>556</v>
      </c>
      <c r="N485" s="96" t="s">
        <v>585</v>
      </c>
      <c r="O485" s="96" t="s">
        <v>613</v>
      </c>
      <c r="P485" s="10" t="s">
        <v>614</v>
      </c>
      <c r="Q485" s="214"/>
      <c r="R485" s="214"/>
    </row>
    <row r="486" spans="1:18" ht="29.25" customHeight="1" hidden="1">
      <c r="A486" s="99"/>
      <c r="B486" s="98"/>
      <c r="C486" s="103"/>
      <c r="D486" s="101"/>
      <c r="E486" s="104"/>
      <c r="F486" s="104"/>
      <c r="G486" s="89"/>
      <c r="H486" s="22" t="s">
        <v>335</v>
      </c>
      <c r="I486" s="10">
        <v>663</v>
      </c>
      <c r="J486" s="16">
        <v>7</v>
      </c>
      <c r="K486" s="16">
        <v>9</v>
      </c>
      <c r="L486" s="95" t="s">
        <v>588</v>
      </c>
      <c r="M486" s="96" t="s">
        <v>556</v>
      </c>
      <c r="N486" s="96" t="s">
        <v>585</v>
      </c>
      <c r="O486" s="96" t="s">
        <v>641</v>
      </c>
      <c r="P486" s="10"/>
      <c r="Q486" s="214"/>
      <c r="R486" s="214"/>
    </row>
    <row r="487" spans="1:18" ht="29.25" customHeight="1" hidden="1">
      <c r="A487" s="99"/>
      <c r="B487" s="98"/>
      <c r="C487" s="103"/>
      <c r="D487" s="101"/>
      <c r="E487" s="104"/>
      <c r="F487" s="104"/>
      <c r="G487" s="89"/>
      <c r="H487" s="22" t="s">
        <v>712</v>
      </c>
      <c r="I487" s="10">
        <v>663</v>
      </c>
      <c r="J487" s="16">
        <v>7</v>
      </c>
      <c r="K487" s="16">
        <v>9</v>
      </c>
      <c r="L487" s="95" t="s">
        <v>588</v>
      </c>
      <c r="M487" s="96" t="s">
        <v>556</v>
      </c>
      <c r="N487" s="96" t="s">
        <v>585</v>
      </c>
      <c r="O487" s="96" t="s">
        <v>641</v>
      </c>
      <c r="P487" s="10">
        <v>240</v>
      </c>
      <c r="Q487" s="214"/>
      <c r="R487" s="214"/>
    </row>
    <row r="488" spans="1:18" ht="39" customHeight="1" hidden="1">
      <c r="A488" s="99"/>
      <c r="B488" s="98"/>
      <c r="C488" s="103"/>
      <c r="D488" s="101"/>
      <c r="E488" s="104"/>
      <c r="F488" s="104"/>
      <c r="G488" s="89"/>
      <c r="H488" s="22" t="s">
        <v>323</v>
      </c>
      <c r="I488" s="10">
        <v>663</v>
      </c>
      <c r="J488" s="16">
        <v>7</v>
      </c>
      <c r="K488" s="16">
        <v>9</v>
      </c>
      <c r="L488" s="95" t="s">
        <v>588</v>
      </c>
      <c r="M488" s="96" t="s">
        <v>556</v>
      </c>
      <c r="N488" s="96" t="s">
        <v>585</v>
      </c>
      <c r="O488" s="96" t="s">
        <v>322</v>
      </c>
      <c r="P488" s="10"/>
      <c r="Q488" s="214"/>
      <c r="R488" s="214"/>
    </row>
    <row r="489" spans="1:18" ht="33" customHeight="1" hidden="1">
      <c r="A489" s="99"/>
      <c r="B489" s="98"/>
      <c r="C489" s="103"/>
      <c r="D489" s="101"/>
      <c r="E489" s="104"/>
      <c r="F489" s="104"/>
      <c r="G489" s="89"/>
      <c r="H489" s="22" t="s">
        <v>717</v>
      </c>
      <c r="I489" s="10">
        <v>663</v>
      </c>
      <c r="J489" s="16">
        <v>7</v>
      </c>
      <c r="K489" s="16">
        <v>9</v>
      </c>
      <c r="L489" s="95" t="s">
        <v>588</v>
      </c>
      <c r="M489" s="96" t="s">
        <v>556</v>
      </c>
      <c r="N489" s="96" t="s">
        <v>585</v>
      </c>
      <c r="O489" s="96" t="s">
        <v>322</v>
      </c>
      <c r="P489" s="10">
        <v>320</v>
      </c>
      <c r="Q489" s="214"/>
      <c r="R489" s="214"/>
    </row>
    <row r="490" spans="1:18" ht="33" customHeight="1" hidden="1">
      <c r="A490" s="99"/>
      <c r="B490" s="98"/>
      <c r="C490" s="103"/>
      <c r="D490" s="101"/>
      <c r="E490" s="104"/>
      <c r="F490" s="104"/>
      <c r="G490" s="89"/>
      <c r="H490" s="5" t="s">
        <v>714</v>
      </c>
      <c r="I490" s="10">
        <v>663</v>
      </c>
      <c r="J490" s="16">
        <v>7</v>
      </c>
      <c r="K490" s="16">
        <v>9</v>
      </c>
      <c r="L490" s="95" t="s">
        <v>588</v>
      </c>
      <c r="M490" s="96" t="s">
        <v>556</v>
      </c>
      <c r="N490" s="96" t="s">
        <v>585</v>
      </c>
      <c r="O490" s="96" t="s">
        <v>322</v>
      </c>
      <c r="P490" s="10">
        <v>610</v>
      </c>
      <c r="Q490" s="214"/>
      <c r="R490" s="214"/>
    </row>
    <row r="491" spans="1:18" ht="27" customHeight="1" hidden="1">
      <c r="A491" s="99"/>
      <c r="B491" s="98"/>
      <c r="C491" s="103"/>
      <c r="D491" s="101"/>
      <c r="E491" s="104"/>
      <c r="F491" s="104"/>
      <c r="G491" s="89"/>
      <c r="H491" s="11" t="s">
        <v>784</v>
      </c>
      <c r="I491" s="10">
        <v>663</v>
      </c>
      <c r="J491" s="16">
        <v>7</v>
      </c>
      <c r="K491" s="16">
        <v>9</v>
      </c>
      <c r="L491" s="95" t="s">
        <v>588</v>
      </c>
      <c r="M491" s="96" t="s">
        <v>556</v>
      </c>
      <c r="N491" s="96" t="s">
        <v>586</v>
      </c>
      <c r="O491" s="96" t="s">
        <v>613</v>
      </c>
      <c r="P491" s="10"/>
      <c r="Q491" s="214"/>
      <c r="R491" s="214"/>
    </row>
    <row r="492" spans="1:18" ht="18" customHeight="1" hidden="1">
      <c r="A492" s="99"/>
      <c r="B492" s="98"/>
      <c r="C492" s="103"/>
      <c r="D492" s="101"/>
      <c r="E492" s="104"/>
      <c r="F492" s="104"/>
      <c r="G492" s="89"/>
      <c r="H492" s="11" t="s">
        <v>335</v>
      </c>
      <c r="I492" s="10">
        <v>663</v>
      </c>
      <c r="J492" s="16">
        <v>7</v>
      </c>
      <c r="K492" s="16">
        <v>9</v>
      </c>
      <c r="L492" s="95" t="s">
        <v>588</v>
      </c>
      <c r="M492" s="96" t="s">
        <v>556</v>
      </c>
      <c r="N492" s="96" t="s">
        <v>586</v>
      </c>
      <c r="O492" s="96" t="s">
        <v>641</v>
      </c>
      <c r="P492" s="10"/>
      <c r="Q492" s="214"/>
      <c r="R492" s="214"/>
    </row>
    <row r="493" spans="1:18" ht="24.75" customHeight="1" hidden="1">
      <c r="A493" s="99"/>
      <c r="B493" s="98"/>
      <c r="C493" s="103"/>
      <c r="D493" s="101"/>
      <c r="E493" s="104"/>
      <c r="F493" s="104"/>
      <c r="G493" s="89"/>
      <c r="H493" s="11" t="s">
        <v>712</v>
      </c>
      <c r="I493" s="10">
        <v>663</v>
      </c>
      <c r="J493" s="16">
        <v>7</v>
      </c>
      <c r="K493" s="16">
        <v>9</v>
      </c>
      <c r="L493" s="95" t="s">
        <v>588</v>
      </c>
      <c r="M493" s="96" t="s">
        <v>556</v>
      </c>
      <c r="N493" s="96" t="s">
        <v>586</v>
      </c>
      <c r="O493" s="96" t="s">
        <v>641</v>
      </c>
      <c r="P493" s="10">
        <v>240</v>
      </c>
      <c r="Q493" s="214"/>
      <c r="R493" s="214"/>
    </row>
    <row r="494" spans="1:18" ht="39" customHeight="1" hidden="1">
      <c r="A494" s="99"/>
      <c r="B494" s="98"/>
      <c r="C494" s="103"/>
      <c r="D494" s="101"/>
      <c r="E494" s="104"/>
      <c r="F494" s="104"/>
      <c r="G494" s="89"/>
      <c r="H494" s="11" t="s">
        <v>320</v>
      </c>
      <c r="I494" s="10">
        <v>663</v>
      </c>
      <c r="J494" s="16">
        <v>7</v>
      </c>
      <c r="K494" s="16">
        <v>9</v>
      </c>
      <c r="L494" s="95" t="s">
        <v>588</v>
      </c>
      <c r="M494" s="96" t="s">
        <v>556</v>
      </c>
      <c r="N494" s="96" t="s">
        <v>586</v>
      </c>
      <c r="O494" s="96" t="s">
        <v>293</v>
      </c>
      <c r="P494" s="10"/>
      <c r="Q494" s="214"/>
      <c r="R494" s="214"/>
    </row>
    <row r="495" spans="1:18" ht="24.75" customHeight="1" hidden="1">
      <c r="A495" s="99"/>
      <c r="B495" s="98"/>
      <c r="C495" s="103"/>
      <c r="D495" s="101"/>
      <c r="E495" s="104"/>
      <c r="F495" s="104"/>
      <c r="G495" s="89"/>
      <c r="H495" s="11" t="s">
        <v>712</v>
      </c>
      <c r="I495" s="10">
        <v>663</v>
      </c>
      <c r="J495" s="16">
        <v>7</v>
      </c>
      <c r="K495" s="16">
        <v>9</v>
      </c>
      <c r="L495" s="95" t="s">
        <v>588</v>
      </c>
      <c r="M495" s="96" t="s">
        <v>556</v>
      </c>
      <c r="N495" s="96" t="s">
        <v>586</v>
      </c>
      <c r="O495" s="96" t="s">
        <v>293</v>
      </c>
      <c r="P495" s="10">
        <v>240</v>
      </c>
      <c r="Q495" s="214"/>
      <c r="R495" s="214"/>
    </row>
    <row r="496" spans="1:18" ht="28.5" customHeight="1" hidden="1">
      <c r="A496" s="99"/>
      <c r="B496" s="98"/>
      <c r="C496" s="103"/>
      <c r="D496" s="101"/>
      <c r="E496" s="104"/>
      <c r="F496" s="104"/>
      <c r="G496" s="89"/>
      <c r="H496" s="22" t="s">
        <v>651</v>
      </c>
      <c r="I496" s="10">
        <v>663</v>
      </c>
      <c r="J496" s="16">
        <v>7</v>
      </c>
      <c r="K496" s="16">
        <v>9</v>
      </c>
      <c r="L496" s="95" t="s">
        <v>588</v>
      </c>
      <c r="M496" s="96" t="s">
        <v>556</v>
      </c>
      <c r="N496" s="96" t="s">
        <v>581</v>
      </c>
      <c r="O496" s="96" t="s">
        <v>613</v>
      </c>
      <c r="P496" s="10"/>
      <c r="Q496" s="214"/>
      <c r="R496" s="214"/>
    </row>
    <row r="497" spans="1:18" ht="28.5" customHeight="1" hidden="1">
      <c r="A497" s="99"/>
      <c r="B497" s="98"/>
      <c r="C497" s="103"/>
      <c r="D497" s="101"/>
      <c r="E497" s="104"/>
      <c r="F497" s="104"/>
      <c r="G497" s="89"/>
      <c r="H497" s="22" t="s">
        <v>335</v>
      </c>
      <c r="I497" s="10">
        <v>663</v>
      </c>
      <c r="J497" s="16">
        <v>7</v>
      </c>
      <c r="K497" s="16">
        <v>9</v>
      </c>
      <c r="L497" s="95" t="s">
        <v>588</v>
      </c>
      <c r="M497" s="96" t="s">
        <v>556</v>
      </c>
      <c r="N497" s="96" t="s">
        <v>581</v>
      </c>
      <c r="O497" s="96" t="s">
        <v>641</v>
      </c>
      <c r="P497" s="10"/>
      <c r="Q497" s="214"/>
      <c r="R497" s="214"/>
    </row>
    <row r="498" spans="1:18" ht="28.5" customHeight="1" hidden="1">
      <c r="A498" s="99"/>
      <c r="B498" s="98"/>
      <c r="C498" s="103"/>
      <c r="D498" s="101"/>
      <c r="E498" s="104"/>
      <c r="F498" s="104"/>
      <c r="G498" s="89"/>
      <c r="H498" s="22" t="s">
        <v>712</v>
      </c>
      <c r="I498" s="10">
        <v>663</v>
      </c>
      <c r="J498" s="16">
        <v>7</v>
      </c>
      <c r="K498" s="16">
        <v>9</v>
      </c>
      <c r="L498" s="95" t="s">
        <v>588</v>
      </c>
      <c r="M498" s="96" t="s">
        <v>556</v>
      </c>
      <c r="N498" s="96" t="s">
        <v>581</v>
      </c>
      <c r="O498" s="96" t="s">
        <v>641</v>
      </c>
      <c r="P498" s="10">
        <v>240</v>
      </c>
      <c r="Q498" s="214"/>
      <c r="R498" s="214"/>
    </row>
    <row r="499" spans="1:18" ht="41.25" customHeight="1" hidden="1">
      <c r="A499" s="99"/>
      <c r="B499" s="98"/>
      <c r="C499" s="103"/>
      <c r="D499" s="101"/>
      <c r="E499" s="104"/>
      <c r="F499" s="104"/>
      <c r="G499" s="89"/>
      <c r="H499" s="22" t="s">
        <v>494</v>
      </c>
      <c r="I499" s="10">
        <v>663</v>
      </c>
      <c r="J499" s="16">
        <v>7</v>
      </c>
      <c r="K499" s="16">
        <v>9</v>
      </c>
      <c r="L499" s="95" t="s">
        <v>588</v>
      </c>
      <c r="M499" s="96" t="s">
        <v>556</v>
      </c>
      <c r="N499" s="96" t="s">
        <v>581</v>
      </c>
      <c r="O499" s="96" t="s">
        <v>293</v>
      </c>
      <c r="P499" s="10"/>
      <c r="Q499" s="214"/>
      <c r="R499" s="214"/>
    </row>
    <row r="500" spans="1:18" ht="30" customHeight="1" hidden="1">
      <c r="A500" s="99"/>
      <c r="B500" s="98"/>
      <c r="C500" s="103"/>
      <c r="D500" s="101"/>
      <c r="E500" s="104"/>
      <c r="F500" s="104"/>
      <c r="G500" s="89"/>
      <c r="H500" s="22" t="s">
        <v>712</v>
      </c>
      <c r="I500" s="10">
        <v>663</v>
      </c>
      <c r="J500" s="16">
        <v>7</v>
      </c>
      <c r="K500" s="16">
        <v>9</v>
      </c>
      <c r="L500" s="95" t="s">
        <v>588</v>
      </c>
      <c r="M500" s="96" t="s">
        <v>556</v>
      </c>
      <c r="N500" s="96" t="s">
        <v>581</v>
      </c>
      <c r="O500" s="96" t="s">
        <v>293</v>
      </c>
      <c r="P500" s="10">
        <v>240</v>
      </c>
      <c r="Q500" s="214"/>
      <c r="R500" s="214"/>
    </row>
    <row r="501" spans="1:18" ht="29.25" customHeight="1" hidden="1">
      <c r="A501" s="99"/>
      <c r="B501" s="98"/>
      <c r="C501" s="103"/>
      <c r="D501" s="101"/>
      <c r="E501" s="104"/>
      <c r="F501" s="104"/>
      <c r="G501" s="89"/>
      <c r="H501" s="22" t="s">
        <v>14</v>
      </c>
      <c r="I501" s="10">
        <v>663</v>
      </c>
      <c r="J501" s="16">
        <v>7</v>
      </c>
      <c r="K501" s="16">
        <v>9</v>
      </c>
      <c r="L501" s="95" t="s">
        <v>588</v>
      </c>
      <c r="M501" s="96" t="s">
        <v>556</v>
      </c>
      <c r="N501" s="96" t="s">
        <v>588</v>
      </c>
      <c r="O501" s="96" t="s">
        <v>613</v>
      </c>
      <c r="P501" s="10"/>
      <c r="Q501" s="214"/>
      <c r="R501" s="214"/>
    </row>
    <row r="502" spans="1:18" ht="27" customHeight="1" hidden="1">
      <c r="A502" s="99"/>
      <c r="B502" s="98"/>
      <c r="C502" s="103"/>
      <c r="D502" s="101"/>
      <c r="E502" s="104"/>
      <c r="F502" s="104"/>
      <c r="G502" s="89"/>
      <c r="H502" s="22" t="s">
        <v>335</v>
      </c>
      <c r="I502" s="10">
        <v>663</v>
      </c>
      <c r="J502" s="16">
        <v>7</v>
      </c>
      <c r="K502" s="16">
        <v>9</v>
      </c>
      <c r="L502" s="95" t="s">
        <v>588</v>
      </c>
      <c r="M502" s="96" t="s">
        <v>556</v>
      </c>
      <c r="N502" s="96" t="s">
        <v>588</v>
      </c>
      <c r="O502" s="96" t="s">
        <v>641</v>
      </c>
      <c r="P502" s="10"/>
      <c r="Q502" s="214"/>
      <c r="R502" s="214"/>
    </row>
    <row r="503" spans="1:18" ht="27" customHeight="1" hidden="1">
      <c r="A503" s="99"/>
      <c r="B503" s="98"/>
      <c r="C503" s="103"/>
      <c r="D503" s="101"/>
      <c r="E503" s="104"/>
      <c r="F503" s="104"/>
      <c r="G503" s="89"/>
      <c r="H503" s="22" t="s">
        <v>526</v>
      </c>
      <c r="I503" s="10">
        <v>663</v>
      </c>
      <c r="J503" s="16">
        <v>7</v>
      </c>
      <c r="K503" s="16">
        <v>9</v>
      </c>
      <c r="L503" s="95" t="s">
        <v>588</v>
      </c>
      <c r="M503" s="96" t="s">
        <v>556</v>
      </c>
      <c r="N503" s="96" t="s">
        <v>588</v>
      </c>
      <c r="O503" s="96" t="s">
        <v>641</v>
      </c>
      <c r="P503" s="10">
        <v>120</v>
      </c>
      <c r="Q503" s="214"/>
      <c r="R503" s="214"/>
    </row>
    <row r="504" spans="1:18" ht="26.25" customHeight="1" hidden="1">
      <c r="A504" s="99"/>
      <c r="B504" s="98"/>
      <c r="C504" s="103"/>
      <c r="D504" s="101"/>
      <c r="E504" s="104"/>
      <c r="F504" s="104"/>
      <c r="G504" s="89"/>
      <c r="H504" s="22" t="s">
        <v>712</v>
      </c>
      <c r="I504" s="10">
        <v>663</v>
      </c>
      <c r="J504" s="16">
        <v>7</v>
      </c>
      <c r="K504" s="16">
        <v>9</v>
      </c>
      <c r="L504" s="95" t="s">
        <v>588</v>
      </c>
      <c r="M504" s="96" t="s">
        <v>556</v>
      </c>
      <c r="N504" s="96" t="s">
        <v>588</v>
      </c>
      <c r="O504" s="96" t="s">
        <v>641</v>
      </c>
      <c r="P504" s="10">
        <v>240</v>
      </c>
      <c r="Q504" s="214"/>
      <c r="R504" s="214"/>
    </row>
    <row r="505" spans="1:18" ht="38.25" customHeight="1" hidden="1">
      <c r="A505" s="99"/>
      <c r="B505" s="98"/>
      <c r="C505" s="103"/>
      <c r="D505" s="101"/>
      <c r="E505" s="104"/>
      <c r="F505" s="104"/>
      <c r="G505" s="89"/>
      <c r="H505" s="259" t="s">
        <v>494</v>
      </c>
      <c r="I505" s="10">
        <v>663</v>
      </c>
      <c r="J505" s="16">
        <v>7</v>
      </c>
      <c r="K505" s="16">
        <v>9</v>
      </c>
      <c r="L505" s="95" t="s">
        <v>588</v>
      </c>
      <c r="M505" s="96" t="s">
        <v>556</v>
      </c>
      <c r="N505" s="96" t="s">
        <v>588</v>
      </c>
      <c r="O505" s="96" t="s">
        <v>293</v>
      </c>
      <c r="P505" s="10"/>
      <c r="Q505" s="214"/>
      <c r="R505" s="214"/>
    </row>
    <row r="506" spans="1:18" ht="27" customHeight="1" hidden="1">
      <c r="A506" s="99"/>
      <c r="B506" s="98"/>
      <c r="C506" s="103"/>
      <c r="D506" s="101"/>
      <c r="E506" s="104"/>
      <c r="F506" s="104"/>
      <c r="G506" s="89"/>
      <c r="H506" s="259" t="s">
        <v>715</v>
      </c>
      <c r="I506" s="10">
        <v>663</v>
      </c>
      <c r="J506" s="16">
        <v>7</v>
      </c>
      <c r="K506" s="16">
        <v>9</v>
      </c>
      <c r="L506" s="95" t="s">
        <v>588</v>
      </c>
      <c r="M506" s="96" t="s">
        <v>556</v>
      </c>
      <c r="N506" s="96" t="s">
        <v>588</v>
      </c>
      <c r="O506" s="96" t="s">
        <v>293</v>
      </c>
      <c r="P506" s="10">
        <v>110</v>
      </c>
      <c r="Q506" s="214"/>
      <c r="R506" s="214"/>
    </row>
    <row r="507" spans="1:18" ht="22.5" customHeight="1" hidden="1">
      <c r="A507" s="99"/>
      <c r="B507" s="98"/>
      <c r="C507" s="103"/>
      <c r="D507" s="101"/>
      <c r="E507" s="104"/>
      <c r="F507" s="104"/>
      <c r="G507" s="89"/>
      <c r="H507" s="259" t="s">
        <v>712</v>
      </c>
      <c r="I507" s="10">
        <v>663</v>
      </c>
      <c r="J507" s="16">
        <v>7</v>
      </c>
      <c r="K507" s="16">
        <v>9</v>
      </c>
      <c r="L507" s="95" t="s">
        <v>588</v>
      </c>
      <c r="M507" s="96" t="s">
        <v>556</v>
      </c>
      <c r="N507" s="96" t="s">
        <v>588</v>
      </c>
      <c r="O507" s="96" t="s">
        <v>293</v>
      </c>
      <c r="P507" s="10">
        <v>240</v>
      </c>
      <c r="Q507" s="214"/>
      <c r="R507" s="214"/>
    </row>
    <row r="508" spans="1:18" ht="49.5" customHeight="1" hidden="1">
      <c r="A508" s="99"/>
      <c r="B508" s="98"/>
      <c r="C508" s="103"/>
      <c r="D508" s="101"/>
      <c r="E508" s="104"/>
      <c r="F508" s="104"/>
      <c r="G508" s="89"/>
      <c r="H508" s="259" t="s">
        <v>684</v>
      </c>
      <c r="I508" s="10">
        <v>663</v>
      </c>
      <c r="J508" s="16">
        <v>7</v>
      </c>
      <c r="K508" s="16">
        <v>9</v>
      </c>
      <c r="L508" s="95" t="s">
        <v>588</v>
      </c>
      <c r="M508" s="96" t="s">
        <v>556</v>
      </c>
      <c r="N508" s="96" t="s">
        <v>682</v>
      </c>
      <c r="O508" s="96" t="s">
        <v>683</v>
      </c>
      <c r="P508" s="10"/>
      <c r="Q508" s="214"/>
      <c r="R508" s="214"/>
    </row>
    <row r="509" spans="1:18" ht="22.5" customHeight="1" hidden="1">
      <c r="A509" s="99"/>
      <c r="B509" s="98"/>
      <c r="C509" s="103"/>
      <c r="D509" s="101"/>
      <c r="E509" s="104"/>
      <c r="F509" s="104"/>
      <c r="G509" s="89"/>
      <c r="H509" s="5" t="s">
        <v>714</v>
      </c>
      <c r="I509" s="10">
        <v>663</v>
      </c>
      <c r="J509" s="16">
        <v>7</v>
      </c>
      <c r="K509" s="16">
        <v>9</v>
      </c>
      <c r="L509" s="95" t="s">
        <v>588</v>
      </c>
      <c r="M509" s="96" t="s">
        <v>556</v>
      </c>
      <c r="N509" s="96" t="s">
        <v>682</v>
      </c>
      <c r="O509" s="96" t="s">
        <v>683</v>
      </c>
      <c r="P509" s="10">
        <v>610</v>
      </c>
      <c r="Q509" s="214">
        <v>0</v>
      </c>
      <c r="R509" s="214">
        <v>0</v>
      </c>
    </row>
    <row r="510" spans="1:18" ht="39.75" customHeight="1">
      <c r="A510" s="99"/>
      <c r="B510" s="98"/>
      <c r="C510" s="103"/>
      <c r="D510" s="101"/>
      <c r="E510" s="104"/>
      <c r="F510" s="104"/>
      <c r="G510" s="89"/>
      <c r="H510" s="5" t="s">
        <v>680</v>
      </c>
      <c r="I510" s="10">
        <v>663</v>
      </c>
      <c r="J510" s="16">
        <v>7</v>
      </c>
      <c r="K510" s="16">
        <v>9</v>
      </c>
      <c r="L510" s="95" t="s">
        <v>681</v>
      </c>
      <c r="M510" s="96" t="s">
        <v>556</v>
      </c>
      <c r="N510" s="96" t="s">
        <v>576</v>
      </c>
      <c r="O510" s="96" t="s">
        <v>613</v>
      </c>
      <c r="P510" s="10"/>
      <c r="Q510" s="214">
        <f>Q511+Q514+Q518</f>
        <v>162</v>
      </c>
      <c r="R510" s="214">
        <f>R511+R514+R518</f>
        <v>162</v>
      </c>
    </row>
    <row r="511" spans="1:18" ht="33.75" customHeight="1">
      <c r="A511" s="99"/>
      <c r="B511" s="98"/>
      <c r="C511" s="103"/>
      <c r="D511" s="101"/>
      <c r="E511" s="104"/>
      <c r="F511" s="104"/>
      <c r="G511" s="89"/>
      <c r="H511" s="5" t="s">
        <v>321</v>
      </c>
      <c r="I511" s="10">
        <v>663</v>
      </c>
      <c r="J511" s="16">
        <v>7</v>
      </c>
      <c r="K511" s="16">
        <v>9</v>
      </c>
      <c r="L511" s="95" t="s">
        <v>681</v>
      </c>
      <c r="M511" s="96" t="s">
        <v>556</v>
      </c>
      <c r="N511" s="96" t="s">
        <v>557</v>
      </c>
      <c r="O511" s="96" t="s">
        <v>613</v>
      </c>
      <c r="P511" s="10"/>
      <c r="Q511" s="214">
        <f>Q512</f>
        <v>10</v>
      </c>
      <c r="R511" s="214">
        <f>R512</f>
        <v>10</v>
      </c>
    </row>
    <row r="512" spans="1:18" ht="42" customHeight="1">
      <c r="A512" s="99"/>
      <c r="B512" s="98"/>
      <c r="C512" s="103"/>
      <c r="D512" s="101"/>
      <c r="E512" s="104"/>
      <c r="F512" s="104"/>
      <c r="G512" s="89"/>
      <c r="H512" s="5" t="s">
        <v>320</v>
      </c>
      <c r="I512" s="10">
        <v>663</v>
      </c>
      <c r="J512" s="16">
        <v>7</v>
      </c>
      <c r="K512" s="16">
        <v>9</v>
      </c>
      <c r="L512" s="95" t="s">
        <v>681</v>
      </c>
      <c r="M512" s="96" t="s">
        <v>556</v>
      </c>
      <c r="N512" s="96" t="s">
        <v>557</v>
      </c>
      <c r="O512" s="96" t="s">
        <v>293</v>
      </c>
      <c r="P512" s="10"/>
      <c r="Q512" s="214">
        <f>Q513</f>
        <v>10</v>
      </c>
      <c r="R512" s="214">
        <f>R513</f>
        <v>10</v>
      </c>
    </row>
    <row r="513" spans="1:18" ht="28.5" customHeight="1">
      <c r="A513" s="99"/>
      <c r="B513" s="98"/>
      <c r="C513" s="103"/>
      <c r="D513" s="101"/>
      <c r="E513" s="104"/>
      <c r="F513" s="104"/>
      <c r="G513" s="89"/>
      <c r="H513" s="5" t="s">
        <v>712</v>
      </c>
      <c r="I513" s="10">
        <v>663</v>
      </c>
      <c r="J513" s="16">
        <v>7</v>
      </c>
      <c r="K513" s="16">
        <v>9</v>
      </c>
      <c r="L513" s="95" t="s">
        <v>681</v>
      </c>
      <c r="M513" s="96" t="s">
        <v>556</v>
      </c>
      <c r="N513" s="96" t="s">
        <v>557</v>
      </c>
      <c r="O513" s="96" t="s">
        <v>293</v>
      </c>
      <c r="P513" s="10">
        <v>240</v>
      </c>
      <c r="Q513" s="214">
        <v>10</v>
      </c>
      <c r="R513" s="214">
        <v>10</v>
      </c>
    </row>
    <row r="514" spans="1:18" ht="37.5" customHeight="1">
      <c r="A514" s="99"/>
      <c r="B514" s="98"/>
      <c r="C514" s="103"/>
      <c r="D514" s="101"/>
      <c r="E514" s="104"/>
      <c r="F514" s="104"/>
      <c r="G514" s="89"/>
      <c r="H514" s="5" t="s">
        <v>679</v>
      </c>
      <c r="I514" s="10">
        <v>663</v>
      </c>
      <c r="J514" s="16">
        <v>7</v>
      </c>
      <c r="K514" s="16">
        <v>9</v>
      </c>
      <c r="L514" s="95" t="s">
        <v>681</v>
      </c>
      <c r="M514" s="96" t="s">
        <v>556</v>
      </c>
      <c r="N514" s="96" t="s">
        <v>581</v>
      </c>
      <c r="O514" s="96" t="s">
        <v>613</v>
      </c>
      <c r="P514" s="10"/>
      <c r="Q514" s="214">
        <f>Q515</f>
        <v>77</v>
      </c>
      <c r="R514" s="214">
        <f>R515</f>
        <v>77</v>
      </c>
    </row>
    <row r="515" spans="1:18" ht="37.5" customHeight="1">
      <c r="A515" s="99"/>
      <c r="B515" s="98"/>
      <c r="C515" s="103"/>
      <c r="D515" s="101"/>
      <c r="E515" s="104"/>
      <c r="F515" s="104"/>
      <c r="G515" s="89"/>
      <c r="H515" s="5" t="s">
        <v>320</v>
      </c>
      <c r="I515" s="10">
        <v>663</v>
      </c>
      <c r="J515" s="16">
        <v>7</v>
      </c>
      <c r="K515" s="16">
        <v>9</v>
      </c>
      <c r="L515" s="95" t="s">
        <v>681</v>
      </c>
      <c r="M515" s="96" t="s">
        <v>556</v>
      </c>
      <c r="N515" s="96" t="s">
        <v>581</v>
      </c>
      <c r="O515" s="96" t="s">
        <v>293</v>
      </c>
      <c r="P515" s="10"/>
      <c r="Q515" s="214">
        <f>SUM(Q516:Q517)</f>
        <v>77</v>
      </c>
      <c r="R515" s="214">
        <f>SUM(R516:R517)</f>
        <v>77</v>
      </c>
    </row>
    <row r="516" spans="1:18" ht="30" customHeight="1">
      <c r="A516" s="99"/>
      <c r="B516" s="98"/>
      <c r="C516" s="103"/>
      <c r="D516" s="101"/>
      <c r="E516" s="104"/>
      <c r="F516" s="104"/>
      <c r="G516" s="89"/>
      <c r="H516" s="5" t="s">
        <v>712</v>
      </c>
      <c r="I516" s="10">
        <v>663</v>
      </c>
      <c r="J516" s="16">
        <v>7</v>
      </c>
      <c r="K516" s="16">
        <v>9</v>
      </c>
      <c r="L516" s="95" t="s">
        <v>681</v>
      </c>
      <c r="M516" s="96" t="s">
        <v>556</v>
      </c>
      <c r="N516" s="96" t="s">
        <v>581</v>
      </c>
      <c r="O516" s="96" t="s">
        <v>293</v>
      </c>
      <c r="P516" s="10">
        <v>240</v>
      </c>
      <c r="Q516" s="214">
        <v>7</v>
      </c>
      <c r="R516" s="214">
        <v>7</v>
      </c>
    </row>
    <row r="517" spans="1:18" ht="27" customHeight="1">
      <c r="A517" s="99"/>
      <c r="B517" s="98"/>
      <c r="C517" s="103"/>
      <c r="D517" s="101"/>
      <c r="E517" s="104"/>
      <c r="F517" s="104"/>
      <c r="G517" s="89"/>
      <c r="H517" s="5" t="s">
        <v>717</v>
      </c>
      <c r="I517" s="10">
        <v>663</v>
      </c>
      <c r="J517" s="16">
        <v>7</v>
      </c>
      <c r="K517" s="16">
        <v>9</v>
      </c>
      <c r="L517" s="95" t="s">
        <v>681</v>
      </c>
      <c r="M517" s="96" t="s">
        <v>556</v>
      </c>
      <c r="N517" s="96" t="s">
        <v>581</v>
      </c>
      <c r="O517" s="96" t="s">
        <v>293</v>
      </c>
      <c r="P517" s="10">
        <v>320</v>
      </c>
      <c r="Q517" s="214">
        <v>70</v>
      </c>
      <c r="R517" s="214">
        <v>70</v>
      </c>
    </row>
    <row r="518" spans="1:18" ht="30" customHeight="1">
      <c r="A518" s="99"/>
      <c r="B518" s="98"/>
      <c r="C518" s="103"/>
      <c r="D518" s="101"/>
      <c r="E518" s="104"/>
      <c r="F518" s="104"/>
      <c r="G518" s="89"/>
      <c r="H518" s="5" t="s">
        <v>246</v>
      </c>
      <c r="I518" s="10">
        <v>663</v>
      </c>
      <c r="J518" s="16">
        <v>7</v>
      </c>
      <c r="K518" s="16">
        <v>9</v>
      </c>
      <c r="L518" s="95" t="s">
        <v>681</v>
      </c>
      <c r="M518" s="96" t="s">
        <v>556</v>
      </c>
      <c r="N518" s="96" t="s">
        <v>559</v>
      </c>
      <c r="O518" s="96" t="s">
        <v>613</v>
      </c>
      <c r="P518" s="10"/>
      <c r="Q518" s="214">
        <f>Q519</f>
        <v>75</v>
      </c>
      <c r="R518" s="214">
        <f>R519</f>
        <v>75</v>
      </c>
    </row>
    <row r="519" spans="1:18" ht="33" customHeight="1">
      <c r="A519" s="99"/>
      <c r="B519" s="98"/>
      <c r="C519" s="103"/>
      <c r="D519" s="101"/>
      <c r="E519" s="104"/>
      <c r="F519" s="104"/>
      <c r="G519" s="89"/>
      <c r="H519" s="5" t="s">
        <v>320</v>
      </c>
      <c r="I519" s="10">
        <v>663</v>
      </c>
      <c r="J519" s="16">
        <v>7</v>
      </c>
      <c r="K519" s="16">
        <v>9</v>
      </c>
      <c r="L519" s="95" t="s">
        <v>681</v>
      </c>
      <c r="M519" s="96" t="s">
        <v>556</v>
      </c>
      <c r="N519" s="96" t="s">
        <v>559</v>
      </c>
      <c r="O519" s="96" t="s">
        <v>293</v>
      </c>
      <c r="P519" s="10"/>
      <c r="Q519" s="214">
        <f>Q520</f>
        <v>75</v>
      </c>
      <c r="R519" s="214">
        <f>R520</f>
        <v>75</v>
      </c>
    </row>
    <row r="520" spans="1:18" ht="30" customHeight="1">
      <c r="A520" s="99"/>
      <c r="B520" s="98"/>
      <c r="C520" s="103"/>
      <c r="D520" s="101"/>
      <c r="E520" s="104"/>
      <c r="F520" s="104"/>
      <c r="G520" s="89"/>
      <c r="H520" s="5" t="s">
        <v>717</v>
      </c>
      <c r="I520" s="10">
        <v>663</v>
      </c>
      <c r="J520" s="16">
        <v>7</v>
      </c>
      <c r="K520" s="16">
        <v>9</v>
      </c>
      <c r="L520" s="95" t="s">
        <v>681</v>
      </c>
      <c r="M520" s="96" t="s">
        <v>556</v>
      </c>
      <c r="N520" s="96" t="s">
        <v>559</v>
      </c>
      <c r="O520" s="96" t="s">
        <v>293</v>
      </c>
      <c r="P520" s="10">
        <v>320</v>
      </c>
      <c r="Q520" s="214">
        <v>75</v>
      </c>
      <c r="R520" s="214">
        <v>75</v>
      </c>
    </row>
    <row r="521" spans="1:18" ht="23.25" customHeight="1">
      <c r="A521" s="99"/>
      <c r="B521" s="98"/>
      <c r="C521" s="103"/>
      <c r="D521" s="101"/>
      <c r="E521" s="104"/>
      <c r="F521" s="104"/>
      <c r="G521" s="89"/>
      <c r="H521" s="22" t="s">
        <v>292</v>
      </c>
      <c r="I521" s="10">
        <v>663</v>
      </c>
      <c r="J521" s="16">
        <v>7</v>
      </c>
      <c r="K521" s="16">
        <v>9</v>
      </c>
      <c r="L521" s="95" t="s">
        <v>573</v>
      </c>
      <c r="M521" s="96" t="s">
        <v>556</v>
      </c>
      <c r="N521" s="96" t="s">
        <v>576</v>
      </c>
      <c r="O521" s="96" t="s">
        <v>613</v>
      </c>
      <c r="P521" s="10"/>
      <c r="Q521" s="214">
        <f>Q522+Q525+Q528+Q531+Q534</f>
        <v>19818.300000000003</v>
      </c>
      <c r="R521" s="214">
        <f>R522+R525+R528+R531+R534</f>
        <v>30949.500000000004</v>
      </c>
    </row>
    <row r="522" spans="1:18" ht="24" customHeight="1">
      <c r="A522" s="99"/>
      <c r="B522" s="98"/>
      <c r="C522" s="103"/>
      <c r="D522" s="101"/>
      <c r="E522" s="104"/>
      <c r="F522" s="104"/>
      <c r="G522" s="89"/>
      <c r="H522" s="22" t="s">
        <v>526</v>
      </c>
      <c r="I522" s="10">
        <v>663</v>
      </c>
      <c r="J522" s="16">
        <v>7</v>
      </c>
      <c r="K522" s="16">
        <v>9</v>
      </c>
      <c r="L522" s="95" t="s">
        <v>573</v>
      </c>
      <c r="M522" s="96" t="s">
        <v>556</v>
      </c>
      <c r="N522" s="96" t="s">
        <v>576</v>
      </c>
      <c r="O522" s="96" t="s">
        <v>641</v>
      </c>
      <c r="P522" s="10"/>
      <c r="Q522" s="214">
        <f>SUM(Q523:Q524)</f>
        <v>7079.1</v>
      </c>
      <c r="R522" s="214">
        <f>SUM(R523:R524)</f>
        <v>7079.1</v>
      </c>
    </row>
    <row r="523" spans="1:18" ht="24.75" customHeight="1">
      <c r="A523" s="99"/>
      <c r="B523" s="98"/>
      <c r="C523" s="103"/>
      <c r="D523" s="101"/>
      <c r="E523" s="104"/>
      <c r="F523" s="104"/>
      <c r="G523" s="89"/>
      <c r="H523" s="22" t="s">
        <v>526</v>
      </c>
      <c r="I523" s="10">
        <v>663</v>
      </c>
      <c r="J523" s="16">
        <v>7</v>
      </c>
      <c r="K523" s="16">
        <v>9</v>
      </c>
      <c r="L523" s="95" t="s">
        <v>573</v>
      </c>
      <c r="M523" s="96" t="s">
        <v>556</v>
      </c>
      <c r="N523" s="96" t="s">
        <v>576</v>
      </c>
      <c r="O523" s="96" t="s">
        <v>641</v>
      </c>
      <c r="P523" s="10">
        <v>120</v>
      </c>
      <c r="Q523" s="214">
        <f>1916.7+344+1944.8</f>
        <v>4205.5</v>
      </c>
      <c r="R523" s="214">
        <f>1916.7+344+1944.8</f>
        <v>4205.5</v>
      </c>
    </row>
    <row r="524" spans="1:18" ht="24.75" customHeight="1">
      <c r="A524" s="99"/>
      <c r="B524" s="98"/>
      <c r="C524" s="103"/>
      <c r="D524" s="101"/>
      <c r="E524" s="104"/>
      <c r="F524" s="104"/>
      <c r="G524" s="89"/>
      <c r="H524" s="22" t="s">
        <v>712</v>
      </c>
      <c r="I524" s="10">
        <v>663</v>
      </c>
      <c r="J524" s="16">
        <v>7</v>
      </c>
      <c r="K524" s="16">
        <v>9</v>
      </c>
      <c r="L524" s="95" t="s">
        <v>573</v>
      </c>
      <c r="M524" s="96" t="s">
        <v>556</v>
      </c>
      <c r="N524" s="96" t="s">
        <v>576</v>
      </c>
      <c r="O524" s="96" t="s">
        <v>641</v>
      </c>
      <c r="P524" s="10">
        <v>240</v>
      </c>
      <c r="Q524" s="214">
        <f>3053.5-344+164.1</f>
        <v>2873.6</v>
      </c>
      <c r="R524" s="214">
        <f>3053.5-344+164.1</f>
        <v>2873.6</v>
      </c>
    </row>
    <row r="525" spans="1:18" ht="33" customHeight="1" hidden="1">
      <c r="A525" s="99"/>
      <c r="B525" s="98"/>
      <c r="C525" s="103"/>
      <c r="D525" s="101"/>
      <c r="E525" s="104"/>
      <c r="F525" s="104"/>
      <c r="G525" s="89"/>
      <c r="H525" s="22" t="s">
        <v>494</v>
      </c>
      <c r="I525" s="10">
        <v>663</v>
      </c>
      <c r="J525" s="16">
        <v>7</v>
      </c>
      <c r="K525" s="16">
        <v>9</v>
      </c>
      <c r="L525" s="95" t="s">
        <v>573</v>
      </c>
      <c r="M525" s="96" t="s">
        <v>556</v>
      </c>
      <c r="N525" s="96" t="s">
        <v>576</v>
      </c>
      <c r="O525" s="96" t="s">
        <v>293</v>
      </c>
      <c r="P525" s="10"/>
      <c r="Q525" s="214">
        <f>SUM(Q526:Q527)</f>
        <v>0</v>
      </c>
      <c r="R525" s="214">
        <f>SUM(R526:R527)</f>
        <v>0</v>
      </c>
    </row>
    <row r="526" spans="1:18" ht="33" customHeight="1" hidden="1">
      <c r="A526" s="99"/>
      <c r="B526" s="98"/>
      <c r="C526" s="103"/>
      <c r="D526" s="101"/>
      <c r="E526" s="104"/>
      <c r="F526" s="104"/>
      <c r="G526" s="89"/>
      <c r="H526" s="22" t="s">
        <v>715</v>
      </c>
      <c r="I526" s="10">
        <v>663</v>
      </c>
      <c r="J526" s="16">
        <v>7</v>
      </c>
      <c r="K526" s="16">
        <v>9</v>
      </c>
      <c r="L526" s="95" t="s">
        <v>573</v>
      </c>
      <c r="M526" s="96" t="s">
        <v>556</v>
      </c>
      <c r="N526" s="96" t="s">
        <v>576</v>
      </c>
      <c r="O526" s="96" t="s">
        <v>293</v>
      </c>
      <c r="P526" s="10">
        <v>110</v>
      </c>
      <c r="Q526" s="214">
        <v>0</v>
      </c>
      <c r="R526" s="214">
        <v>0</v>
      </c>
    </row>
    <row r="527" spans="1:18" ht="33" customHeight="1" hidden="1">
      <c r="A527" s="99"/>
      <c r="B527" s="98"/>
      <c r="C527" s="103"/>
      <c r="D527" s="101"/>
      <c r="E527" s="104"/>
      <c r="F527" s="104"/>
      <c r="G527" s="89"/>
      <c r="H527" s="22" t="s">
        <v>712</v>
      </c>
      <c r="I527" s="10">
        <v>663</v>
      </c>
      <c r="J527" s="16">
        <v>7</v>
      </c>
      <c r="K527" s="16">
        <v>9</v>
      </c>
      <c r="L527" s="95" t="s">
        <v>573</v>
      </c>
      <c r="M527" s="96" t="s">
        <v>556</v>
      </c>
      <c r="N527" s="96" t="s">
        <v>576</v>
      </c>
      <c r="O527" s="96" t="s">
        <v>293</v>
      </c>
      <c r="P527" s="10">
        <v>240</v>
      </c>
      <c r="Q527" s="214">
        <v>0</v>
      </c>
      <c r="R527" s="214">
        <v>0</v>
      </c>
    </row>
    <row r="528" spans="1:18" ht="48" customHeight="1">
      <c r="A528" s="99"/>
      <c r="B528" s="98"/>
      <c r="C528" s="103"/>
      <c r="D528" s="101"/>
      <c r="E528" s="104"/>
      <c r="F528" s="104"/>
      <c r="G528" s="89"/>
      <c r="H528" s="22" t="s">
        <v>323</v>
      </c>
      <c r="I528" s="10">
        <v>663</v>
      </c>
      <c r="J528" s="16">
        <v>7</v>
      </c>
      <c r="K528" s="16">
        <v>9</v>
      </c>
      <c r="L528" s="95" t="s">
        <v>573</v>
      </c>
      <c r="M528" s="96" t="s">
        <v>556</v>
      </c>
      <c r="N528" s="96" t="s">
        <v>576</v>
      </c>
      <c r="O528" s="96" t="s">
        <v>322</v>
      </c>
      <c r="P528" s="10"/>
      <c r="Q528" s="214">
        <f>Q529+Q530</f>
        <v>9357.7</v>
      </c>
      <c r="R528" s="214">
        <f>R529+R530</f>
        <v>9357.7</v>
      </c>
    </row>
    <row r="529" spans="1:18" ht="33" customHeight="1">
      <c r="A529" s="99"/>
      <c r="B529" s="98"/>
      <c r="C529" s="103"/>
      <c r="D529" s="101"/>
      <c r="E529" s="104"/>
      <c r="F529" s="104"/>
      <c r="G529" s="89"/>
      <c r="H529" s="22" t="s">
        <v>717</v>
      </c>
      <c r="I529" s="10">
        <v>663</v>
      </c>
      <c r="J529" s="16">
        <v>7</v>
      </c>
      <c r="K529" s="16">
        <v>9</v>
      </c>
      <c r="L529" s="95" t="s">
        <v>573</v>
      </c>
      <c r="M529" s="96" t="s">
        <v>556</v>
      </c>
      <c r="N529" s="96" t="s">
        <v>576</v>
      </c>
      <c r="O529" s="96" t="s">
        <v>322</v>
      </c>
      <c r="P529" s="10">
        <v>320</v>
      </c>
      <c r="Q529" s="214">
        <v>1956.6</v>
      </c>
      <c r="R529" s="214">
        <v>1956.6</v>
      </c>
    </row>
    <row r="530" spans="1:18" ht="33" customHeight="1">
      <c r="A530" s="99"/>
      <c r="B530" s="98"/>
      <c r="C530" s="103"/>
      <c r="D530" s="101"/>
      <c r="E530" s="104"/>
      <c r="F530" s="104"/>
      <c r="G530" s="89"/>
      <c r="H530" s="5" t="s">
        <v>714</v>
      </c>
      <c r="I530" s="10">
        <v>663</v>
      </c>
      <c r="J530" s="16">
        <v>7</v>
      </c>
      <c r="K530" s="16">
        <v>9</v>
      </c>
      <c r="L530" s="95" t="s">
        <v>573</v>
      </c>
      <c r="M530" s="96" t="s">
        <v>556</v>
      </c>
      <c r="N530" s="96" t="s">
        <v>576</v>
      </c>
      <c r="O530" s="96" t="s">
        <v>322</v>
      </c>
      <c r="P530" s="10">
        <v>610</v>
      </c>
      <c r="Q530" s="214">
        <v>7401.1</v>
      </c>
      <c r="R530" s="214">
        <v>7401.1</v>
      </c>
    </row>
    <row r="531" spans="1:18" ht="33" customHeight="1">
      <c r="A531" s="99"/>
      <c r="B531" s="98"/>
      <c r="C531" s="103"/>
      <c r="D531" s="101"/>
      <c r="E531" s="104"/>
      <c r="F531" s="104"/>
      <c r="G531" s="89"/>
      <c r="H531" s="11" t="s">
        <v>126</v>
      </c>
      <c r="I531" s="10">
        <v>663</v>
      </c>
      <c r="J531" s="16">
        <v>7</v>
      </c>
      <c r="K531" s="16">
        <v>9</v>
      </c>
      <c r="L531" s="95" t="s">
        <v>573</v>
      </c>
      <c r="M531" s="96" t="s">
        <v>556</v>
      </c>
      <c r="N531" s="96" t="s">
        <v>682</v>
      </c>
      <c r="O531" s="96" t="s">
        <v>613</v>
      </c>
      <c r="P531" s="10"/>
      <c r="Q531" s="214">
        <f>Q532</f>
        <v>1127</v>
      </c>
      <c r="R531" s="214">
        <f>R532</f>
        <v>5627.9</v>
      </c>
    </row>
    <row r="532" spans="1:18" ht="51.75" customHeight="1">
      <c r="A532" s="99"/>
      <c r="B532" s="98"/>
      <c r="C532" s="103"/>
      <c r="D532" s="101"/>
      <c r="E532" s="104"/>
      <c r="F532" s="104"/>
      <c r="G532" s="89"/>
      <c r="H532" s="11" t="s">
        <v>684</v>
      </c>
      <c r="I532" s="10">
        <v>663</v>
      </c>
      <c r="J532" s="16">
        <v>7</v>
      </c>
      <c r="K532" s="16">
        <v>9</v>
      </c>
      <c r="L532" s="95" t="s">
        <v>573</v>
      </c>
      <c r="M532" s="96" t="s">
        <v>556</v>
      </c>
      <c r="N532" s="96" t="s">
        <v>682</v>
      </c>
      <c r="O532" s="96" t="s">
        <v>72</v>
      </c>
      <c r="P532" s="10"/>
      <c r="Q532" s="214">
        <f>Q533</f>
        <v>1127</v>
      </c>
      <c r="R532" s="214">
        <f>R533</f>
        <v>5627.9</v>
      </c>
    </row>
    <row r="533" spans="1:18" ht="24.75" customHeight="1">
      <c r="A533" s="99"/>
      <c r="B533" s="98"/>
      <c r="C533" s="103"/>
      <c r="D533" s="101"/>
      <c r="E533" s="104"/>
      <c r="F533" s="104"/>
      <c r="G533" s="89"/>
      <c r="H533" s="5" t="s">
        <v>714</v>
      </c>
      <c r="I533" s="10">
        <v>663</v>
      </c>
      <c r="J533" s="16">
        <v>7</v>
      </c>
      <c r="K533" s="16">
        <v>9</v>
      </c>
      <c r="L533" s="95" t="s">
        <v>573</v>
      </c>
      <c r="M533" s="96" t="s">
        <v>556</v>
      </c>
      <c r="N533" s="96" t="s">
        <v>682</v>
      </c>
      <c r="O533" s="96" t="s">
        <v>72</v>
      </c>
      <c r="P533" s="10">
        <v>610</v>
      </c>
      <c r="Q533" s="214">
        <v>1127</v>
      </c>
      <c r="R533" s="214">
        <v>5627.9</v>
      </c>
    </row>
    <row r="534" spans="1:18" ht="24.75" customHeight="1">
      <c r="A534" s="99"/>
      <c r="B534" s="98"/>
      <c r="C534" s="103"/>
      <c r="D534" s="101"/>
      <c r="E534" s="104"/>
      <c r="F534" s="104"/>
      <c r="G534" s="89"/>
      <c r="H534" s="11" t="s">
        <v>128</v>
      </c>
      <c r="I534" s="10">
        <v>663</v>
      </c>
      <c r="J534" s="16">
        <v>7</v>
      </c>
      <c r="K534" s="16">
        <v>9</v>
      </c>
      <c r="L534" s="95" t="s">
        <v>573</v>
      </c>
      <c r="M534" s="96" t="s">
        <v>556</v>
      </c>
      <c r="N534" s="96" t="s">
        <v>685</v>
      </c>
      <c r="O534" s="96" t="s">
        <v>613</v>
      </c>
      <c r="P534" s="10"/>
      <c r="Q534" s="214">
        <f>Q535</f>
        <v>2254.5</v>
      </c>
      <c r="R534" s="214">
        <f>R535</f>
        <v>8884.8</v>
      </c>
    </row>
    <row r="535" spans="1:18" ht="33" customHeight="1">
      <c r="A535" s="99"/>
      <c r="B535" s="98"/>
      <c r="C535" s="103"/>
      <c r="D535" s="101"/>
      <c r="E535" s="104"/>
      <c r="F535" s="104"/>
      <c r="G535" s="89"/>
      <c r="H535" s="11" t="s">
        <v>687</v>
      </c>
      <c r="I535" s="10">
        <v>663</v>
      </c>
      <c r="J535" s="16">
        <v>7</v>
      </c>
      <c r="K535" s="16">
        <v>9</v>
      </c>
      <c r="L535" s="95" t="s">
        <v>573</v>
      </c>
      <c r="M535" s="96" t="s">
        <v>556</v>
      </c>
      <c r="N535" s="96" t="s">
        <v>685</v>
      </c>
      <c r="O535" s="96" t="s">
        <v>71</v>
      </c>
      <c r="P535" s="10"/>
      <c r="Q535" s="214">
        <f>Q536</f>
        <v>2254.5</v>
      </c>
      <c r="R535" s="214">
        <f>R536</f>
        <v>8884.8</v>
      </c>
    </row>
    <row r="536" spans="1:18" ht="27" customHeight="1">
      <c r="A536" s="99"/>
      <c r="B536" s="98"/>
      <c r="C536" s="103"/>
      <c r="D536" s="101"/>
      <c r="E536" s="104"/>
      <c r="F536" s="104"/>
      <c r="G536" s="89"/>
      <c r="H536" s="5" t="s">
        <v>714</v>
      </c>
      <c r="I536" s="10">
        <v>663</v>
      </c>
      <c r="J536" s="16">
        <v>7</v>
      </c>
      <c r="K536" s="16">
        <v>9</v>
      </c>
      <c r="L536" s="95" t="s">
        <v>573</v>
      </c>
      <c r="M536" s="96" t="s">
        <v>556</v>
      </c>
      <c r="N536" s="96" t="s">
        <v>685</v>
      </c>
      <c r="O536" s="96" t="s">
        <v>71</v>
      </c>
      <c r="P536" s="10">
        <v>610</v>
      </c>
      <c r="Q536" s="214">
        <v>2254.5</v>
      </c>
      <c r="R536" s="214">
        <v>8884.8</v>
      </c>
    </row>
    <row r="537" spans="1:18" s="179" customFormat="1" ht="21.75" customHeight="1">
      <c r="A537" s="142"/>
      <c r="B537" s="143"/>
      <c r="C537" s="153"/>
      <c r="D537" s="150"/>
      <c r="E537" s="145"/>
      <c r="F537" s="145"/>
      <c r="G537" s="136"/>
      <c r="H537" s="137" t="s">
        <v>534</v>
      </c>
      <c r="I537" s="138">
        <v>663</v>
      </c>
      <c r="J537" s="139">
        <v>10</v>
      </c>
      <c r="K537" s="139"/>
      <c r="L537" s="140"/>
      <c r="M537" s="141"/>
      <c r="N537" s="141"/>
      <c r="O537" s="141"/>
      <c r="P537" s="138"/>
      <c r="Q537" s="213">
        <f>Q538</f>
        <v>3455.1</v>
      </c>
      <c r="R537" s="213">
        <f>R538</f>
        <v>3455.1</v>
      </c>
    </row>
    <row r="538" spans="1:18" s="179" customFormat="1" ht="18.75" customHeight="1">
      <c r="A538" s="142"/>
      <c r="B538" s="143"/>
      <c r="C538" s="153"/>
      <c r="D538" s="150"/>
      <c r="E538" s="384">
        <v>3150300</v>
      </c>
      <c r="F538" s="384"/>
      <c r="G538" s="136">
        <v>850</v>
      </c>
      <c r="H538" s="137" t="s">
        <v>370</v>
      </c>
      <c r="I538" s="138">
        <v>663</v>
      </c>
      <c r="J538" s="139">
        <v>10</v>
      </c>
      <c r="K538" s="139">
        <v>4</v>
      </c>
      <c r="L538" s="140" t="s">
        <v>527</v>
      </c>
      <c r="M538" s="141" t="s">
        <v>527</v>
      </c>
      <c r="N538" s="141"/>
      <c r="O538" s="141" t="s">
        <v>527</v>
      </c>
      <c r="P538" s="138" t="s">
        <v>527</v>
      </c>
      <c r="Q538" s="213">
        <f>Q539+Q543</f>
        <v>3455.1</v>
      </c>
      <c r="R538" s="213">
        <f>R539+R543</f>
        <v>3455.1</v>
      </c>
    </row>
    <row r="539" spans="1:18" ht="22.5" customHeight="1" hidden="1">
      <c r="A539" s="99"/>
      <c r="B539" s="98"/>
      <c r="C539" s="103"/>
      <c r="D539" s="101"/>
      <c r="E539" s="372">
        <v>5221300</v>
      </c>
      <c r="F539" s="372"/>
      <c r="G539" s="89">
        <v>410</v>
      </c>
      <c r="H539" s="11" t="s">
        <v>264</v>
      </c>
      <c r="I539" s="10">
        <v>663</v>
      </c>
      <c r="J539" s="16">
        <v>10</v>
      </c>
      <c r="K539" s="16">
        <v>4</v>
      </c>
      <c r="L539" s="95" t="s">
        <v>588</v>
      </c>
      <c r="M539" s="96" t="s">
        <v>556</v>
      </c>
      <c r="N539" s="96" t="s">
        <v>576</v>
      </c>
      <c r="O539" s="96" t="s">
        <v>613</v>
      </c>
      <c r="P539" s="10" t="s">
        <v>527</v>
      </c>
      <c r="Q539" s="214">
        <f aca="true" t="shared" si="13" ref="Q539:R541">Q540</f>
        <v>0</v>
      </c>
      <c r="R539" s="214">
        <f t="shared" si="13"/>
        <v>0</v>
      </c>
    </row>
    <row r="540" spans="1:18" ht="29.25" customHeight="1" hidden="1">
      <c r="A540" s="99"/>
      <c r="B540" s="98"/>
      <c r="C540" s="103"/>
      <c r="D540" s="101"/>
      <c r="E540" s="104"/>
      <c r="F540" s="104"/>
      <c r="G540" s="89"/>
      <c r="H540" s="253" t="s">
        <v>329</v>
      </c>
      <c r="I540" s="10">
        <v>663</v>
      </c>
      <c r="J540" s="16">
        <v>10</v>
      </c>
      <c r="K540" s="16">
        <v>4</v>
      </c>
      <c r="L540" s="95" t="s">
        <v>588</v>
      </c>
      <c r="M540" s="96" t="s">
        <v>556</v>
      </c>
      <c r="N540" s="96" t="s">
        <v>557</v>
      </c>
      <c r="O540" s="96" t="s">
        <v>613</v>
      </c>
      <c r="P540" s="10"/>
      <c r="Q540" s="214">
        <f t="shared" si="13"/>
        <v>0</v>
      </c>
      <c r="R540" s="214">
        <f t="shared" si="13"/>
        <v>0</v>
      </c>
    </row>
    <row r="541" spans="1:18" ht="48" customHeight="1" hidden="1">
      <c r="A541" s="99"/>
      <c r="B541" s="98"/>
      <c r="C541" s="103"/>
      <c r="D541" s="101"/>
      <c r="E541" s="104"/>
      <c r="F541" s="104"/>
      <c r="G541" s="89"/>
      <c r="H541" s="254" t="s">
        <v>323</v>
      </c>
      <c r="I541" s="10">
        <v>663</v>
      </c>
      <c r="J541" s="7">
        <v>10</v>
      </c>
      <c r="K541" s="16">
        <v>4</v>
      </c>
      <c r="L541" s="95" t="s">
        <v>588</v>
      </c>
      <c r="M541" s="96" t="s">
        <v>556</v>
      </c>
      <c r="N541" s="96" t="s">
        <v>557</v>
      </c>
      <c r="O541" s="96" t="s">
        <v>322</v>
      </c>
      <c r="P541" s="10"/>
      <c r="Q541" s="214">
        <f t="shared" si="13"/>
        <v>0</v>
      </c>
      <c r="R541" s="214">
        <f t="shared" si="13"/>
        <v>0</v>
      </c>
    </row>
    <row r="542" spans="1:18" ht="26.25" customHeight="1" hidden="1">
      <c r="A542" s="99"/>
      <c r="B542" s="98"/>
      <c r="C542" s="103"/>
      <c r="D542" s="101"/>
      <c r="E542" s="104"/>
      <c r="F542" s="104"/>
      <c r="G542" s="89"/>
      <c r="H542" s="258" t="s">
        <v>717</v>
      </c>
      <c r="I542" s="10">
        <v>663</v>
      </c>
      <c r="J542" s="7">
        <v>10</v>
      </c>
      <c r="K542" s="16">
        <v>4</v>
      </c>
      <c r="L542" s="95" t="s">
        <v>588</v>
      </c>
      <c r="M542" s="96" t="s">
        <v>556</v>
      </c>
      <c r="N542" s="96" t="s">
        <v>557</v>
      </c>
      <c r="O542" s="96" t="s">
        <v>322</v>
      </c>
      <c r="P542" s="10">
        <v>320</v>
      </c>
      <c r="Q542" s="214"/>
      <c r="R542" s="214"/>
    </row>
    <row r="543" spans="1:18" ht="26.25" customHeight="1">
      <c r="A543" s="110"/>
      <c r="B543" s="111"/>
      <c r="C543" s="106"/>
      <c r="D543" s="107"/>
      <c r="E543" s="104"/>
      <c r="F543" s="104"/>
      <c r="G543" s="89"/>
      <c r="H543" s="22" t="s">
        <v>292</v>
      </c>
      <c r="I543" s="10">
        <v>663</v>
      </c>
      <c r="J543" s="7">
        <v>10</v>
      </c>
      <c r="K543" s="16">
        <v>4</v>
      </c>
      <c r="L543" s="95" t="s">
        <v>573</v>
      </c>
      <c r="M543" s="96" t="s">
        <v>556</v>
      </c>
      <c r="N543" s="96" t="s">
        <v>576</v>
      </c>
      <c r="O543" s="96" t="s">
        <v>613</v>
      </c>
      <c r="P543" s="10"/>
      <c r="Q543" s="214">
        <f>Q544</f>
        <v>3455.1</v>
      </c>
      <c r="R543" s="214">
        <f>R544</f>
        <v>3455.1</v>
      </c>
    </row>
    <row r="544" spans="1:18" ht="51" customHeight="1">
      <c r="A544" s="110"/>
      <c r="B544" s="111"/>
      <c r="C544" s="106"/>
      <c r="D544" s="107"/>
      <c r="E544" s="104"/>
      <c r="F544" s="104"/>
      <c r="G544" s="89"/>
      <c r="H544" s="11" t="s">
        <v>323</v>
      </c>
      <c r="I544" s="10">
        <v>663</v>
      </c>
      <c r="J544" s="7">
        <v>10</v>
      </c>
      <c r="K544" s="16">
        <v>4</v>
      </c>
      <c r="L544" s="16">
        <v>91</v>
      </c>
      <c r="M544" s="96" t="s">
        <v>556</v>
      </c>
      <c r="N544" s="96" t="s">
        <v>576</v>
      </c>
      <c r="O544" s="96" t="s">
        <v>322</v>
      </c>
      <c r="P544" s="10"/>
      <c r="Q544" s="214">
        <f>Q545</f>
        <v>3455.1</v>
      </c>
      <c r="R544" s="214">
        <f>R545</f>
        <v>3455.1</v>
      </c>
    </row>
    <row r="545" spans="1:18" ht="26.25" customHeight="1">
      <c r="A545" s="110"/>
      <c r="B545" s="111"/>
      <c r="C545" s="106"/>
      <c r="D545" s="107"/>
      <c r="E545" s="104"/>
      <c r="F545" s="104"/>
      <c r="G545" s="89"/>
      <c r="H545" s="11" t="s">
        <v>717</v>
      </c>
      <c r="I545" s="10">
        <v>663</v>
      </c>
      <c r="J545" s="7">
        <v>10</v>
      </c>
      <c r="K545" s="16">
        <v>4</v>
      </c>
      <c r="L545" s="16">
        <v>91</v>
      </c>
      <c r="M545" s="96" t="s">
        <v>556</v>
      </c>
      <c r="N545" s="96" t="s">
        <v>576</v>
      </c>
      <c r="O545" s="96" t="s">
        <v>322</v>
      </c>
      <c r="P545" s="10">
        <v>320</v>
      </c>
      <c r="Q545" s="214">
        <v>3455.1</v>
      </c>
      <c r="R545" s="214">
        <v>3455.1</v>
      </c>
    </row>
    <row r="546" spans="1:18" s="319" customFormat="1" ht="18.75" customHeight="1">
      <c r="A546" s="395">
        <v>17</v>
      </c>
      <c r="B546" s="395"/>
      <c r="C546" s="395"/>
      <c r="D546" s="395"/>
      <c r="E546" s="395"/>
      <c r="F546" s="395"/>
      <c r="G546" s="132">
        <v>240</v>
      </c>
      <c r="H546" s="33" t="s">
        <v>545</v>
      </c>
      <c r="I546" s="14">
        <v>664</v>
      </c>
      <c r="J546" s="15" t="s">
        <v>527</v>
      </c>
      <c r="K546" s="15" t="s">
        <v>527</v>
      </c>
      <c r="L546" s="133" t="s">
        <v>527</v>
      </c>
      <c r="M546" s="134" t="s">
        <v>527</v>
      </c>
      <c r="N546" s="134"/>
      <c r="O546" s="134"/>
      <c r="P546" s="14" t="s">
        <v>527</v>
      </c>
      <c r="Q546" s="212">
        <f>Q547+Q569+Q579</f>
        <v>9865.3</v>
      </c>
      <c r="R546" s="212">
        <f>R547+R569+R579</f>
        <v>10865.3</v>
      </c>
    </row>
    <row r="547" spans="1:18" s="179" customFormat="1" ht="18.75" customHeight="1">
      <c r="A547" s="375">
        <v>100</v>
      </c>
      <c r="B547" s="375"/>
      <c r="C547" s="376"/>
      <c r="D547" s="376"/>
      <c r="E547" s="376"/>
      <c r="F547" s="376"/>
      <c r="G547" s="136">
        <v>240</v>
      </c>
      <c r="H547" s="137" t="s">
        <v>529</v>
      </c>
      <c r="I547" s="138">
        <v>664</v>
      </c>
      <c r="J547" s="139">
        <v>1</v>
      </c>
      <c r="K547" s="139">
        <v>0</v>
      </c>
      <c r="L547" s="140" t="s">
        <v>527</v>
      </c>
      <c r="M547" s="141" t="s">
        <v>527</v>
      </c>
      <c r="N547" s="141"/>
      <c r="O547" s="141" t="s">
        <v>527</v>
      </c>
      <c r="P547" s="138" t="s">
        <v>527</v>
      </c>
      <c r="Q547" s="213">
        <f>Q548</f>
        <v>4750.5</v>
      </c>
      <c r="R547" s="213">
        <f>R548</f>
        <v>5750.5</v>
      </c>
    </row>
    <row r="548" spans="1:18" s="179" customFormat="1" ht="23.25" customHeight="1">
      <c r="A548" s="142"/>
      <c r="B548" s="143"/>
      <c r="C548" s="375">
        <v>113</v>
      </c>
      <c r="D548" s="376"/>
      <c r="E548" s="376"/>
      <c r="F548" s="376"/>
      <c r="G548" s="136">
        <v>240</v>
      </c>
      <c r="H548" s="137" t="s">
        <v>528</v>
      </c>
      <c r="I548" s="138">
        <v>664</v>
      </c>
      <c r="J548" s="139">
        <v>1</v>
      </c>
      <c r="K548" s="139">
        <v>13</v>
      </c>
      <c r="L548" s="140" t="s">
        <v>527</v>
      </c>
      <c r="M548" s="141" t="s">
        <v>527</v>
      </c>
      <c r="N548" s="141"/>
      <c r="O548" s="141" t="s">
        <v>527</v>
      </c>
      <c r="P548" s="138" t="s">
        <v>527</v>
      </c>
      <c r="Q548" s="213">
        <f>Q549</f>
        <v>4750.5</v>
      </c>
      <c r="R548" s="213">
        <f>R549</f>
        <v>5750.5</v>
      </c>
    </row>
    <row r="549" spans="1:18" s="179" customFormat="1" ht="32.25" customHeight="1">
      <c r="A549" s="142"/>
      <c r="B549" s="143"/>
      <c r="C549" s="142"/>
      <c r="D549" s="235"/>
      <c r="E549" s="166"/>
      <c r="F549" s="166"/>
      <c r="G549" s="136"/>
      <c r="H549" s="11" t="s">
        <v>138</v>
      </c>
      <c r="I549" s="10">
        <v>664</v>
      </c>
      <c r="J549" s="16">
        <v>1</v>
      </c>
      <c r="K549" s="16">
        <v>13</v>
      </c>
      <c r="L549" s="95" t="s">
        <v>136</v>
      </c>
      <c r="M549" s="96" t="s">
        <v>556</v>
      </c>
      <c r="N549" s="96" t="s">
        <v>576</v>
      </c>
      <c r="O549" s="96" t="s">
        <v>613</v>
      </c>
      <c r="P549" s="10"/>
      <c r="Q549" s="214">
        <f>Q550+Q553+Q556+Q560+Q566</f>
        <v>4750.5</v>
      </c>
      <c r="R549" s="214">
        <f>R550+R553+R556+R560+R566</f>
        <v>5750.5</v>
      </c>
    </row>
    <row r="550" spans="1:18" s="179" customFormat="1" ht="23.25" customHeight="1">
      <c r="A550" s="142"/>
      <c r="B550" s="143"/>
      <c r="C550" s="142"/>
      <c r="D550" s="235"/>
      <c r="E550" s="166"/>
      <c r="F550" s="166"/>
      <c r="G550" s="136"/>
      <c r="H550" s="11" t="s">
        <v>140</v>
      </c>
      <c r="I550" s="10">
        <v>664</v>
      </c>
      <c r="J550" s="16">
        <v>1</v>
      </c>
      <c r="K550" s="16">
        <v>13</v>
      </c>
      <c r="L550" s="16">
        <v>48</v>
      </c>
      <c r="M550" s="96" t="s">
        <v>556</v>
      </c>
      <c r="N550" s="96" t="s">
        <v>557</v>
      </c>
      <c r="O550" s="96" t="s">
        <v>613</v>
      </c>
      <c r="P550" s="10"/>
      <c r="Q550" s="214">
        <f>Q551</f>
        <v>470</v>
      </c>
      <c r="R550" s="214">
        <f>R551</f>
        <v>470</v>
      </c>
    </row>
    <row r="551" spans="1:18" s="179" customFormat="1" ht="23.25" customHeight="1">
      <c r="A551" s="142"/>
      <c r="B551" s="143"/>
      <c r="C551" s="142"/>
      <c r="D551" s="235"/>
      <c r="E551" s="166"/>
      <c r="F551" s="166"/>
      <c r="G551" s="136"/>
      <c r="H551" s="11" t="s">
        <v>362</v>
      </c>
      <c r="I551" s="10">
        <v>664</v>
      </c>
      <c r="J551" s="16">
        <v>1</v>
      </c>
      <c r="K551" s="16">
        <v>13</v>
      </c>
      <c r="L551" s="16">
        <v>48</v>
      </c>
      <c r="M551" s="96" t="s">
        <v>556</v>
      </c>
      <c r="N551" s="96" t="s">
        <v>557</v>
      </c>
      <c r="O551" s="96" t="s">
        <v>312</v>
      </c>
      <c r="P551" s="10"/>
      <c r="Q551" s="214">
        <f>Q552</f>
        <v>470</v>
      </c>
      <c r="R551" s="214">
        <f>R552</f>
        <v>470</v>
      </c>
    </row>
    <row r="552" spans="1:18" s="179" customFormat="1" ht="23.25" customHeight="1">
      <c r="A552" s="142"/>
      <c r="B552" s="143"/>
      <c r="C552" s="142"/>
      <c r="D552" s="235"/>
      <c r="E552" s="166"/>
      <c r="F552" s="166"/>
      <c r="G552" s="136"/>
      <c r="H552" s="11" t="s">
        <v>712</v>
      </c>
      <c r="I552" s="10">
        <v>664</v>
      </c>
      <c r="J552" s="16">
        <v>1</v>
      </c>
      <c r="K552" s="16">
        <v>13</v>
      </c>
      <c r="L552" s="16">
        <v>48</v>
      </c>
      <c r="M552" s="96" t="s">
        <v>556</v>
      </c>
      <c r="N552" s="96" t="s">
        <v>557</v>
      </c>
      <c r="O552" s="96" t="s">
        <v>312</v>
      </c>
      <c r="P552" s="10">
        <v>240</v>
      </c>
      <c r="Q552" s="214">
        <v>470</v>
      </c>
      <c r="R552" s="214">
        <v>470</v>
      </c>
    </row>
    <row r="553" spans="1:18" s="179" customFormat="1" ht="34.5" customHeight="1">
      <c r="A553" s="142"/>
      <c r="B553" s="143"/>
      <c r="C553" s="142"/>
      <c r="D553" s="235"/>
      <c r="E553" s="166"/>
      <c r="F553" s="166"/>
      <c r="G553" s="136"/>
      <c r="H553" s="11" t="s">
        <v>141</v>
      </c>
      <c r="I553" s="10">
        <v>664</v>
      </c>
      <c r="J553" s="16">
        <v>1</v>
      </c>
      <c r="K553" s="16">
        <v>13</v>
      </c>
      <c r="L553" s="16">
        <v>48</v>
      </c>
      <c r="M553" s="96" t="s">
        <v>556</v>
      </c>
      <c r="N553" s="96" t="s">
        <v>585</v>
      </c>
      <c r="O553" s="96" t="s">
        <v>613</v>
      </c>
      <c r="P553" s="10"/>
      <c r="Q553" s="214">
        <f>Q554</f>
        <v>100</v>
      </c>
      <c r="R553" s="214">
        <f>R554</f>
        <v>100</v>
      </c>
    </row>
    <row r="554" spans="1:18" s="179" customFormat="1" ht="37.5" customHeight="1">
      <c r="A554" s="142"/>
      <c r="B554" s="143"/>
      <c r="C554" s="142"/>
      <c r="D554" s="235"/>
      <c r="E554" s="166"/>
      <c r="F554" s="166"/>
      <c r="G554" s="136"/>
      <c r="H554" s="11" t="s">
        <v>142</v>
      </c>
      <c r="I554" s="10">
        <v>664</v>
      </c>
      <c r="J554" s="16">
        <v>1</v>
      </c>
      <c r="K554" s="16">
        <v>13</v>
      </c>
      <c r="L554" s="16">
        <v>48</v>
      </c>
      <c r="M554" s="96" t="s">
        <v>556</v>
      </c>
      <c r="N554" s="96" t="s">
        <v>585</v>
      </c>
      <c r="O554" s="96" t="s">
        <v>311</v>
      </c>
      <c r="P554" s="10"/>
      <c r="Q554" s="214">
        <f>Q555</f>
        <v>100</v>
      </c>
      <c r="R554" s="214">
        <f>R555</f>
        <v>100</v>
      </c>
    </row>
    <row r="555" spans="1:18" s="179" customFormat="1" ht="23.25" customHeight="1">
      <c r="A555" s="142"/>
      <c r="B555" s="143"/>
      <c r="C555" s="142"/>
      <c r="D555" s="235"/>
      <c r="E555" s="166"/>
      <c r="F555" s="166"/>
      <c r="G555" s="136"/>
      <c r="H555" s="11" t="s">
        <v>712</v>
      </c>
      <c r="I555" s="10">
        <v>664</v>
      </c>
      <c r="J555" s="16">
        <v>1</v>
      </c>
      <c r="K555" s="16">
        <v>13</v>
      </c>
      <c r="L555" s="16">
        <v>48</v>
      </c>
      <c r="M555" s="96" t="s">
        <v>556</v>
      </c>
      <c r="N555" s="96" t="s">
        <v>585</v>
      </c>
      <c r="O555" s="96" t="s">
        <v>311</v>
      </c>
      <c r="P555" s="10">
        <v>240</v>
      </c>
      <c r="Q555" s="214">
        <v>100</v>
      </c>
      <c r="R555" s="214">
        <v>100</v>
      </c>
    </row>
    <row r="556" spans="1:18" s="179" customFormat="1" ht="35.25" customHeight="1">
      <c r="A556" s="142"/>
      <c r="B556" s="143"/>
      <c r="C556" s="142"/>
      <c r="D556" s="235"/>
      <c r="E556" s="166"/>
      <c r="F556" s="166"/>
      <c r="G556" s="136"/>
      <c r="H556" s="11" t="s">
        <v>143</v>
      </c>
      <c r="I556" s="10">
        <v>664</v>
      </c>
      <c r="J556" s="16">
        <v>1</v>
      </c>
      <c r="K556" s="16">
        <v>13</v>
      </c>
      <c r="L556" s="16">
        <v>48</v>
      </c>
      <c r="M556" s="96" t="s">
        <v>556</v>
      </c>
      <c r="N556" s="96" t="s">
        <v>586</v>
      </c>
      <c r="O556" s="96" t="s">
        <v>613</v>
      </c>
      <c r="P556" s="10"/>
      <c r="Q556" s="214">
        <f>Q557</f>
        <v>185.6</v>
      </c>
      <c r="R556" s="214">
        <f>R557</f>
        <v>185.6</v>
      </c>
    </row>
    <row r="557" spans="1:18" s="179" customFormat="1" ht="23.25" customHeight="1">
      <c r="A557" s="142"/>
      <c r="B557" s="143"/>
      <c r="C557" s="142"/>
      <c r="D557" s="235"/>
      <c r="E557" s="166"/>
      <c r="F557" s="166"/>
      <c r="G557" s="136"/>
      <c r="H557" s="11" t="s">
        <v>273</v>
      </c>
      <c r="I557" s="10">
        <v>664</v>
      </c>
      <c r="J557" s="16">
        <v>1</v>
      </c>
      <c r="K557" s="16">
        <v>13</v>
      </c>
      <c r="L557" s="16">
        <v>48</v>
      </c>
      <c r="M557" s="96" t="s">
        <v>556</v>
      </c>
      <c r="N557" s="96" t="s">
        <v>586</v>
      </c>
      <c r="O557" s="96" t="s">
        <v>272</v>
      </c>
      <c r="P557" s="10"/>
      <c r="Q557" s="214">
        <f>Q558+Q559</f>
        <v>185.6</v>
      </c>
      <c r="R557" s="214">
        <f>R558+R559</f>
        <v>185.6</v>
      </c>
    </row>
    <row r="558" spans="1:18" s="179" customFormat="1" ht="23.25" customHeight="1">
      <c r="A558" s="142"/>
      <c r="B558" s="143"/>
      <c r="C558" s="142"/>
      <c r="D558" s="235"/>
      <c r="E558" s="166"/>
      <c r="F558" s="166"/>
      <c r="G558" s="136"/>
      <c r="H558" s="11" t="s">
        <v>712</v>
      </c>
      <c r="I558" s="10">
        <v>664</v>
      </c>
      <c r="J558" s="16">
        <v>1</v>
      </c>
      <c r="K558" s="16">
        <v>13</v>
      </c>
      <c r="L558" s="16">
        <v>48</v>
      </c>
      <c r="M558" s="96" t="s">
        <v>556</v>
      </c>
      <c r="N558" s="96" t="s">
        <v>586</v>
      </c>
      <c r="O558" s="96" t="s">
        <v>272</v>
      </c>
      <c r="P558" s="10">
        <v>240</v>
      </c>
      <c r="Q558" s="214">
        <v>150</v>
      </c>
      <c r="R558" s="214">
        <v>150</v>
      </c>
    </row>
    <row r="559" spans="1:18" s="179" customFormat="1" ht="23.25" customHeight="1">
      <c r="A559" s="142"/>
      <c r="B559" s="143"/>
      <c r="C559" s="142"/>
      <c r="D559" s="235"/>
      <c r="E559" s="166"/>
      <c r="F559" s="166"/>
      <c r="G559" s="136"/>
      <c r="H559" s="5" t="s">
        <v>713</v>
      </c>
      <c r="I559" s="10">
        <v>664</v>
      </c>
      <c r="J559" s="16">
        <v>1</v>
      </c>
      <c r="K559" s="16">
        <v>13</v>
      </c>
      <c r="L559" s="16">
        <v>48</v>
      </c>
      <c r="M559" s="96" t="s">
        <v>556</v>
      </c>
      <c r="N559" s="96" t="s">
        <v>586</v>
      </c>
      <c r="O559" s="96" t="s">
        <v>272</v>
      </c>
      <c r="P559" s="10">
        <v>850</v>
      </c>
      <c r="Q559" s="214">
        <v>35.6</v>
      </c>
      <c r="R559" s="214">
        <v>35.6</v>
      </c>
    </row>
    <row r="560" spans="1:18" s="179" customFormat="1" ht="23.25" customHeight="1">
      <c r="A560" s="142"/>
      <c r="B560" s="143"/>
      <c r="C560" s="142"/>
      <c r="D560" s="235"/>
      <c r="E560" s="166"/>
      <c r="F560" s="166"/>
      <c r="G560" s="136"/>
      <c r="H560" s="11" t="s">
        <v>144</v>
      </c>
      <c r="I560" s="10">
        <v>664</v>
      </c>
      <c r="J560" s="16">
        <v>1</v>
      </c>
      <c r="K560" s="16">
        <v>13</v>
      </c>
      <c r="L560" s="16">
        <v>48</v>
      </c>
      <c r="M560" s="96" t="s">
        <v>556</v>
      </c>
      <c r="N560" s="96" t="s">
        <v>581</v>
      </c>
      <c r="O560" s="96" t="s">
        <v>613</v>
      </c>
      <c r="P560" s="10"/>
      <c r="Q560" s="214">
        <f>Q561</f>
        <v>3921.2</v>
      </c>
      <c r="R560" s="214">
        <f>R561</f>
        <v>4921.2</v>
      </c>
    </row>
    <row r="561" spans="1:18" s="179" customFormat="1" ht="18.75" customHeight="1">
      <c r="A561" s="142"/>
      <c r="B561" s="143"/>
      <c r="C561" s="142"/>
      <c r="D561" s="235"/>
      <c r="E561" s="166"/>
      <c r="F561" s="166"/>
      <c r="G561" s="136"/>
      <c r="H561" s="11" t="s">
        <v>335</v>
      </c>
      <c r="I561" s="10">
        <v>664</v>
      </c>
      <c r="J561" s="16">
        <v>1</v>
      </c>
      <c r="K561" s="16">
        <v>13</v>
      </c>
      <c r="L561" s="16">
        <v>48</v>
      </c>
      <c r="M561" s="96" t="s">
        <v>556</v>
      </c>
      <c r="N561" s="96" t="s">
        <v>581</v>
      </c>
      <c r="O561" s="96" t="s">
        <v>641</v>
      </c>
      <c r="P561" s="10"/>
      <c r="Q561" s="214">
        <f>Q562+Q563+Q564+Q565</f>
        <v>3921.2</v>
      </c>
      <c r="R561" s="214">
        <f>R562+R563+R564+R565</f>
        <v>4921.2</v>
      </c>
    </row>
    <row r="562" spans="1:18" s="179" customFormat="1" ht="18.75" customHeight="1">
      <c r="A562" s="142"/>
      <c r="B562" s="143"/>
      <c r="C562" s="142"/>
      <c r="D562" s="235"/>
      <c r="E562" s="166"/>
      <c r="F562" s="166"/>
      <c r="G562" s="136"/>
      <c r="H562" s="11" t="s">
        <v>526</v>
      </c>
      <c r="I562" s="10">
        <v>664</v>
      </c>
      <c r="J562" s="16">
        <v>1</v>
      </c>
      <c r="K562" s="16">
        <v>13</v>
      </c>
      <c r="L562" s="16">
        <v>48</v>
      </c>
      <c r="M562" s="96" t="s">
        <v>556</v>
      </c>
      <c r="N562" s="96" t="s">
        <v>581</v>
      </c>
      <c r="O562" s="96" t="s">
        <v>641</v>
      </c>
      <c r="P562" s="10">
        <v>120</v>
      </c>
      <c r="Q562" s="214">
        <v>3383.1</v>
      </c>
      <c r="R562" s="214">
        <v>3383.1</v>
      </c>
    </row>
    <row r="563" spans="1:18" s="179" customFormat="1" ht="18.75" customHeight="1">
      <c r="A563" s="142"/>
      <c r="B563" s="143"/>
      <c r="C563" s="142"/>
      <c r="D563" s="235"/>
      <c r="E563" s="166"/>
      <c r="F563" s="166"/>
      <c r="G563" s="136"/>
      <c r="H563" s="11" t="s">
        <v>712</v>
      </c>
      <c r="I563" s="10">
        <v>664</v>
      </c>
      <c r="J563" s="16">
        <v>1</v>
      </c>
      <c r="K563" s="16">
        <v>13</v>
      </c>
      <c r="L563" s="16">
        <v>48</v>
      </c>
      <c r="M563" s="96" t="s">
        <v>556</v>
      </c>
      <c r="N563" s="96" t="s">
        <v>581</v>
      </c>
      <c r="O563" s="96" t="s">
        <v>641</v>
      </c>
      <c r="P563" s="10">
        <v>240</v>
      </c>
      <c r="Q563" s="214">
        <v>518.1</v>
      </c>
      <c r="R563" s="214">
        <v>1518.1</v>
      </c>
    </row>
    <row r="564" spans="1:18" s="179" customFormat="1" ht="18.75" customHeight="1">
      <c r="A564" s="142"/>
      <c r="B564" s="143"/>
      <c r="C564" s="142"/>
      <c r="D564" s="235"/>
      <c r="E564" s="166"/>
      <c r="F564" s="166"/>
      <c r="G564" s="136"/>
      <c r="H564" s="5" t="s">
        <v>720</v>
      </c>
      <c r="I564" s="10">
        <v>664</v>
      </c>
      <c r="J564" s="16">
        <v>1</v>
      </c>
      <c r="K564" s="16">
        <v>13</v>
      </c>
      <c r="L564" s="16">
        <v>48</v>
      </c>
      <c r="M564" s="96" t="s">
        <v>556</v>
      </c>
      <c r="N564" s="96" t="s">
        <v>581</v>
      </c>
      <c r="O564" s="96" t="s">
        <v>641</v>
      </c>
      <c r="P564" s="10">
        <v>830</v>
      </c>
      <c r="Q564" s="214">
        <v>10</v>
      </c>
      <c r="R564" s="214">
        <v>10</v>
      </c>
    </row>
    <row r="565" spans="1:18" s="179" customFormat="1" ht="18.75" customHeight="1">
      <c r="A565" s="142"/>
      <c r="B565" s="143"/>
      <c r="C565" s="142"/>
      <c r="D565" s="235"/>
      <c r="E565" s="166"/>
      <c r="F565" s="166"/>
      <c r="G565" s="136"/>
      <c r="H565" s="5" t="s">
        <v>713</v>
      </c>
      <c r="I565" s="10">
        <v>664</v>
      </c>
      <c r="J565" s="16">
        <v>1</v>
      </c>
      <c r="K565" s="16">
        <v>13</v>
      </c>
      <c r="L565" s="16">
        <v>48</v>
      </c>
      <c r="M565" s="96" t="s">
        <v>556</v>
      </c>
      <c r="N565" s="96" t="s">
        <v>581</v>
      </c>
      <c r="O565" s="96" t="s">
        <v>641</v>
      </c>
      <c r="P565" s="10">
        <v>850</v>
      </c>
      <c r="Q565" s="214">
        <v>10</v>
      </c>
      <c r="R565" s="214">
        <v>10</v>
      </c>
    </row>
    <row r="566" spans="1:18" s="179" customFormat="1" ht="36" customHeight="1">
      <c r="A566" s="142"/>
      <c r="B566" s="143"/>
      <c r="C566" s="142"/>
      <c r="D566" s="235"/>
      <c r="E566" s="166"/>
      <c r="F566" s="166"/>
      <c r="G566" s="136"/>
      <c r="H566" s="11" t="s">
        <v>137</v>
      </c>
      <c r="I566" s="10">
        <v>664</v>
      </c>
      <c r="J566" s="16">
        <v>1</v>
      </c>
      <c r="K566" s="16">
        <v>13</v>
      </c>
      <c r="L566" s="95" t="s">
        <v>136</v>
      </c>
      <c r="M566" s="96" t="s">
        <v>556</v>
      </c>
      <c r="N566" s="96" t="s">
        <v>135</v>
      </c>
      <c r="O566" s="96" t="s">
        <v>613</v>
      </c>
      <c r="P566" s="10"/>
      <c r="Q566" s="214">
        <f>Q567</f>
        <v>73.7</v>
      </c>
      <c r="R566" s="214">
        <f>R567</f>
        <v>73.7</v>
      </c>
    </row>
    <row r="567" spans="1:18" s="179" customFormat="1" ht="48" customHeight="1">
      <c r="A567" s="142"/>
      <c r="B567" s="143"/>
      <c r="C567" s="142"/>
      <c r="D567" s="235"/>
      <c r="E567" s="166"/>
      <c r="F567" s="166"/>
      <c r="G567" s="136"/>
      <c r="H567" s="11" t="s">
        <v>291</v>
      </c>
      <c r="I567" s="10">
        <v>664</v>
      </c>
      <c r="J567" s="16">
        <v>1</v>
      </c>
      <c r="K567" s="16">
        <v>13</v>
      </c>
      <c r="L567" s="16">
        <v>48</v>
      </c>
      <c r="M567" s="96" t="s">
        <v>556</v>
      </c>
      <c r="N567" s="96" t="s">
        <v>135</v>
      </c>
      <c r="O567" s="96" t="s">
        <v>783</v>
      </c>
      <c r="P567" s="10"/>
      <c r="Q567" s="214">
        <f>Q568</f>
        <v>73.7</v>
      </c>
      <c r="R567" s="214">
        <f>R568</f>
        <v>73.7</v>
      </c>
    </row>
    <row r="568" spans="1:18" s="179" customFormat="1" ht="18.75" customHeight="1">
      <c r="A568" s="142"/>
      <c r="B568" s="143"/>
      <c r="C568" s="142"/>
      <c r="D568" s="235"/>
      <c r="E568" s="166"/>
      <c r="F568" s="166"/>
      <c r="G568" s="136"/>
      <c r="H568" s="11" t="s">
        <v>712</v>
      </c>
      <c r="I568" s="10">
        <v>664</v>
      </c>
      <c r="J568" s="16">
        <v>1</v>
      </c>
      <c r="K568" s="16">
        <v>13</v>
      </c>
      <c r="L568" s="16">
        <v>48</v>
      </c>
      <c r="M568" s="96" t="s">
        <v>556</v>
      </c>
      <c r="N568" s="96" t="s">
        <v>135</v>
      </c>
      <c r="O568" s="96" t="s">
        <v>783</v>
      </c>
      <c r="P568" s="10">
        <v>240</v>
      </c>
      <c r="Q568" s="214">
        <v>73.7</v>
      </c>
      <c r="R568" s="214">
        <v>73.7</v>
      </c>
    </row>
    <row r="569" spans="1:18" s="179" customFormat="1" ht="27.75" customHeight="1">
      <c r="A569" s="142"/>
      <c r="B569" s="143"/>
      <c r="C569" s="142"/>
      <c r="D569" s="135"/>
      <c r="E569" s="135"/>
      <c r="F569" s="135"/>
      <c r="G569" s="136"/>
      <c r="H569" s="149" t="s">
        <v>524</v>
      </c>
      <c r="I569" s="138">
        <v>664</v>
      </c>
      <c r="J569" s="139">
        <v>4</v>
      </c>
      <c r="K569" s="139" t="s">
        <v>614</v>
      </c>
      <c r="L569" s="140"/>
      <c r="M569" s="141"/>
      <c r="N569" s="141"/>
      <c r="O569" s="141"/>
      <c r="P569" s="247"/>
      <c r="Q569" s="218">
        <f aca="true" t="shared" si="14" ref="Q569:R573">Q570</f>
        <v>200</v>
      </c>
      <c r="R569" s="218">
        <f>R570</f>
        <v>200</v>
      </c>
    </row>
    <row r="570" spans="1:18" s="179" customFormat="1" ht="18.75" customHeight="1">
      <c r="A570" s="142"/>
      <c r="B570" s="143"/>
      <c r="C570" s="142"/>
      <c r="D570" s="135"/>
      <c r="E570" s="135"/>
      <c r="F570" s="135"/>
      <c r="G570" s="136"/>
      <c r="H570" s="149" t="s">
        <v>330</v>
      </c>
      <c r="I570" s="138">
        <v>664</v>
      </c>
      <c r="J570" s="139">
        <v>4</v>
      </c>
      <c r="K570" s="139">
        <v>9</v>
      </c>
      <c r="L570" s="140"/>
      <c r="M570" s="141"/>
      <c r="N570" s="141"/>
      <c r="O570" s="141"/>
      <c r="P570" s="247"/>
      <c r="Q570" s="218">
        <f t="shared" si="14"/>
        <v>200</v>
      </c>
      <c r="R570" s="218">
        <f>R575</f>
        <v>200</v>
      </c>
    </row>
    <row r="571" spans="1:18" ht="36.75" customHeight="1">
      <c r="A571" s="99"/>
      <c r="B571" s="98"/>
      <c r="C571" s="97"/>
      <c r="D571" s="94"/>
      <c r="E571" s="94"/>
      <c r="F571" s="94"/>
      <c r="G571" s="89"/>
      <c r="H571" s="5" t="s">
        <v>766</v>
      </c>
      <c r="I571" s="10">
        <v>664</v>
      </c>
      <c r="J571" s="16">
        <v>4</v>
      </c>
      <c r="K571" s="16">
        <v>9</v>
      </c>
      <c r="L571" s="95" t="s">
        <v>581</v>
      </c>
      <c r="M571" s="96" t="s">
        <v>556</v>
      </c>
      <c r="N571" s="96" t="s">
        <v>576</v>
      </c>
      <c r="O571" s="96" t="s">
        <v>613</v>
      </c>
      <c r="P571" s="23"/>
      <c r="Q571" s="219">
        <f t="shared" si="14"/>
        <v>200</v>
      </c>
      <c r="R571" s="219">
        <f t="shared" si="14"/>
        <v>0</v>
      </c>
    </row>
    <row r="572" spans="1:18" ht="24" customHeight="1">
      <c r="A572" s="99"/>
      <c r="B572" s="98"/>
      <c r="C572" s="97"/>
      <c r="D572" s="94"/>
      <c r="E572" s="94"/>
      <c r="F572" s="94"/>
      <c r="G572" s="89"/>
      <c r="H572" s="5" t="s">
        <v>776</v>
      </c>
      <c r="I572" s="10">
        <v>664</v>
      </c>
      <c r="J572" s="16">
        <v>4</v>
      </c>
      <c r="K572" s="16">
        <v>9</v>
      </c>
      <c r="L572" s="95" t="s">
        <v>581</v>
      </c>
      <c r="M572" s="96" t="s">
        <v>556</v>
      </c>
      <c r="N572" s="96" t="s">
        <v>581</v>
      </c>
      <c r="O572" s="96" t="s">
        <v>613</v>
      </c>
      <c r="P572" s="23"/>
      <c r="Q572" s="219">
        <f t="shared" si="14"/>
        <v>200</v>
      </c>
      <c r="R572" s="219">
        <f t="shared" si="14"/>
        <v>0</v>
      </c>
    </row>
    <row r="573" spans="1:18" ht="23.25" customHeight="1">
      <c r="A573" s="99"/>
      <c r="B573" s="98"/>
      <c r="C573" s="97"/>
      <c r="D573" s="94"/>
      <c r="E573" s="94"/>
      <c r="F573" s="94"/>
      <c r="G573" s="89"/>
      <c r="H573" s="5" t="s">
        <v>777</v>
      </c>
      <c r="I573" s="10">
        <v>664</v>
      </c>
      <c r="J573" s="16">
        <v>4</v>
      </c>
      <c r="K573" s="16">
        <v>9</v>
      </c>
      <c r="L573" s="95" t="s">
        <v>581</v>
      </c>
      <c r="M573" s="96" t="s">
        <v>556</v>
      </c>
      <c r="N573" s="96" t="s">
        <v>581</v>
      </c>
      <c r="O573" s="96" t="s">
        <v>753</v>
      </c>
      <c r="P573" s="23"/>
      <c r="Q573" s="219">
        <f t="shared" si="14"/>
        <v>200</v>
      </c>
      <c r="R573" s="219">
        <f t="shared" si="14"/>
        <v>0</v>
      </c>
    </row>
    <row r="574" spans="1:18" ht="20.25" customHeight="1">
      <c r="A574" s="99"/>
      <c r="B574" s="98"/>
      <c r="C574" s="97"/>
      <c r="D574" s="94"/>
      <c r="E574" s="94"/>
      <c r="F574" s="94"/>
      <c r="G574" s="89"/>
      <c r="H574" s="5" t="s">
        <v>765</v>
      </c>
      <c r="I574" s="10">
        <v>664</v>
      </c>
      <c r="J574" s="16">
        <v>4</v>
      </c>
      <c r="K574" s="16">
        <v>9</v>
      </c>
      <c r="L574" s="95" t="s">
        <v>581</v>
      </c>
      <c r="M574" s="96" t="s">
        <v>556</v>
      </c>
      <c r="N574" s="96" t="s">
        <v>581</v>
      </c>
      <c r="O574" s="96" t="s">
        <v>753</v>
      </c>
      <c r="P574" s="23">
        <v>240</v>
      </c>
      <c r="Q574" s="219">
        <v>200</v>
      </c>
      <c r="R574" s="219">
        <v>0</v>
      </c>
    </row>
    <row r="575" spans="1:18" ht="36.75" customHeight="1">
      <c r="A575" s="99"/>
      <c r="B575" s="98"/>
      <c r="C575" s="97"/>
      <c r="D575" s="94"/>
      <c r="E575" s="94"/>
      <c r="F575" s="94"/>
      <c r="G575" s="89"/>
      <c r="H575" s="5" t="s">
        <v>380</v>
      </c>
      <c r="I575" s="10">
        <v>664</v>
      </c>
      <c r="J575" s="16">
        <v>4</v>
      </c>
      <c r="K575" s="16">
        <v>9</v>
      </c>
      <c r="L575" s="95" t="s">
        <v>702</v>
      </c>
      <c r="M575" s="96" t="s">
        <v>556</v>
      </c>
      <c r="N575" s="96" t="s">
        <v>576</v>
      </c>
      <c r="O575" s="96" t="s">
        <v>613</v>
      </c>
      <c r="P575" s="23"/>
      <c r="Q575" s="219">
        <f aca="true" t="shared" si="15" ref="Q575:R577">Q576</f>
        <v>0</v>
      </c>
      <c r="R575" s="219">
        <f t="shared" si="15"/>
        <v>200</v>
      </c>
    </row>
    <row r="576" spans="1:18" ht="24" customHeight="1">
      <c r="A576" s="99"/>
      <c r="B576" s="98"/>
      <c r="C576" s="97"/>
      <c r="D576" s="94"/>
      <c r="E576" s="94"/>
      <c r="F576" s="94"/>
      <c r="G576" s="89"/>
      <c r="H576" s="5" t="s">
        <v>776</v>
      </c>
      <c r="I576" s="10">
        <v>664</v>
      </c>
      <c r="J576" s="16">
        <v>4</v>
      </c>
      <c r="K576" s="16">
        <v>9</v>
      </c>
      <c r="L576" s="95" t="s">
        <v>702</v>
      </c>
      <c r="M576" s="96" t="s">
        <v>556</v>
      </c>
      <c r="N576" s="96" t="s">
        <v>581</v>
      </c>
      <c r="O576" s="96" t="s">
        <v>613</v>
      </c>
      <c r="P576" s="23"/>
      <c r="Q576" s="219">
        <f t="shared" si="15"/>
        <v>0</v>
      </c>
      <c r="R576" s="219">
        <f t="shared" si="15"/>
        <v>200</v>
      </c>
    </row>
    <row r="577" spans="1:18" ht="23.25" customHeight="1">
      <c r="A577" s="99"/>
      <c r="B577" s="98"/>
      <c r="C577" s="97"/>
      <c r="D577" s="94"/>
      <c r="E577" s="94"/>
      <c r="F577" s="94"/>
      <c r="G577" s="89"/>
      <c r="H577" s="5" t="s">
        <v>777</v>
      </c>
      <c r="I577" s="10">
        <v>664</v>
      </c>
      <c r="J577" s="16">
        <v>4</v>
      </c>
      <c r="K577" s="16">
        <v>9</v>
      </c>
      <c r="L577" s="95" t="s">
        <v>702</v>
      </c>
      <c r="M577" s="96" t="s">
        <v>556</v>
      </c>
      <c r="N577" s="96" t="s">
        <v>581</v>
      </c>
      <c r="O577" s="96" t="s">
        <v>753</v>
      </c>
      <c r="P577" s="23"/>
      <c r="Q577" s="219">
        <f t="shared" si="15"/>
        <v>0</v>
      </c>
      <c r="R577" s="219">
        <f t="shared" si="15"/>
        <v>200</v>
      </c>
    </row>
    <row r="578" spans="1:18" ht="20.25" customHeight="1">
      <c r="A578" s="99"/>
      <c r="B578" s="98"/>
      <c r="C578" s="97"/>
      <c r="D578" s="94"/>
      <c r="E578" s="94"/>
      <c r="F578" s="94"/>
      <c r="G578" s="89"/>
      <c r="H578" s="5" t="s">
        <v>765</v>
      </c>
      <c r="I578" s="10">
        <v>664</v>
      </c>
      <c r="J578" s="16">
        <v>4</v>
      </c>
      <c r="K578" s="16">
        <v>9</v>
      </c>
      <c r="L578" s="95" t="s">
        <v>702</v>
      </c>
      <c r="M578" s="96" t="s">
        <v>556</v>
      </c>
      <c r="N578" s="96" t="s">
        <v>581</v>
      </c>
      <c r="O578" s="96" t="s">
        <v>753</v>
      </c>
      <c r="P578" s="23">
        <v>240</v>
      </c>
      <c r="Q578" s="219">
        <v>0</v>
      </c>
      <c r="R578" s="219">
        <v>200</v>
      </c>
    </row>
    <row r="579" spans="1:18" s="179" customFormat="1" ht="20.25" customHeight="1">
      <c r="A579" s="142"/>
      <c r="B579" s="143"/>
      <c r="C579" s="142"/>
      <c r="D579" s="235"/>
      <c r="E579" s="166"/>
      <c r="F579" s="166"/>
      <c r="G579" s="136"/>
      <c r="H579" s="137" t="s">
        <v>534</v>
      </c>
      <c r="I579" s="138">
        <v>664</v>
      </c>
      <c r="J579" s="139">
        <v>10</v>
      </c>
      <c r="K579" s="139" t="s">
        <v>614</v>
      </c>
      <c r="L579" s="140"/>
      <c r="M579" s="141"/>
      <c r="N579" s="141"/>
      <c r="O579" s="141"/>
      <c r="P579" s="247"/>
      <c r="Q579" s="218">
        <f aca="true" t="shared" si="16" ref="Q579:R583">Q580</f>
        <v>4914.8</v>
      </c>
      <c r="R579" s="218">
        <f t="shared" si="16"/>
        <v>4914.8</v>
      </c>
    </row>
    <row r="580" spans="1:18" s="179" customFormat="1" ht="20.25" customHeight="1">
      <c r="A580" s="142"/>
      <c r="B580" s="143"/>
      <c r="C580" s="142"/>
      <c r="D580" s="235"/>
      <c r="E580" s="166"/>
      <c r="F580" s="166"/>
      <c r="G580" s="136"/>
      <c r="H580" s="137" t="s">
        <v>533</v>
      </c>
      <c r="I580" s="138">
        <v>664</v>
      </c>
      <c r="J580" s="139">
        <v>10</v>
      </c>
      <c r="K580" s="139">
        <v>3</v>
      </c>
      <c r="L580" s="140"/>
      <c r="M580" s="141"/>
      <c r="N580" s="141"/>
      <c r="O580" s="141"/>
      <c r="P580" s="247"/>
      <c r="Q580" s="218">
        <f t="shared" si="16"/>
        <v>4914.8</v>
      </c>
      <c r="R580" s="218">
        <f t="shared" si="16"/>
        <v>4914.8</v>
      </c>
    </row>
    <row r="581" spans="1:18" s="179" customFormat="1" ht="39" customHeight="1">
      <c r="A581" s="142"/>
      <c r="B581" s="143"/>
      <c r="C581" s="142"/>
      <c r="D581" s="235"/>
      <c r="E581" s="166"/>
      <c r="F581" s="166"/>
      <c r="G581" s="136"/>
      <c r="H581" s="11" t="s">
        <v>138</v>
      </c>
      <c r="I581" s="10">
        <v>664</v>
      </c>
      <c r="J581" s="16">
        <v>10</v>
      </c>
      <c r="K581" s="16">
        <v>3</v>
      </c>
      <c r="L581" s="95" t="s">
        <v>136</v>
      </c>
      <c r="M581" s="96" t="s">
        <v>556</v>
      </c>
      <c r="N581" s="96" t="s">
        <v>576</v>
      </c>
      <c r="O581" s="96" t="s">
        <v>613</v>
      </c>
      <c r="P581" s="247"/>
      <c r="Q581" s="219">
        <f t="shared" si="16"/>
        <v>4914.8</v>
      </c>
      <c r="R581" s="219">
        <f t="shared" si="16"/>
        <v>4914.8</v>
      </c>
    </row>
    <row r="582" spans="1:18" s="179" customFormat="1" ht="52.5" customHeight="1">
      <c r="A582" s="142"/>
      <c r="B582" s="143"/>
      <c r="C582" s="142"/>
      <c r="D582" s="235"/>
      <c r="E582" s="166"/>
      <c r="F582" s="166"/>
      <c r="G582" s="136"/>
      <c r="H582" s="11" t="s">
        <v>137</v>
      </c>
      <c r="I582" s="10">
        <v>664</v>
      </c>
      <c r="J582" s="16">
        <v>10</v>
      </c>
      <c r="K582" s="16">
        <v>3</v>
      </c>
      <c r="L582" s="95" t="s">
        <v>136</v>
      </c>
      <c r="M582" s="96" t="s">
        <v>556</v>
      </c>
      <c r="N582" s="96" t="s">
        <v>139</v>
      </c>
      <c r="O582" s="96" t="s">
        <v>613</v>
      </c>
      <c r="P582" s="247"/>
      <c r="Q582" s="219">
        <f t="shared" si="16"/>
        <v>4914.8</v>
      </c>
      <c r="R582" s="219">
        <f t="shared" si="16"/>
        <v>4914.8</v>
      </c>
    </row>
    <row r="583" spans="1:18" ht="51" customHeight="1">
      <c r="A583" s="99"/>
      <c r="B583" s="98"/>
      <c r="C583" s="103"/>
      <c r="D583" s="101"/>
      <c r="E583" s="113"/>
      <c r="F583" s="113"/>
      <c r="G583" s="89"/>
      <c r="H583" s="11" t="s">
        <v>291</v>
      </c>
      <c r="I583" s="10">
        <v>664</v>
      </c>
      <c r="J583" s="16">
        <v>10</v>
      </c>
      <c r="K583" s="16">
        <v>3</v>
      </c>
      <c r="L583" s="95" t="s">
        <v>136</v>
      </c>
      <c r="M583" s="96" t="s">
        <v>556</v>
      </c>
      <c r="N583" s="96" t="s">
        <v>135</v>
      </c>
      <c r="O583" s="96" t="s">
        <v>783</v>
      </c>
      <c r="P583" s="10"/>
      <c r="Q583" s="214">
        <f t="shared" si="16"/>
        <v>4914.8</v>
      </c>
      <c r="R583" s="214">
        <f t="shared" si="16"/>
        <v>4914.8</v>
      </c>
    </row>
    <row r="584" spans="1:18" ht="20.25" customHeight="1">
      <c r="A584" s="99"/>
      <c r="B584" s="98"/>
      <c r="C584" s="103"/>
      <c r="D584" s="101"/>
      <c r="E584" s="113"/>
      <c r="F584" s="113"/>
      <c r="G584" s="89"/>
      <c r="H584" s="11" t="s">
        <v>717</v>
      </c>
      <c r="I584" s="10">
        <v>664</v>
      </c>
      <c r="J584" s="16">
        <v>10</v>
      </c>
      <c r="K584" s="16">
        <v>3</v>
      </c>
      <c r="L584" s="95" t="s">
        <v>136</v>
      </c>
      <c r="M584" s="96" t="s">
        <v>556</v>
      </c>
      <c r="N584" s="96" t="s">
        <v>135</v>
      </c>
      <c r="O584" s="96" t="s">
        <v>783</v>
      </c>
      <c r="P584" s="10">
        <v>320</v>
      </c>
      <c r="Q584" s="215">
        <v>4914.8</v>
      </c>
      <c r="R584" s="239">
        <v>4914.8</v>
      </c>
    </row>
    <row r="585" spans="1:18" ht="19.5" customHeight="1">
      <c r="A585" s="99"/>
      <c r="B585" s="98"/>
      <c r="C585" s="97"/>
      <c r="D585" s="368">
        <v>20000</v>
      </c>
      <c r="E585" s="369"/>
      <c r="F585" s="369"/>
      <c r="G585" s="89">
        <v>360</v>
      </c>
      <c r="H585" s="125" t="s">
        <v>525</v>
      </c>
      <c r="I585" s="90"/>
      <c r="J585" s="91"/>
      <c r="K585" s="91"/>
      <c r="L585" s="92"/>
      <c r="M585" s="93"/>
      <c r="N585" s="93"/>
      <c r="O585" s="93"/>
      <c r="P585" s="131"/>
      <c r="Q585" s="315">
        <f>Q15+Q324+Q334+Q344+Q397+Q546+Q294</f>
        <v>494990.69999999995</v>
      </c>
      <c r="R585" s="315">
        <f>R15+R324+R334+R344+R397+R546+R294</f>
        <v>470975</v>
      </c>
    </row>
    <row r="586" spans="1:18" ht="17.25" customHeight="1">
      <c r="A586" s="201"/>
      <c r="B586" s="111"/>
      <c r="C586" s="111"/>
      <c r="D586" s="107"/>
      <c r="E586" s="107"/>
      <c r="F586" s="107"/>
      <c r="G586" s="202"/>
      <c r="H586" s="125" t="s">
        <v>17</v>
      </c>
      <c r="I586" s="9"/>
      <c r="J586" s="127"/>
      <c r="K586" s="127"/>
      <c r="L586" s="92"/>
      <c r="M586" s="93"/>
      <c r="N586" s="93"/>
      <c r="O586" s="208"/>
      <c r="P586" s="9"/>
      <c r="Q586" s="212">
        <v>6200</v>
      </c>
      <c r="R586" s="212">
        <v>12500</v>
      </c>
    </row>
    <row r="587" spans="1:18" ht="18.75" customHeight="1">
      <c r="A587" s="201"/>
      <c r="B587" s="111"/>
      <c r="C587" s="111"/>
      <c r="D587" s="107"/>
      <c r="E587" s="107"/>
      <c r="F587" s="107"/>
      <c r="G587" s="202"/>
      <c r="H587" s="125" t="s">
        <v>16</v>
      </c>
      <c r="I587" s="9"/>
      <c r="J587" s="127"/>
      <c r="K587" s="127"/>
      <c r="L587" s="92"/>
      <c r="M587" s="93"/>
      <c r="N587" s="93"/>
      <c r="O587" s="208"/>
      <c r="P587" s="9"/>
      <c r="Q587" s="212">
        <f>Q585+Q586</f>
        <v>501190.69999999995</v>
      </c>
      <c r="R587" s="212">
        <f>R585+R586</f>
        <v>483475</v>
      </c>
    </row>
    <row r="588" ht="15.75">
      <c r="R588" s="316" t="s">
        <v>521</v>
      </c>
    </row>
  </sheetData>
  <sheetProtection/>
  <mergeCells count="45">
    <mergeCell ref="D40:F40"/>
    <mergeCell ref="D285:F285"/>
    <mergeCell ref="C219:F219"/>
    <mergeCell ref="D232:F232"/>
    <mergeCell ref="D221:F221"/>
    <mergeCell ref="E52:F52"/>
    <mergeCell ref="C212:F212"/>
    <mergeCell ref="E234:F234"/>
    <mergeCell ref="D254:F254"/>
    <mergeCell ref="A336:F336"/>
    <mergeCell ref="I4:R4"/>
    <mergeCell ref="I5:R5"/>
    <mergeCell ref="I6:R6"/>
    <mergeCell ref="I7:R7"/>
    <mergeCell ref="A16:F16"/>
    <mergeCell ref="L14:O14"/>
    <mergeCell ref="Q12:R12"/>
    <mergeCell ref="D264:F264"/>
    <mergeCell ref="I8:R8"/>
    <mergeCell ref="A546:F546"/>
    <mergeCell ref="D398:F398"/>
    <mergeCell ref="E262:F262"/>
    <mergeCell ref="D270:F270"/>
    <mergeCell ref="D19:F19"/>
    <mergeCell ref="D338:F338"/>
    <mergeCell ref="D55:F55"/>
    <mergeCell ref="E143:F143"/>
    <mergeCell ref="E233:F233"/>
    <mergeCell ref="C39:F39"/>
    <mergeCell ref="L12:O12"/>
    <mergeCell ref="A38:F38"/>
    <mergeCell ref="C17:F17"/>
    <mergeCell ref="Q11:R11"/>
    <mergeCell ref="H10:R10"/>
    <mergeCell ref="A15:F15"/>
    <mergeCell ref="D585:F585"/>
    <mergeCell ref="E538:F538"/>
    <mergeCell ref="E278:F278"/>
    <mergeCell ref="E539:F539"/>
    <mergeCell ref="C548:F548"/>
    <mergeCell ref="D345:F345"/>
    <mergeCell ref="E346:F346"/>
    <mergeCell ref="E399:F399"/>
    <mergeCell ref="A547:F547"/>
    <mergeCell ref="E334:F334"/>
  </mergeCells>
  <printOptions/>
  <pageMargins left="0.56" right="0.27" top="0.33" bottom="0.52" header="0.5118110236220472" footer="0.5118110236220472"/>
  <pageSetup fitToHeight="0" fitToWidth="1" horizontalDpi="600" verticalDpi="600" orientation="portrait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9"/>
  <sheetViews>
    <sheetView zoomScale="80" zoomScaleNormal="80" zoomScalePageLayoutView="0" workbookViewId="0" topLeftCell="A65">
      <selection activeCell="F72" sqref="F72"/>
    </sheetView>
  </sheetViews>
  <sheetFormatPr defaultColWidth="9.140625" defaultRowHeight="15"/>
  <cols>
    <col min="1" max="1" width="55.421875" style="279" customWidth="1"/>
    <col min="2" max="2" width="15.00390625" style="279" customWidth="1"/>
    <col min="3" max="3" width="6.8515625" style="283" customWidth="1"/>
    <col min="4" max="4" width="9.00390625" style="283" customWidth="1"/>
    <col min="5" max="5" width="8.7109375" style="279" customWidth="1"/>
    <col min="6" max="6" width="13.28125" style="284" customWidth="1"/>
    <col min="7" max="16384" width="9.140625" style="279" customWidth="1"/>
  </cols>
  <sheetData>
    <row r="1" spans="2:6" ht="18.75">
      <c r="B1" s="402" t="s">
        <v>871</v>
      </c>
      <c r="C1" s="402"/>
      <c r="D1" s="402"/>
      <c r="E1" s="402"/>
      <c r="F1" s="402"/>
    </row>
    <row r="2" spans="2:6" ht="18.75">
      <c r="B2" s="402" t="s">
        <v>491</v>
      </c>
      <c r="C2" s="402"/>
      <c r="D2" s="402"/>
      <c r="E2" s="402"/>
      <c r="F2" s="402"/>
    </row>
    <row r="3" spans="2:6" ht="18.75">
      <c r="B3" s="402" t="s">
        <v>107</v>
      </c>
      <c r="C3" s="402"/>
      <c r="D3" s="402"/>
      <c r="E3" s="402"/>
      <c r="F3" s="402"/>
    </row>
    <row r="4" spans="1:7" ht="22.5" customHeight="1">
      <c r="A4" s="278"/>
      <c r="B4" s="406" t="s">
        <v>109</v>
      </c>
      <c r="C4" s="406"/>
      <c r="D4" s="406"/>
      <c r="E4" s="406"/>
      <c r="F4" s="406"/>
      <c r="G4" s="300"/>
    </row>
    <row r="5" spans="1:7" ht="28.5" customHeight="1">
      <c r="A5" s="278"/>
      <c r="B5" s="407" t="s">
        <v>491</v>
      </c>
      <c r="C5" s="407"/>
      <c r="D5" s="407"/>
      <c r="E5" s="407"/>
      <c r="F5" s="407"/>
      <c r="G5" s="301"/>
    </row>
    <row r="6" spans="1:7" ht="19.5" customHeight="1">
      <c r="A6" s="278"/>
      <c r="B6" s="406" t="s">
        <v>492</v>
      </c>
      <c r="C6" s="406"/>
      <c r="D6" s="406"/>
      <c r="E6" s="406"/>
      <c r="F6" s="406"/>
      <c r="G6" s="300"/>
    </row>
    <row r="7" spans="1:7" ht="19.5" customHeight="1">
      <c r="A7" s="278"/>
      <c r="B7" s="406" t="s">
        <v>3</v>
      </c>
      <c r="C7" s="406"/>
      <c r="D7" s="406"/>
      <c r="E7" s="406"/>
      <c r="F7" s="406"/>
      <c r="G7" s="300"/>
    </row>
    <row r="8" spans="1:7" ht="18.75">
      <c r="A8" s="278"/>
      <c r="B8" s="192" t="s">
        <v>108</v>
      </c>
      <c r="C8" s="192"/>
      <c r="D8" s="192"/>
      <c r="E8" s="192"/>
      <c r="F8" s="280"/>
      <c r="G8" s="195"/>
    </row>
    <row r="9" spans="1:7" ht="18.75">
      <c r="A9" s="278"/>
      <c r="B9" s="192"/>
      <c r="C9" s="192"/>
      <c r="D9" s="192"/>
      <c r="E9" s="192"/>
      <c r="F9" s="280"/>
      <c r="G9" s="195"/>
    </row>
    <row r="10" spans="1:7" ht="18.75">
      <c r="A10" s="408" t="s">
        <v>384</v>
      </c>
      <c r="B10" s="408"/>
      <c r="C10" s="408"/>
      <c r="D10" s="408"/>
      <c r="E10" s="408"/>
      <c r="F10" s="408"/>
      <c r="G10" s="267"/>
    </row>
    <row r="11" spans="1:7" ht="18.75">
      <c r="A11" s="408" t="s">
        <v>761</v>
      </c>
      <c r="B11" s="408"/>
      <c r="C11" s="408"/>
      <c r="D11" s="408"/>
      <c r="E11" s="408"/>
      <c r="F11" s="408"/>
      <c r="G11" s="266"/>
    </row>
    <row r="12" spans="1:7" ht="18.75">
      <c r="A12" s="403" t="s">
        <v>493</v>
      </c>
      <c r="B12" s="403"/>
      <c r="C12" s="403"/>
      <c r="D12" s="403"/>
      <c r="E12" s="403"/>
      <c r="F12" s="403"/>
      <c r="G12" s="265"/>
    </row>
    <row r="13" spans="1:6" ht="30.75" customHeight="1">
      <c r="A13" s="268"/>
      <c r="B13" s="268"/>
      <c r="C13" s="269"/>
      <c r="D13" s="269"/>
      <c r="E13" s="268"/>
      <c r="F13" s="284" t="s">
        <v>12</v>
      </c>
    </row>
    <row r="14" spans="1:6" ht="15.75" customHeight="1">
      <c r="A14" s="400" t="s">
        <v>503</v>
      </c>
      <c r="B14" s="400" t="s">
        <v>499</v>
      </c>
      <c r="C14" s="401" t="s">
        <v>502</v>
      </c>
      <c r="D14" s="401" t="s">
        <v>381</v>
      </c>
      <c r="E14" s="400" t="s">
        <v>498</v>
      </c>
      <c r="F14" s="404" t="s">
        <v>497</v>
      </c>
    </row>
    <row r="15" spans="1:6" ht="15.75" customHeight="1">
      <c r="A15" s="400"/>
      <c r="B15" s="400"/>
      <c r="C15" s="401"/>
      <c r="D15" s="401"/>
      <c r="E15" s="400"/>
      <c r="F15" s="405"/>
    </row>
    <row r="16" spans="1:6" ht="15.75">
      <c r="A16" s="271">
        <v>1</v>
      </c>
      <c r="B16" s="271">
        <v>2</v>
      </c>
      <c r="C16" s="272">
        <v>3</v>
      </c>
      <c r="D16" s="272">
        <v>4</v>
      </c>
      <c r="E16" s="271">
        <v>5</v>
      </c>
      <c r="F16" s="272">
        <v>6</v>
      </c>
    </row>
    <row r="17" spans="1:6" ht="50.25" customHeight="1">
      <c r="A17" s="287" t="s">
        <v>29</v>
      </c>
      <c r="B17" s="273" t="s">
        <v>721</v>
      </c>
      <c r="C17" s="274"/>
      <c r="D17" s="274"/>
      <c r="E17" s="273"/>
      <c r="F17" s="277">
        <f>F18+F21+F24</f>
        <v>228.1</v>
      </c>
    </row>
    <row r="18" spans="1:6" ht="41.25" customHeight="1">
      <c r="A18" s="288" t="s">
        <v>467</v>
      </c>
      <c r="B18" s="270" t="s">
        <v>724</v>
      </c>
      <c r="C18" s="275"/>
      <c r="D18" s="275"/>
      <c r="E18" s="270"/>
      <c r="F18" s="276">
        <f>F19</f>
        <v>101.1</v>
      </c>
    </row>
    <row r="19" spans="1:6" ht="72" customHeight="1">
      <c r="A19" s="288" t="s">
        <v>243</v>
      </c>
      <c r="B19" s="270" t="s">
        <v>725</v>
      </c>
      <c r="C19" s="275"/>
      <c r="D19" s="275"/>
      <c r="E19" s="270"/>
      <c r="F19" s="276">
        <f>F20</f>
        <v>101.1</v>
      </c>
    </row>
    <row r="20" spans="1:6" ht="15.75">
      <c r="A20" s="288" t="s">
        <v>606</v>
      </c>
      <c r="B20" s="270" t="s">
        <v>725</v>
      </c>
      <c r="C20" s="275" t="s">
        <v>382</v>
      </c>
      <c r="D20" s="275" t="s">
        <v>383</v>
      </c>
      <c r="E20" s="270">
        <v>340</v>
      </c>
      <c r="F20" s="276">
        <f>'Приложение 9'!Q369</f>
        <v>101.1</v>
      </c>
    </row>
    <row r="21" spans="1:6" ht="31.5" customHeight="1">
      <c r="A21" s="288" t="s">
        <v>468</v>
      </c>
      <c r="B21" s="270" t="s">
        <v>736</v>
      </c>
      <c r="C21" s="275"/>
      <c r="D21" s="275"/>
      <c r="E21" s="270"/>
      <c r="F21" s="276">
        <f>F22</f>
        <v>55</v>
      </c>
    </row>
    <row r="22" spans="1:6" ht="60" customHeight="1">
      <c r="A22" s="288" t="s">
        <v>243</v>
      </c>
      <c r="B22" s="270" t="s">
        <v>737</v>
      </c>
      <c r="C22" s="275"/>
      <c r="D22" s="275"/>
      <c r="E22" s="270"/>
      <c r="F22" s="276">
        <f>F23</f>
        <v>55</v>
      </c>
    </row>
    <row r="23" spans="1:6" ht="36" customHeight="1">
      <c r="A23" s="288" t="s">
        <v>712</v>
      </c>
      <c r="B23" s="270" t="s">
        <v>737</v>
      </c>
      <c r="C23" s="275" t="s">
        <v>382</v>
      </c>
      <c r="D23" s="275" t="s">
        <v>383</v>
      </c>
      <c r="E23" s="270">
        <v>240</v>
      </c>
      <c r="F23" s="276">
        <f>'Приложение 9'!Q372</f>
        <v>55</v>
      </c>
    </row>
    <row r="24" spans="1:6" ht="112.5" customHeight="1">
      <c r="A24" s="288" t="s">
        <v>511</v>
      </c>
      <c r="B24" s="270" t="s">
        <v>20</v>
      </c>
      <c r="C24" s="275"/>
      <c r="D24" s="275"/>
      <c r="E24" s="270"/>
      <c r="F24" s="276">
        <f>F25</f>
        <v>72</v>
      </c>
    </row>
    <row r="25" spans="1:6" ht="64.5" customHeight="1">
      <c r="A25" s="288" t="s">
        <v>243</v>
      </c>
      <c r="B25" s="270" t="s">
        <v>19</v>
      </c>
      <c r="C25" s="275"/>
      <c r="D25" s="275"/>
      <c r="E25" s="270"/>
      <c r="F25" s="276">
        <f>F26</f>
        <v>72</v>
      </c>
    </row>
    <row r="26" spans="1:6" ht="31.5">
      <c r="A26" s="288" t="s">
        <v>716</v>
      </c>
      <c r="B26" s="270" t="s">
        <v>19</v>
      </c>
      <c r="C26" s="275" t="s">
        <v>382</v>
      </c>
      <c r="D26" s="275" t="s">
        <v>385</v>
      </c>
      <c r="E26" s="270">
        <v>310</v>
      </c>
      <c r="F26" s="276">
        <f>'Приложение 9'!Q380</f>
        <v>72</v>
      </c>
    </row>
    <row r="27" spans="1:6" s="282" customFormat="1" ht="68.25" customHeight="1">
      <c r="A27" s="287" t="s">
        <v>766</v>
      </c>
      <c r="B27" s="273" t="s">
        <v>726</v>
      </c>
      <c r="C27" s="274"/>
      <c r="D27" s="274"/>
      <c r="E27" s="273"/>
      <c r="F27" s="277">
        <f>F28+F32+F35+F42+F45+F49+F52+F55+F58+F61+F64</f>
        <v>63050.5</v>
      </c>
    </row>
    <row r="28" spans="1:6" ht="31.5">
      <c r="A28" s="288" t="s">
        <v>654</v>
      </c>
      <c r="B28" s="270" t="s">
        <v>733</v>
      </c>
      <c r="C28" s="275"/>
      <c r="D28" s="275"/>
      <c r="E28" s="270"/>
      <c r="F28" s="276">
        <f>F29</f>
        <v>44526.2</v>
      </c>
    </row>
    <row r="29" spans="1:6" ht="47.25">
      <c r="A29" s="288" t="s">
        <v>732</v>
      </c>
      <c r="B29" s="270" t="s">
        <v>734</v>
      </c>
      <c r="C29" s="275"/>
      <c r="D29" s="275"/>
      <c r="E29" s="270"/>
      <c r="F29" s="276">
        <f>SUM(F30:F31)</f>
        <v>44526.2</v>
      </c>
    </row>
    <row r="30" spans="1:6" ht="31.5" hidden="1">
      <c r="A30" s="288" t="s">
        <v>712</v>
      </c>
      <c r="B30" s="270" t="s">
        <v>734</v>
      </c>
      <c r="C30" s="275" t="s">
        <v>722</v>
      </c>
      <c r="D30" s="275" t="s">
        <v>386</v>
      </c>
      <c r="E30" s="270">
        <v>240</v>
      </c>
      <c r="F30" s="276">
        <f>'Приложение 9'!Q116</f>
        <v>0</v>
      </c>
    </row>
    <row r="31" spans="1:6" ht="15.75">
      <c r="A31" s="288" t="s">
        <v>640</v>
      </c>
      <c r="B31" s="270" t="s">
        <v>734</v>
      </c>
      <c r="C31" s="275" t="s">
        <v>722</v>
      </c>
      <c r="D31" s="275" t="s">
        <v>386</v>
      </c>
      <c r="E31" s="270">
        <v>540</v>
      </c>
      <c r="F31" s="276">
        <f>'Приложение 9'!Q117</f>
        <v>44526.2</v>
      </c>
    </row>
    <row r="32" spans="1:6" ht="31.5">
      <c r="A32" s="288" t="s">
        <v>815</v>
      </c>
      <c r="B32" s="270" t="s">
        <v>727</v>
      </c>
      <c r="C32" s="275"/>
      <c r="D32" s="275"/>
      <c r="E32" s="270"/>
      <c r="F32" s="276">
        <f>F33</f>
        <v>443.9</v>
      </c>
    </row>
    <row r="33" spans="1:6" ht="15.75">
      <c r="A33" s="288" t="s">
        <v>754</v>
      </c>
      <c r="B33" s="270" t="s">
        <v>767</v>
      </c>
      <c r="C33" s="275"/>
      <c r="D33" s="275"/>
      <c r="E33" s="270"/>
      <c r="F33" s="276">
        <f>F34</f>
        <v>443.9</v>
      </c>
    </row>
    <row r="34" spans="1:6" ht="15.75">
      <c r="A34" s="288" t="s">
        <v>640</v>
      </c>
      <c r="B34" s="270" t="s">
        <v>767</v>
      </c>
      <c r="C34" s="275" t="s">
        <v>722</v>
      </c>
      <c r="D34" s="275" t="s">
        <v>386</v>
      </c>
      <c r="E34" s="270">
        <v>540</v>
      </c>
      <c r="F34" s="276">
        <f>'Приложение 9'!Q120</f>
        <v>443.9</v>
      </c>
    </row>
    <row r="35" spans="1:6" ht="33" customHeight="1">
      <c r="A35" s="296" t="s">
        <v>855</v>
      </c>
      <c r="B35" s="270" t="s">
        <v>728</v>
      </c>
      <c r="C35" s="275"/>
      <c r="D35" s="275"/>
      <c r="E35" s="270"/>
      <c r="F35" s="276">
        <f>F36+F39</f>
        <v>7882.200000000001</v>
      </c>
    </row>
    <row r="36" spans="1:6" ht="15.75">
      <c r="A36" s="288" t="s">
        <v>754</v>
      </c>
      <c r="B36" s="270" t="s">
        <v>271</v>
      </c>
      <c r="C36" s="275"/>
      <c r="D36" s="275"/>
      <c r="E36" s="270"/>
      <c r="F36" s="276">
        <f>F37+F38</f>
        <v>5988.500000000001</v>
      </c>
    </row>
    <row r="37" spans="1:6" ht="31.5">
      <c r="A37" s="288" t="s">
        <v>712</v>
      </c>
      <c r="B37" s="270" t="s">
        <v>271</v>
      </c>
      <c r="C37" s="275" t="s">
        <v>722</v>
      </c>
      <c r="D37" s="275" t="s">
        <v>386</v>
      </c>
      <c r="E37" s="270">
        <v>240</v>
      </c>
      <c r="F37" s="276">
        <f>'Приложение 9'!Q123</f>
        <v>5524.100000000001</v>
      </c>
    </row>
    <row r="38" spans="1:6" ht="15.75">
      <c r="A38" s="288" t="s">
        <v>640</v>
      </c>
      <c r="B38" s="270" t="s">
        <v>271</v>
      </c>
      <c r="C38" s="275" t="s">
        <v>722</v>
      </c>
      <c r="D38" s="275" t="s">
        <v>386</v>
      </c>
      <c r="E38" s="270">
        <v>540</v>
      </c>
      <c r="F38" s="276">
        <f>'Приложение 9'!Q124</f>
        <v>464.4</v>
      </c>
    </row>
    <row r="39" spans="1:6" ht="47.25">
      <c r="A39" s="11" t="s">
        <v>732</v>
      </c>
      <c r="B39" s="297" t="s">
        <v>199</v>
      </c>
      <c r="C39" s="275"/>
      <c r="D39" s="275"/>
      <c r="E39" s="270"/>
      <c r="F39" s="276">
        <f>F40+F41</f>
        <v>1893.6999999999998</v>
      </c>
    </row>
    <row r="40" spans="1:6" ht="31.5">
      <c r="A40" s="5" t="s">
        <v>712</v>
      </c>
      <c r="B40" s="297" t="s">
        <v>199</v>
      </c>
      <c r="C40" s="298" t="s">
        <v>722</v>
      </c>
      <c r="D40" s="298" t="s">
        <v>386</v>
      </c>
      <c r="E40" s="270">
        <v>240</v>
      </c>
      <c r="F40" s="276">
        <f>'Приложение 9'!Q126</f>
        <v>1428.1</v>
      </c>
    </row>
    <row r="41" spans="1:6" ht="15.75">
      <c r="A41" s="288" t="s">
        <v>640</v>
      </c>
      <c r="B41" s="297" t="s">
        <v>199</v>
      </c>
      <c r="C41" s="298" t="s">
        <v>722</v>
      </c>
      <c r="D41" s="298" t="s">
        <v>386</v>
      </c>
      <c r="E41" s="270">
        <v>540</v>
      </c>
      <c r="F41" s="276">
        <f>'Приложение 9'!Q127</f>
        <v>465.6</v>
      </c>
    </row>
    <row r="42" spans="1:6" ht="47.25">
      <c r="A42" s="288" t="s">
        <v>768</v>
      </c>
      <c r="B42" s="270" t="s">
        <v>729</v>
      </c>
      <c r="C42" s="275"/>
      <c r="D42" s="275"/>
      <c r="E42" s="270"/>
      <c r="F42" s="276">
        <f>F43</f>
        <v>200</v>
      </c>
    </row>
    <row r="43" spans="1:6" ht="21.75" customHeight="1">
      <c r="A43" s="288" t="s">
        <v>754</v>
      </c>
      <c r="B43" s="270" t="s">
        <v>769</v>
      </c>
      <c r="C43" s="275"/>
      <c r="D43" s="275"/>
      <c r="E43" s="270"/>
      <c r="F43" s="276">
        <f>F44</f>
        <v>200</v>
      </c>
    </row>
    <row r="44" spans="1:6" ht="33" customHeight="1">
      <c r="A44" s="288" t="s">
        <v>712</v>
      </c>
      <c r="B44" s="270" t="s">
        <v>769</v>
      </c>
      <c r="C44" s="275" t="s">
        <v>387</v>
      </c>
      <c r="D44" s="275" t="s">
        <v>386</v>
      </c>
      <c r="E44" s="270">
        <v>240</v>
      </c>
      <c r="F44" s="276">
        <f>'Приложение 9'!Q699</f>
        <v>200</v>
      </c>
    </row>
    <row r="45" spans="1:6" ht="48" customHeight="1">
      <c r="A45" s="296" t="s">
        <v>161</v>
      </c>
      <c r="B45" s="270" t="s">
        <v>750</v>
      </c>
      <c r="C45" s="275"/>
      <c r="D45" s="275"/>
      <c r="E45" s="270"/>
      <c r="F45" s="276">
        <f>F47+F46</f>
        <v>934.7</v>
      </c>
    </row>
    <row r="46" spans="1:6" ht="41.25" customHeight="1" hidden="1">
      <c r="A46" s="288" t="s">
        <v>712</v>
      </c>
      <c r="B46" s="270" t="s">
        <v>268</v>
      </c>
      <c r="C46" s="275" t="s">
        <v>722</v>
      </c>
      <c r="D46" s="275" t="s">
        <v>386</v>
      </c>
      <c r="E46" s="270">
        <v>240</v>
      </c>
      <c r="F46" s="276">
        <f>'Приложение 9'!Q130</f>
        <v>0</v>
      </c>
    </row>
    <row r="47" spans="1:6" ht="73.5" customHeight="1">
      <c r="A47" s="288" t="s">
        <v>267</v>
      </c>
      <c r="B47" s="270" t="s">
        <v>268</v>
      </c>
      <c r="C47" s="275"/>
      <c r="D47" s="275"/>
      <c r="E47" s="270"/>
      <c r="F47" s="276">
        <f>F48</f>
        <v>934.7</v>
      </c>
    </row>
    <row r="48" spans="1:6" ht="15.75">
      <c r="A48" s="288" t="s">
        <v>640</v>
      </c>
      <c r="B48" s="270" t="s">
        <v>268</v>
      </c>
      <c r="C48" s="275" t="s">
        <v>722</v>
      </c>
      <c r="D48" s="275" t="s">
        <v>386</v>
      </c>
      <c r="E48" s="270">
        <v>540</v>
      </c>
      <c r="F48" s="276">
        <f>'Приложение 9'!Q131</f>
        <v>934.7</v>
      </c>
    </row>
    <row r="49" spans="1:6" ht="51" customHeight="1">
      <c r="A49" s="288" t="s">
        <v>250</v>
      </c>
      <c r="B49" s="270" t="s">
        <v>771</v>
      </c>
      <c r="C49" s="275"/>
      <c r="D49" s="275"/>
      <c r="E49" s="270"/>
      <c r="F49" s="276">
        <f>F50</f>
        <v>2800</v>
      </c>
    </row>
    <row r="50" spans="1:6" s="268" customFormat="1" ht="52.5" customHeight="1">
      <c r="A50" s="288" t="s">
        <v>247</v>
      </c>
      <c r="B50" s="286" t="s">
        <v>772</v>
      </c>
      <c r="C50" s="275"/>
      <c r="D50" s="275"/>
      <c r="E50" s="270"/>
      <c r="F50" s="276">
        <f>F51</f>
        <v>2800</v>
      </c>
    </row>
    <row r="51" spans="1:6" s="268" customFormat="1" ht="15.75">
      <c r="A51" s="288" t="s">
        <v>640</v>
      </c>
      <c r="B51" s="286" t="s">
        <v>772</v>
      </c>
      <c r="C51" s="275" t="s">
        <v>722</v>
      </c>
      <c r="D51" s="275" t="s">
        <v>386</v>
      </c>
      <c r="E51" s="270">
        <v>540</v>
      </c>
      <c r="F51" s="276">
        <f>'Приложение 9'!Q134</f>
        <v>2800</v>
      </c>
    </row>
    <row r="52" spans="1:6" s="268" customFormat="1" ht="37.5" customHeight="1">
      <c r="A52" s="5" t="s">
        <v>162</v>
      </c>
      <c r="B52" s="349" t="s">
        <v>163</v>
      </c>
      <c r="C52" s="275"/>
      <c r="D52" s="275"/>
      <c r="E52" s="270"/>
      <c r="F52" s="276">
        <f>F53</f>
        <v>210</v>
      </c>
    </row>
    <row r="53" spans="1:6" s="268" customFormat="1" ht="21" customHeight="1">
      <c r="A53" s="5" t="s">
        <v>754</v>
      </c>
      <c r="B53" s="349" t="s">
        <v>164</v>
      </c>
      <c r="C53" s="275"/>
      <c r="D53" s="275"/>
      <c r="E53" s="270"/>
      <c r="F53" s="276">
        <f>F54</f>
        <v>210</v>
      </c>
    </row>
    <row r="54" spans="1:6" s="268" customFormat="1" ht="36.75" customHeight="1">
      <c r="A54" s="5" t="s">
        <v>712</v>
      </c>
      <c r="B54" s="349" t="s">
        <v>164</v>
      </c>
      <c r="C54" s="298" t="s">
        <v>722</v>
      </c>
      <c r="D54" s="298" t="s">
        <v>386</v>
      </c>
      <c r="E54" s="270">
        <v>240</v>
      </c>
      <c r="F54" s="276">
        <f>'Приложение 9'!Q137</f>
        <v>210</v>
      </c>
    </row>
    <row r="55" spans="1:6" s="268" customFormat="1" ht="19.5" customHeight="1">
      <c r="A55" s="5" t="s">
        <v>754</v>
      </c>
      <c r="B55" s="349" t="s">
        <v>210</v>
      </c>
      <c r="C55" s="298"/>
      <c r="D55" s="298"/>
      <c r="E55" s="270"/>
      <c r="F55" s="276">
        <f>F56</f>
        <v>50</v>
      </c>
    </row>
    <row r="56" spans="1:6" s="268" customFormat="1" ht="21" customHeight="1">
      <c r="A56" s="5" t="s">
        <v>754</v>
      </c>
      <c r="B56" s="349" t="s">
        <v>211</v>
      </c>
      <c r="C56" s="298"/>
      <c r="D56" s="298"/>
      <c r="E56" s="270"/>
      <c r="F56" s="276">
        <f>F57</f>
        <v>50</v>
      </c>
    </row>
    <row r="57" spans="1:6" s="268" customFormat="1" ht="15.75">
      <c r="A57" s="5" t="s">
        <v>773</v>
      </c>
      <c r="B57" s="349" t="s">
        <v>211</v>
      </c>
      <c r="C57" s="298" t="s">
        <v>722</v>
      </c>
      <c r="D57" s="298" t="s">
        <v>386</v>
      </c>
      <c r="E57" s="270">
        <v>540</v>
      </c>
      <c r="F57" s="276">
        <f>'Приложение 9'!Q140</f>
        <v>50</v>
      </c>
    </row>
    <row r="58" spans="1:6" s="268" customFormat="1" ht="31.5">
      <c r="A58" s="11" t="s">
        <v>821</v>
      </c>
      <c r="B58" s="349" t="s">
        <v>822</v>
      </c>
      <c r="C58" s="298"/>
      <c r="D58" s="298"/>
      <c r="E58" s="270"/>
      <c r="F58" s="276">
        <f>F59</f>
        <v>4749.3</v>
      </c>
    </row>
    <row r="59" spans="1:6" s="268" customFormat="1" ht="47.25">
      <c r="A59" s="11" t="s">
        <v>732</v>
      </c>
      <c r="B59" s="349" t="s">
        <v>823</v>
      </c>
      <c r="C59" s="298"/>
      <c r="D59" s="298"/>
      <c r="E59" s="270"/>
      <c r="F59" s="276">
        <f>F60</f>
        <v>4749.3</v>
      </c>
    </row>
    <row r="60" spans="1:6" s="268" customFormat="1" ht="15.75">
      <c r="A60" s="5" t="s">
        <v>773</v>
      </c>
      <c r="B60" s="349" t="s">
        <v>823</v>
      </c>
      <c r="C60" s="298" t="s">
        <v>722</v>
      </c>
      <c r="D60" s="298" t="s">
        <v>386</v>
      </c>
      <c r="E60" s="270">
        <v>540</v>
      </c>
      <c r="F60" s="276">
        <f>'Приложение 9'!Q143</f>
        <v>4749.3</v>
      </c>
    </row>
    <row r="61" spans="1:6" s="268" customFormat="1" ht="31.5">
      <c r="A61" s="5" t="s">
        <v>824</v>
      </c>
      <c r="B61" s="349" t="s">
        <v>825</v>
      </c>
      <c r="C61" s="298"/>
      <c r="D61" s="298"/>
      <c r="E61" s="270"/>
      <c r="F61" s="276">
        <f>F62</f>
        <v>100</v>
      </c>
    </row>
    <row r="62" spans="1:6" s="268" customFormat="1" ht="24" customHeight="1">
      <c r="A62" s="5" t="s">
        <v>754</v>
      </c>
      <c r="B62" s="349" t="s">
        <v>826</v>
      </c>
      <c r="C62" s="298"/>
      <c r="D62" s="298"/>
      <c r="E62" s="270"/>
      <c r="F62" s="276">
        <f>F63</f>
        <v>100</v>
      </c>
    </row>
    <row r="63" spans="1:6" s="268" customFormat="1" ht="15.75">
      <c r="A63" s="5" t="s">
        <v>773</v>
      </c>
      <c r="B63" s="349" t="s">
        <v>826</v>
      </c>
      <c r="C63" s="298" t="s">
        <v>722</v>
      </c>
      <c r="D63" s="298" t="s">
        <v>386</v>
      </c>
      <c r="E63" s="270">
        <v>540</v>
      </c>
      <c r="F63" s="276">
        <f>'Приложение 9'!Q146</f>
        <v>100</v>
      </c>
    </row>
    <row r="64" spans="1:6" s="268" customFormat="1" ht="15.75">
      <c r="A64" s="5" t="s">
        <v>870</v>
      </c>
      <c r="B64" s="349" t="s">
        <v>868</v>
      </c>
      <c r="C64" s="298"/>
      <c r="D64" s="298"/>
      <c r="E64" s="270"/>
      <c r="F64" s="276">
        <f>F65</f>
        <v>1154.2</v>
      </c>
    </row>
    <row r="65" spans="1:6" s="268" customFormat="1" ht="15.75">
      <c r="A65" s="5" t="s">
        <v>754</v>
      </c>
      <c r="B65" s="349" t="s">
        <v>869</v>
      </c>
      <c r="C65" s="298"/>
      <c r="D65" s="298"/>
      <c r="E65" s="270"/>
      <c r="F65" s="276">
        <f>F66</f>
        <v>1154.2</v>
      </c>
    </row>
    <row r="66" spans="1:6" s="268" customFormat="1" ht="31.5">
      <c r="A66" s="5" t="s">
        <v>712</v>
      </c>
      <c r="B66" s="349" t="s">
        <v>869</v>
      </c>
      <c r="C66" s="298" t="s">
        <v>722</v>
      </c>
      <c r="D66" s="298" t="s">
        <v>386</v>
      </c>
      <c r="E66" s="270">
        <v>240</v>
      </c>
      <c r="F66" s="276">
        <f>'Приложение 9'!Q149</f>
        <v>1154.2</v>
      </c>
    </row>
    <row r="67" spans="1:6" s="285" customFormat="1" ht="51.75" customHeight="1">
      <c r="A67" s="287" t="s">
        <v>264</v>
      </c>
      <c r="B67" s="273" t="s">
        <v>616</v>
      </c>
      <c r="C67" s="274"/>
      <c r="D67" s="274"/>
      <c r="E67" s="273"/>
      <c r="F67" s="277">
        <f>F68+F82+F101+F118+F123+F136+F150</f>
        <v>278500.3</v>
      </c>
    </row>
    <row r="68" spans="1:6" s="268" customFormat="1" ht="31.5">
      <c r="A68" s="288" t="s">
        <v>649</v>
      </c>
      <c r="B68" s="270" t="s">
        <v>617</v>
      </c>
      <c r="C68" s="275"/>
      <c r="D68" s="275"/>
      <c r="E68" s="270"/>
      <c r="F68" s="276">
        <f>F69+F71+F75+F77+F79+F73</f>
        <v>76826</v>
      </c>
    </row>
    <row r="69" spans="1:6" s="268" customFormat="1" ht="31.5" hidden="1">
      <c r="A69" s="288" t="s">
        <v>335</v>
      </c>
      <c r="B69" s="270" t="s">
        <v>632</v>
      </c>
      <c r="C69" s="275"/>
      <c r="D69" s="275"/>
      <c r="E69" s="270"/>
      <c r="F69" s="276">
        <f>F70</f>
        <v>0</v>
      </c>
    </row>
    <row r="70" spans="1:6" s="268" customFormat="1" ht="31.5" hidden="1">
      <c r="A70" s="288" t="s">
        <v>712</v>
      </c>
      <c r="B70" s="270" t="s">
        <v>632</v>
      </c>
      <c r="C70" s="275" t="s">
        <v>723</v>
      </c>
      <c r="D70" s="275" t="s">
        <v>389</v>
      </c>
      <c r="E70" s="270">
        <v>240</v>
      </c>
      <c r="F70" s="276">
        <f>'Приложение 9'!Q578</f>
        <v>0</v>
      </c>
    </row>
    <row r="71" spans="1:6" s="268" customFormat="1" ht="15.75">
      <c r="A71" s="288" t="s">
        <v>324</v>
      </c>
      <c r="B71" s="270" t="s">
        <v>620</v>
      </c>
      <c r="C71" s="275"/>
      <c r="D71" s="275"/>
      <c r="E71" s="270"/>
      <c r="F71" s="276">
        <f>F72</f>
        <v>13505.800000000001</v>
      </c>
    </row>
    <row r="72" spans="1:6" s="268" customFormat="1" ht="15.75">
      <c r="A72" s="288" t="s">
        <v>714</v>
      </c>
      <c r="B72" s="270" t="s">
        <v>620</v>
      </c>
      <c r="C72" s="275" t="s">
        <v>723</v>
      </c>
      <c r="D72" s="275" t="s">
        <v>388</v>
      </c>
      <c r="E72" s="270">
        <v>610</v>
      </c>
      <c r="F72" s="276">
        <f>'Приложение 9'!Q478</f>
        <v>13505.800000000001</v>
      </c>
    </row>
    <row r="73" spans="1:6" s="268" customFormat="1" ht="65.25" customHeight="1">
      <c r="A73" s="306" t="s">
        <v>61</v>
      </c>
      <c r="B73" s="297" t="s">
        <v>68</v>
      </c>
      <c r="C73" s="275"/>
      <c r="D73" s="275"/>
      <c r="E73" s="270"/>
      <c r="F73" s="276">
        <f>F74</f>
        <v>4478</v>
      </c>
    </row>
    <row r="74" spans="1:6" s="268" customFormat="1" ht="15.75">
      <c r="A74" s="3" t="s">
        <v>714</v>
      </c>
      <c r="B74" s="297" t="s">
        <v>68</v>
      </c>
      <c r="C74" s="298" t="s">
        <v>723</v>
      </c>
      <c r="D74" s="298" t="s">
        <v>388</v>
      </c>
      <c r="E74" s="270">
        <v>610</v>
      </c>
      <c r="F74" s="276">
        <f>'Приложение 9'!Q480</f>
        <v>4478</v>
      </c>
    </row>
    <row r="75" spans="1:6" s="268" customFormat="1" ht="31.5">
      <c r="A75" s="288" t="s">
        <v>327</v>
      </c>
      <c r="B75" s="270" t="s">
        <v>623</v>
      </c>
      <c r="C75" s="275"/>
      <c r="D75" s="275"/>
      <c r="E75" s="270"/>
      <c r="F75" s="276">
        <f>F76</f>
        <v>92.5</v>
      </c>
    </row>
    <row r="76" spans="1:6" s="268" customFormat="1" ht="15.75">
      <c r="A76" s="288" t="s">
        <v>714</v>
      </c>
      <c r="B76" s="270" t="s">
        <v>623</v>
      </c>
      <c r="C76" s="275" t="s">
        <v>723</v>
      </c>
      <c r="D76" s="275" t="s">
        <v>391</v>
      </c>
      <c r="E76" s="270">
        <v>610</v>
      </c>
      <c r="F76" s="276">
        <f>'Приложение 9'!Q505</f>
        <v>92.5</v>
      </c>
    </row>
    <row r="77" spans="1:6" s="268" customFormat="1" ht="79.5" customHeight="1">
      <c r="A77" s="288" t="s">
        <v>326</v>
      </c>
      <c r="B77" s="270" t="s">
        <v>618</v>
      </c>
      <c r="C77" s="275"/>
      <c r="D77" s="275"/>
      <c r="E77" s="270"/>
      <c r="F77" s="276">
        <f>F78</f>
        <v>55942.4</v>
      </c>
    </row>
    <row r="78" spans="1:6" s="268" customFormat="1" ht="15.75">
      <c r="A78" s="288" t="s">
        <v>714</v>
      </c>
      <c r="B78" s="270" t="s">
        <v>618</v>
      </c>
      <c r="C78" s="275" t="s">
        <v>723</v>
      </c>
      <c r="D78" s="275" t="s">
        <v>388</v>
      </c>
      <c r="E78" s="270">
        <v>610</v>
      </c>
      <c r="F78" s="276">
        <f>'Приложение 9'!Q482</f>
        <v>55942.4</v>
      </c>
    </row>
    <row r="79" spans="1:6" s="268" customFormat="1" ht="90.75" customHeight="1">
      <c r="A79" s="288" t="s">
        <v>323</v>
      </c>
      <c r="B79" s="270" t="s">
        <v>619</v>
      </c>
      <c r="C79" s="275"/>
      <c r="D79" s="275"/>
      <c r="E79" s="270"/>
      <c r="F79" s="276">
        <f>SUM(F80:F81)</f>
        <v>2807.3</v>
      </c>
    </row>
    <row r="80" spans="1:6" s="268" customFormat="1" ht="36.75" customHeight="1">
      <c r="A80" s="288" t="s">
        <v>717</v>
      </c>
      <c r="B80" s="270" t="s">
        <v>619</v>
      </c>
      <c r="C80" s="275" t="s">
        <v>723</v>
      </c>
      <c r="D80" s="275" t="s">
        <v>390</v>
      </c>
      <c r="E80" s="270">
        <v>320</v>
      </c>
      <c r="F80" s="276">
        <f>'Приложение 9'!Q656</f>
        <v>2705</v>
      </c>
    </row>
    <row r="81" spans="1:6" ht="15.75">
      <c r="A81" s="288" t="s">
        <v>714</v>
      </c>
      <c r="B81" s="270" t="s">
        <v>619</v>
      </c>
      <c r="C81" s="275" t="s">
        <v>723</v>
      </c>
      <c r="D81" s="275" t="s">
        <v>389</v>
      </c>
      <c r="E81" s="270">
        <v>610</v>
      </c>
      <c r="F81" s="276">
        <f>'Приложение 9'!Q580</f>
        <v>102.3</v>
      </c>
    </row>
    <row r="82" spans="1:6" ht="31.5">
      <c r="A82" s="288" t="s">
        <v>650</v>
      </c>
      <c r="B82" s="270" t="s">
        <v>624</v>
      </c>
      <c r="C82" s="275"/>
      <c r="D82" s="275"/>
      <c r="E82" s="270"/>
      <c r="F82" s="276">
        <f>F83+F87+F94+F96+F92+F85+F90+F99</f>
        <v>158749.6</v>
      </c>
    </row>
    <row r="83" spans="1:6" ht="31.5">
      <c r="A83" s="288" t="s">
        <v>335</v>
      </c>
      <c r="B83" s="270" t="s">
        <v>633</v>
      </c>
      <c r="C83" s="275"/>
      <c r="D83" s="275"/>
      <c r="E83" s="270"/>
      <c r="F83" s="276">
        <f>F84</f>
        <v>21.299999999999997</v>
      </c>
    </row>
    <row r="84" spans="1:6" ht="34.5" customHeight="1">
      <c r="A84" s="288" t="s">
        <v>712</v>
      </c>
      <c r="B84" s="270" t="s">
        <v>633</v>
      </c>
      <c r="C84" s="275" t="s">
        <v>723</v>
      </c>
      <c r="D84" s="275" t="s">
        <v>389</v>
      </c>
      <c r="E84" s="270">
        <v>240</v>
      </c>
      <c r="F84" s="351">
        <f>'Приложение 9'!Q583</f>
        <v>21.299999999999997</v>
      </c>
    </row>
    <row r="85" spans="1:6" ht="78.75" customHeight="1">
      <c r="A85" s="259" t="s">
        <v>494</v>
      </c>
      <c r="B85" s="297" t="s">
        <v>134</v>
      </c>
      <c r="C85" s="275"/>
      <c r="D85" s="275"/>
      <c r="E85" s="270"/>
      <c r="F85" s="276">
        <f>F86</f>
        <v>6</v>
      </c>
    </row>
    <row r="86" spans="1:6" ht="18" customHeight="1">
      <c r="A86" s="259" t="s">
        <v>715</v>
      </c>
      <c r="B86" s="297" t="s">
        <v>134</v>
      </c>
      <c r="C86" s="298" t="s">
        <v>723</v>
      </c>
      <c r="D86" s="298" t="s">
        <v>389</v>
      </c>
      <c r="E86" s="270">
        <v>110</v>
      </c>
      <c r="F86" s="276">
        <f>'Приложение 9'!Q585</f>
        <v>6</v>
      </c>
    </row>
    <row r="87" spans="1:6" ht="31.5">
      <c r="A87" s="288" t="s">
        <v>327</v>
      </c>
      <c r="B87" s="270" t="s">
        <v>625</v>
      </c>
      <c r="C87" s="275"/>
      <c r="D87" s="275"/>
      <c r="E87" s="270"/>
      <c r="F87" s="276">
        <f>SUM(F88:F89)</f>
        <v>36332.90000000001</v>
      </c>
    </row>
    <row r="88" spans="1:6" s="357" customFormat="1" ht="31.5" hidden="1">
      <c r="A88" s="355" t="s">
        <v>712</v>
      </c>
      <c r="B88" s="286" t="s">
        <v>625</v>
      </c>
      <c r="C88" s="356" t="s">
        <v>723</v>
      </c>
      <c r="D88" s="356" t="s">
        <v>391</v>
      </c>
      <c r="E88" s="286">
        <v>240</v>
      </c>
      <c r="F88" s="351">
        <f>'Приложение 9'!Q508</f>
        <v>0</v>
      </c>
    </row>
    <row r="89" spans="1:6" ht="15.75">
      <c r="A89" s="288" t="s">
        <v>714</v>
      </c>
      <c r="B89" s="270" t="s">
        <v>625</v>
      </c>
      <c r="C89" s="275" t="s">
        <v>723</v>
      </c>
      <c r="D89" s="275" t="s">
        <v>391</v>
      </c>
      <c r="E89" s="270">
        <v>610</v>
      </c>
      <c r="F89" s="276">
        <f>'Приложение 9'!Q509</f>
        <v>36332.90000000001</v>
      </c>
    </row>
    <row r="90" spans="1:6" ht="163.5" customHeight="1">
      <c r="A90" s="20" t="s">
        <v>221</v>
      </c>
      <c r="B90" s="297" t="s">
        <v>222</v>
      </c>
      <c r="C90" s="275"/>
      <c r="D90" s="275"/>
      <c r="E90" s="270"/>
      <c r="F90" s="276">
        <f>F91</f>
        <v>3114.4</v>
      </c>
    </row>
    <row r="91" spans="1:6" ht="15.75">
      <c r="A91" s="20" t="s">
        <v>714</v>
      </c>
      <c r="B91" s="297" t="s">
        <v>222</v>
      </c>
      <c r="C91" s="298" t="s">
        <v>723</v>
      </c>
      <c r="D91" s="298" t="s">
        <v>391</v>
      </c>
      <c r="E91" s="270">
        <v>610</v>
      </c>
      <c r="F91" s="276">
        <f>'Приложение 9'!Q511</f>
        <v>3114.4</v>
      </c>
    </row>
    <row r="92" spans="1:6" ht="65.25" customHeight="1">
      <c r="A92" s="20" t="s">
        <v>61</v>
      </c>
      <c r="B92" s="297" t="s">
        <v>69</v>
      </c>
      <c r="C92" s="275"/>
      <c r="D92" s="275"/>
      <c r="E92" s="270"/>
      <c r="F92" s="276">
        <f>F93</f>
        <v>10448.9</v>
      </c>
    </row>
    <row r="93" spans="1:6" ht="15.75">
      <c r="A93" s="20" t="s">
        <v>714</v>
      </c>
      <c r="B93" s="297" t="s">
        <v>69</v>
      </c>
      <c r="C93" s="298" t="s">
        <v>723</v>
      </c>
      <c r="D93" s="298" t="s">
        <v>391</v>
      </c>
      <c r="E93" s="270">
        <v>610</v>
      </c>
      <c r="F93" s="276">
        <f>'Приложение 9'!Q513</f>
        <v>10448.9</v>
      </c>
    </row>
    <row r="94" spans="1:6" ht="78.75" customHeight="1">
      <c r="A94" s="288" t="s">
        <v>326</v>
      </c>
      <c r="B94" s="270" t="s">
        <v>626</v>
      </c>
      <c r="C94" s="275"/>
      <c r="D94" s="275"/>
      <c r="E94" s="270"/>
      <c r="F94" s="276">
        <f>F95</f>
        <v>98985.8</v>
      </c>
    </row>
    <row r="95" spans="1:6" ht="15.75">
      <c r="A95" s="288" t="s">
        <v>714</v>
      </c>
      <c r="B95" s="270" t="s">
        <v>626</v>
      </c>
      <c r="C95" s="275" t="s">
        <v>723</v>
      </c>
      <c r="D95" s="275" t="s">
        <v>391</v>
      </c>
      <c r="E95" s="270">
        <v>610</v>
      </c>
      <c r="F95" s="276">
        <f>'Приложение 9'!Q515</f>
        <v>98985.8</v>
      </c>
    </row>
    <row r="96" spans="1:6" ht="99" customHeight="1">
      <c r="A96" s="288" t="s">
        <v>323</v>
      </c>
      <c r="B96" s="270" t="s">
        <v>627</v>
      </c>
      <c r="C96" s="275"/>
      <c r="D96" s="275"/>
      <c r="E96" s="270"/>
      <c r="F96" s="276">
        <f>SUM(F97:F98)</f>
        <v>6667.2</v>
      </c>
    </row>
    <row r="97" spans="1:6" ht="35.25" customHeight="1">
      <c r="A97" s="288" t="s">
        <v>717</v>
      </c>
      <c r="B97" s="270" t="s">
        <v>627</v>
      </c>
      <c r="C97" s="275" t="s">
        <v>723</v>
      </c>
      <c r="D97" s="275" t="s">
        <v>389</v>
      </c>
      <c r="E97" s="270">
        <v>320</v>
      </c>
      <c r="F97" s="276">
        <f>'Приложение 9'!Q587</f>
        <v>1948.8</v>
      </c>
    </row>
    <row r="98" spans="1:6" ht="15.75">
      <c r="A98" s="288" t="s">
        <v>714</v>
      </c>
      <c r="B98" s="270" t="s">
        <v>627</v>
      </c>
      <c r="C98" s="275" t="s">
        <v>723</v>
      </c>
      <c r="D98" s="275" t="s">
        <v>389</v>
      </c>
      <c r="E98" s="270">
        <v>610</v>
      </c>
      <c r="F98" s="276">
        <f>'Приложение 9'!Q588</f>
        <v>4718.4</v>
      </c>
    </row>
    <row r="99" spans="1:6" ht="66.75" customHeight="1">
      <c r="A99" s="20" t="s">
        <v>223</v>
      </c>
      <c r="B99" s="297" t="s">
        <v>852</v>
      </c>
      <c r="C99" s="275"/>
      <c r="D99" s="275"/>
      <c r="E99" s="270"/>
      <c r="F99" s="276">
        <f>F100</f>
        <v>3173.1000000000004</v>
      </c>
    </row>
    <row r="100" spans="1:6" ht="15.75">
      <c r="A100" s="20" t="s">
        <v>714</v>
      </c>
      <c r="B100" s="297" t="s">
        <v>852</v>
      </c>
      <c r="C100" s="298" t="s">
        <v>723</v>
      </c>
      <c r="D100" s="298" t="s">
        <v>391</v>
      </c>
      <c r="E100" s="270">
        <v>610</v>
      </c>
      <c r="F100" s="276">
        <f>'Приложение 9'!Q517</f>
        <v>3173.1000000000004</v>
      </c>
    </row>
    <row r="101" spans="1:6" ht="33" customHeight="1">
      <c r="A101" s="288" t="s">
        <v>784</v>
      </c>
      <c r="B101" s="270" t="s">
        <v>628</v>
      </c>
      <c r="C101" s="275"/>
      <c r="D101" s="275"/>
      <c r="E101" s="270"/>
      <c r="F101" s="351">
        <f>F102+F105+F107+F109+F111+F115+F113</f>
        <v>6382.099999999999</v>
      </c>
    </row>
    <row r="102" spans="1:6" ht="31.5">
      <c r="A102" s="288" t="s">
        <v>335</v>
      </c>
      <c r="B102" s="270" t="s">
        <v>744</v>
      </c>
      <c r="C102" s="275"/>
      <c r="D102" s="275"/>
      <c r="E102" s="270"/>
      <c r="F102" s="276">
        <f>F104+F103</f>
        <v>2068.1</v>
      </c>
    </row>
    <row r="103" spans="1:6" ht="31.5" hidden="1">
      <c r="A103" s="288" t="s">
        <v>712</v>
      </c>
      <c r="B103" s="270" t="s">
        <v>744</v>
      </c>
      <c r="C103" s="275" t="s">
        <v>723</v>
      </c>
      <c r="D103" s="275" t="s">
        <v>389</v>
      </c>
      <c r="E103" s="270">
        <v>240</v>
      </c>
      <c r="F103" s="276">
        <f>'Приложение 9'!Q591</f>
        <v>0</v>
      </c>
    </row>
    <row r="104" spans="1:6" ht="60" customHeight="1">
      <c r="A104" s="296" t="s">
        <v>205</v>
      </c>
      <c r="B104" s="270" t="s">
        <v>744</v>
      </c>
      <c r="C104" s="275" t="s">
        <v>723</v>
      </c>
      <c r="D104" s="275" t="s">
        <v>389</v>
      </c>
      <c r="E104" s="270">
        <v>630</v>
      </c>
      <c r="F104" s="276">
        <f>'Приложение 9'!Q592</f>
        <v>2068.1</v>
      </c>
    </row>
    <row r="105" spans="1:6" ht="31.5">
      <c r="A105" s="288" t="s">
        <v>327</v>
      </c>
      <c r="B105" s="270" t="s">
        <v>629</v>
      </c>
      <c r="C105" s="275"/>
      <c r="D105" s="275"/>
      <c r="E105" s="270"/>
      <c r="F105" s="276">
        <f>F106</f>
        <v>18.9</v>
      </c>
    </row>
    <row r="106" spans="1:6" ht="15.75">
      <c r="A106" s="288" t="s">
        <v>714</v>
      </c>
      <c r="B106" s="270" t="s">
        <v>629</v>
      </c>
      <c r="C106" s="275" t="s">
        <v>723</v>
      </c>
      <c r="D106" s="275" t="s">
        <v>391</v>
      </c>
      <c r="E106" s="270">
        <v>610</v>
      </c>
      <c r="F106" s="276">
        <f>'Приложение 9'!Q520</f>
        <v>18.9</v>
      </c>
    </row>
    <row r="107" spans="1:6" ht="78.75">
      <c r="A107" s="288" t="s">
        <v>494</v>
      </c>
      <c r="B107" s="270" t="s">
        <v>741</v>
      </c>
      <c r="C107" s="275"/>
      <c r="D107" s="275"/>
      <c r="E107" s="270"/>
      <c r="F107" s="276">
        <f>F108</f>
        <v>5</v>
      </c>
    </row>
    <row r="108" spans="1:6" ht="31.5">
      <c r="A108" s="288" t="s">
        <v>712</v>
      </c>
      <c r="B108" s="270" t="s">
        <v>741</v>
      </c>
      <c r="C108" s="275" t="s">
        <v>723</v>
      </c>
      <c r="D108" s="275" t="s">
        <v>389</v>
      </c>
      <c r="E108" s="270">
        <v>240</v>
      </c>
      <c r="F108" s="276">
        <f>'Приложение 9'!Q594</f>
        <v>5</v>
      </c>
    </row>
    <row r="109" spans="1:6" ht="24.75" customHeight="1">
      <c r="A109" s="288" t="s">
        <v>328</v>
      </c>
      <c r="B109" s="270" t="s">
        <v>631</v>
      </c>
      <c r="C109" s="275"/>
      <c r="D109" s="275"/>
      <c r="E109" s="270"/>
      <c r="F109" s="276">
        <f>F110</f>
        <v>2468.2999999999997</v>
      </c>
    </row>
    <row r="110" spans="1:6" ht="15.75">
      <c r="A110" s="288" t="s">
        <v>714</v>
      </c>
      <c r="B110" s="270" t="s">
        <v>631</v>
      </c>
      <c r="C110" s="275" t="s">
        <v>723</v>
      </c>
      <c r="D110" s="275" t="s">
        <v>392</v>
      </c>
      <c r="E110" s="270">
        <v>610</v>
      </c>
      <c r="F110" s="276">
        <f>'Приложение 9'!Q563</f>
        <v>2468.2999999999997</v>
      </c>
    </row>
    <row r="111" spans="1:6" ht="61.5" customHeight="1">
      <c r="A111" s="5" t="s">
        <v>61</v>
      </c>
      <c r="B111" s="297" t="s">
        <v>70</v>
      </c>
      <c r="C111" s="275"/>
      <c r="D111" s="275"/>
      <c r="E111" s="270"/>
      <c r="F111" s="276">
        <f>F112</f>
        <v>1093</v>
      </c>
    </row>
    <row r="112" spans="1:6" ht="15.75">
      <c r="A112" s="5" t="s">
        <v>714</v>
      </c>
      <c r="B112" s="297" t="s">
        <v>70</v>
      </c>
      <c r="C112" s="298" t="s">
        <v>723</v>
      </c>
      <c r="D112" s="298" t="s">
        <v>392</v>
      </c>
      <c r="E112" s="270">
        <v>610</v>
      </c>
      <c r="F112" s="276">
        <f>'Приложение 9'!Q565</f>
        <v>1093</v>
      </c>
    </row>
    <row r="113" spans="1:6" ht="49.5" customHeight="1" hidden="1">
      <c r="A113" s="5" t="s">
        <v>225</v>
      </c>
      <c r="B113" s="297" t="s">
        <v>226</v>
      </c>
      <c r="C113" s="298"/>
      <c r="D113" s="298"/>
      <c r="E113" s="270"/>
      <c r="F113" s="276">
        <f>F114</f>
        <v>0</v>
      </c>
    </row>
    <row r="114" spans="1:6" ht="15.75" hidden="1">
      <c r="A114" s="5" t="s">
        <v>714</v>
      </c>
      <c r="B114" s="297" t="s">
        <v>226</v>
      </c>
      <c r="C114" s="298" t="s">
        <v>723</v>
      </c>
      <c r="D114" s="298" t="s">
        <v>392</v>
      </c>
      <c r="E114" s="270">
        <v>610</v>
      </c>
      <c r="F114" s="276">
        <f>'Приложение 9'!Q567</f>
        <v>0</v>
      </c>
    </row>
    <row r="115" spans="1:6" ht="35.25" customHeight="1">
      <c r="A115" s="5" t="s">
        <v>124</v>
      </c>
      <c r="B115" s="297" t="s">
        <v>125</v>
      </c>
      <c r="C115" s="298"/>
      <c r="D115" s="298"/>
      <c r="E115" s="270"/>
      <c r="F115" s="276">
        <f>F116</f>
        <v>728.8</v>
      </c>
    </row>
    <row r="116" spans="1:6" ht="53.25" customHeight="1">
      <c r="A116" s="5" t="s">
        <v>129</v>
      </c>
      <c r="B116" s="297" t="s">
        <v>81</v>
      </c>
      <c r="C116" s="298"/>
      <c r="D116" s="298"/>
      <c r="E116" s="270"/>
      <c r="F116" s="276">
        <v>728.8</v>
      </c>
    </row>
    <row r="117" spans="1:6" ht="15.75">
      <c r="A117" s="5" t="s">
        <v>714</v>
      </c>
      <c r="B117" s="297" t="s">
        <v>81</v>
      </c>
      <c r="C117" s="298" t="s">
        <v>723</v>
      </c>
      <c r="D117" s="298" t="s">
        <v>392</v>
      </c>
      <c r="E117" s="270">
        <v>610</v>
      </c>
      <c r="F117" s="276">
        <v>728.8</v>
      </c>
    </row>
    <row r="118" spans="1:6" ht="38.25" customHeight="1" hidden="1">
      <c r="A118" s="288" t="s">
        <v>651</v>
      </c>
      <c r="B118" s="270" t="s">
        <v>630</v>
      </c>
      <c r="C118" s="275"/>
      <c r="D118" s="275"/>
      <c r="E118" s="270"/>
      <c r="F118" s="276">
        <f>F119+F121</f>
        <v>0</v>
      </c>
    </row>
    <row r="119" spans="1:6" ht="31.5" hidden="1">
      <c r="A119" s="288" t="s">
        <v>335</v>
      </c>
      <c r="B119" s="270" t="s">
        <v>634</v>
      </c>
      <c r="C119" s="275"/>
      <c r="D119" s="275"/>
      <c r="E119" s="270"/>
      <c r="F119" s="276">
        <f>F120</f>
        <v>0</v>
      </c>
    </row>
    <row r="120" spans="1:6" ht="33" customHeight="1" hidden="1">
      <c r="A120" s="288" t="s">
        <v>712</v>
      </c>
      <c r="B120" s="270" t="s">
        <v>634</v>
      </c>
      <c r="C120" s="275" t="s">
        <v>723</v>
      </c>
      <c r="D120" s="275" t="s">
        <v>389</v>
      </c>
      <c r="E120" s="270">
        <v>240</v>
      </c>
      <c r="F120" s="276">
        <f>'Приложение 9'!Q597</f>
        <v>0</v>
      </c>
    </row>
    <row r="121" spans="1:6" ht="78.75" hidden="1">
      <c r="A121" s="288" t="s">
        <v>494</v>
      </c>
      <c r="B121" s="270" t="s">
        <v>305</v>
      </c>
      <c r="C121" s="275"/>
      <c r="D121" s="275"/>
      <c r="E121" s="270"/>
      <c r="F121" s="276">
        <f>F122</f>
        <v>0</v>
      </c>
    </row>
    <row r="122" spans="1:6" ht="31.5" hidden="1">
      <c r="A122" s="288" t="s">
        <v>712</v>
      </c>
      <c r="B122" s="270" t="s">
        <v>305</v>
      </c>
      <c r="C122" s="275" t="s">
        <v>723</v>
      </c>
      <c r="D122" s="275" t="s">
        <v>389</v>
      </c>
      <c r="E122" s="270">
        <v>240</v>
      </c>
      <c r="F122" s="276">
        <f>'Приложение 9'!Q599</f>
        <v>0</v>
      </c>
    </row>
    <row r="123" spans="1:6" ht="35.25" customHeight="1">
      <c r="A123" s="296" t="s">
        <v>785</v>
      </c>
      <c r="B123" s="270" t="s">
        <v>621</v>
      </c>
      <c r="C123" s="275"/>
      <c r="D123" s="275"/>
      <c r="E123" s="270"/>
      <c r="F123" s="276">
        <f>F124+F126+F130+F132+F128+F134</f>
        <v>29148.8</v>
      </c>
    </row>
    <row r="124" spans="1:6" ht="15.75">
      <c r="A124" s="288" t="s">
        <v>324</v>
      </c>
      <c r="B124" s="270" t="s">
        <v>622</v>
      </c>
      <c r="C124" s="275"/>
      <c r="D124" s="275"/>
      <c r="E124" s="270"/>
      <c r="F124" s="276">
        <f>F125</f>
        <v>162.5</v>
      </c>
    </row>
    <row r="125" spans="1:6" ht="15.75">
      <c r="A125" s="288" t="s">
        <v>714</v>
      </c>
      <c r="B125" s="270" t="s">
        <v>622</v>
      </c>
      <c r="C125" s="275" t="s">
        <v>723</v>
      </c>
      <c r="D125" s="275" t="s">
        <v>388</v>
      </c>
      <c r="E125" s="270">
        <v>610</v>
      </c>
      <c r="F125" s="276">
        <f>'Приложение 9'!Q485</f>
        <v>162.5</v>
      </c>
    </row>
    <row r="126" spans="1:6" ht="31.5">
      <c r="A126" s="288" t="s">
        <v>327</v>
      </c>
      <c r="B126" s="270" t="s">
        <v>730</v>
      </c>
      <c r="C126" s="275"/>
      <c r="D126" s="275"/>
      <c r="E126" s="270"/>
      <c r="F126" s="276">
        <f>F127</f>
        <v>2196.9</v>
      </c>
    </row>
    <row r="127" spans="1:6" ht="15.75">
      <c r="A127" s="288" t="s">
        <v>714</v>
      </c>
      <c r="B127" s="270" t="s">
        <v>730</v>
      </c>
      <c r="C127" s="275" t="s">
        <v>723</v>
      </c>
      <c r="D127" s="275" t="s">
        <v>391</v>
      </c>
      <c r="E127" s="270">
        <v>610</v>
      </c>
      <c r="F127" s="276">
        <f>'Приложение 9'!Q523</f>
        <v>2196.9</v>
      </c>
    </row>
    <row r="128" spans="1:6" ht="73.5" customHeight="1">
      <c r="A128" s="3" t="s">
        <v>847</v>
      </c>
      <c r="B128" s="297" t="s">
        <v>848</v>
      </c>
      <c r="C128" s="275"/>
      <c r="D128" s="275"/>
      <c r="E128" s="270"/>
      <c r="F128" s="299">
        <f>F129</f>
        <v>1809.1000000000001</v>
      </c>
    </row>
    <row r="129" spans="1:6" ht="15.75">
      <c r="A129" s="288" t="s">
        <v>714</v>
      </c>
      <c r="B129" s="297" t="s">
        <v>848</v>
      </c>
      <c r="C129" s="298" t="s">
        <v>723</v>
      </c>
      <c r="D129" s="298" t="s">
        <v>391</v>
      </c>
      <c r="E129" s="270">
        <v>610</v>
      </c>
      <c r="F129" s="276">
        <f>'Приложение 9'!Q525</f>
        <v>1809.1000000000001</v>
      </c>
    </row>
    <row r="130" spans="1:6" ht="48.75" customHeight="1">
      <c r="A130" s="288" t="s">
        <v>287</v>
      </c>
      <c r="B130" s="270" t="s">
        <v>764</v>
      </c>
      <c r="C130" s="275"/>
      <c r="D130" s="275"/>
      <c r="E130" s="270"/>
      <c r="F130" s="276">
        <f>F131</f>
        <v>24027</v>
      </c>
    </row>
    <row r="131" spans="1:6" ht="15.75">
      <c r="A131" s="288" t="s">
        <v>714</v>
      </c>
      <c r="B131" s="270" t="s">
        <v>764</v>
      </c>
      <c r="C131" s="275" t="s">
        <v>723</v>
      </c>
      <c r="D131" s="275" t="s">
        <v>391</v>
      </c>
      <c r="E131" s="270">
        <v>610</v>
      </c>
      <c r="F131" s="276">
        <f>'Приложение 9'!Q527</f>
        <v>24027</v>
      </c>
    </row>
    <row r="132" spans="1:6" ht="31.5">
      <c r="A132" s="320" t="s">
        <v>207</v>
      </c>
      <c r="B132" s="297" t="s">
        <v>208</v>
      </c>
      <c r="C132" s="275"/>
      <c r="D132" s="275"/>
      <c r="E132" s="270"/>
      <c r="F132" s="276">
        <f>F133</f>
        <v>903.3000000000001</v>
      </c>
    </row>
    <row r="133" spans="1:6" ht="15.75">
      <c r="A133" s="5" t="s">
        <v>714</v>
      </c>
      <c r="B133" s="297" t="s">
        <v>208</v>
      </c>
      <c r="C133" s="298" t="s">
        <v>723</v>
      </c>
      <c r="D133" s="298" t="s">
        <v>391</v>
      </c>
      <c r="E133" s="270">
        <v>610</v>
      </c>
      <c r="F133" s="276">
        <f>'Приложение 9'!Q529</f>
        <v>903.3000000000001</v>
      </c>
    </row>
    <row r="134" spans="1:6" ht="15.75">
      <c r="A134" s="5" t="s">
        <v>328</v>
      </c>
      <c r="B134" s="297" t="s">
        <v>860</v>
      </c>
      <c r="C134" s="298"/>
      <c r="D134" s="298"/>
      <c r="E134" s="270"/>
      <c r="F134" s="276">
        <f>F135</f>
        <v>50</v>
      </c>
    </row>
    <row r="135" spans="1:6" ht="15.75">
      <c r="A135" s="5" t="s">
        <v>714</v>
      </c>
      <c r="B135" s="297" t="s">
        <v>860</v>
      </c>
      <c r="C135" s="298" t="s">
        <v>723</v>
      </c>
      <c r="D135" s="298" t="s">
        <v>392</v>
      </c>
      <c r="E135" s="270">
        <v>610</v>
      </c>
      <c r="F135" s="276">
        <f>'Приложение 9'!Q570</f>
        <v>50</v>
      </c>
    </row>
    <row r="136" spans="1:6" ht="32.25" customHeight="1">
      <c r="A136" s="288" t="s">
        <v>14</v>
      </c>
      <c r="B136" s="270" t="s">
        <v>635</v>
      </c>
      <c r="C136" s="275"/>
      <c r="D136" s="275"/>
      <c r="E136" s="270"/>
      <c r="F136" s="276">
        <f>F137+F146+F144+F142</f>
        <v>4369.8</v>
      </c>
    </row>
    <row r="137" spans="1:6" ht="31.5">
      <c r="A137" s="288" t="s">
        <v>335</v>
      </c>
      <c r="B137" s="270" t="s">
        <v>15</v>
      </c>
      <c r="C137" s="275"/>
      <c r="D137" s="275"/>
      <c r="E137" s="270"/>
      <c r="F137" s="276">
        <f>SUM(F138:F141)</f>
        <v>3094.7</v>
      </c>
    </row>
    <row r="138" spans="1:6" ht="33.75" customHeight="1">
      <c r="A138" s="288" t="s">
        <v>526</v>
      </c>
      <c r="B138" s="270" t="s">
        <v>15</v>
      </c>
      <c r="C138" s="275" t="s">
        <v>723</v>
      </c>
      <c r="D138" s="275" t="s">
        <v>389</v>
      </c>
      <c r="E138" s="270">
        <v>120</v>
      </c>
      <c r="F138" s="276">
        <f>'Приложение 9'!Q602</f>
        <v>2812.1</v>
      </c>
    </row>
    <row r="139" spans="1:6" ht="36" customHeight="1">
      <c r="A139" s="288" t="s">
        <v>712</v>
      </c>
      <c r="B139" s="270" t="s">
        <v>15</v>
      </c>
      <c r="C139" s="275" t="s">
        <v>723</v>
      </c>
      <c r="D139" s="275" t="s">
        <v>389</v>
      </c>
      <c r="E139" s="270">
        <v>240</v>
      </c>
      <c r="F139" s="276">
        <f>'Приложение 9'!Q603</f>
        <v>253.29999999999995</v>
      </c>
    </row>
    <row r="140" spans="1:6" ht="34.5" customHeight="1">
      <c r="A140" s="22" t="s">
        <v>717</v>
      </c>
      <c r="B140" s="270" t="s">
        <v>15</v>
      </c>
      <c r="C140" s="275" t="s">
        <v>723</v>
      </c>
      <c r="D140" s="275" t="s">
        <v>389</v>
      </c>
      <c r="E140" s="270">
        <v>320</v>
      </c>
      <c r="F140" s="276">
        <f>'Приложение 9'!Q604</f>
        <v>28.3</v>
      </c>
    </row>
    <row r="141" spans="1:6" ht="15.75">
      <c r="A141" s="11" t="s">
        <v>713</v>
      </c>
      <c r="B141" s="270" t="s">
        <v>15</v>
      </c>
      <c r="C141" s="275" t="s">
        <v>723</v>
      </c>
      <c r="D141" s="275" t="s">
        <v>389</v>
      </c>
      <c r="E141" s="270">
        <v>850</v>
      </c>
      <c r="F141" s="276">
        <f>'Приложение 9'!Q605</f>
        <v>1</v>
      </c>
    </row>
    <row r="142" spans="1:6" ht="94.5" hidden="1">
      <c r="A142" s="108" t="s">
        <v>864</v>
      </c>
      <c r="B142" s="297" t="s">
        <v>866</v>
      </c>
      <c r="C142" s="275"/>
      <c r="D142" s="275"/>
      <c r="E142" s="270"/>
      <c r="F142" s="276">
        <f>F143</f>
        <v>0</v>
      </c>
    </row>
    <row r="143" spans="1:6" ht="31.5" hidden="1">
      <c r="A143" s="11" t="s">
        <v>526</v>
      </c>
      <c r="B143" s="297" t="s">
        <v>866</v>
      </c>
      <c r="C143" s="298" t="s">
        <v>723</v>
      </c>
      <c r="D143" s="298" t="s">
        <v>389</v>
      </c>
      <c r="E143" s="270">
        <v>120</v>
      </c>
      <c r="F143" s="276">
        <f>'Приложение 9'!Q607</f>
        <v>0</v>
      </c>
    </row>
    <row r="144" spans="1:6" ht="52.5" customHeight="1">
      <c r="A144" s="259" t="s">
        <v>61</v>
      </c>
      <c r="B144" s="297" t="s">
        <v>98</v>
      </c>
      <c r="C144" s="275"/>
      <c r="D144" s="275"/>
      <c r="E144" s="270"/>
      <c r="F144" s="276">
        <f>F145</f>
        <v>655.5</v>
      </c>
    </row>
    <row r="145" spans="1:6" ht="29.25" customHeight="1">
      <c r="A145" s="22" t="s">
        <v>526</v>
      </c>
      <c r="B145" s="297" t="s">
        <v>98</v>
      </c>
      <c r="C145" s="298" t="s">
        <v>723</v>
      </c>
      <c r="D145" s="298" t="s">
        <v>389</v>
      </c>
      <c r="E145" s="270">
        <v>120</v>
      </c>
      <c r="F145" s="276">
        <f>'Приложение 9'!Q609</f>
        <v>655.5</v>
      </c>
    </row>
    <row r="146" spans="1:6" ht="78.75" customHeight="1">
      <c r="A146" s="288" t="s">
        <v>494</v>
      </c>
      <c r="B146" s="270" t="s">
        <v>636</v>
      </c>
      <c r="C146" s="275"/>
      <c r="D146" s="275"/>
      <c r="E146" s="270"/>
      <c r="F146" s="276">
        <f>SUM(F147:F149)</f>
        <v>619.6000000000001</v>
      </c>
    </row>
    <row r="147" spans="1:6" ht="25.5" customHeight="1">
      <c r="A147" s="288" t="s">
        <v>715</v>
      </c>
      <c r="B147" s="270" t="s">
        <v>636</v>
      </c>
      <c r="C147" s="275" t="s">
        <v>723</v>
      </c>
      <c r="D147" s="275" t="s">
        <v>389</v>
      </c>
      <c r="E147" s="270">
        <v>110</v>
      </c>
      <c r="F147" s="276">
        <f>'Приложение 9'!Q611</f>
        <v>587.1000000000001</v>
      </c>
    </row>
    <row r="148" spans="1:6" ht="41.25" customHeight="1">
      <c r="A148" s="288" t="s">
        <v>712</v>
      </c>
      <c r="B148" s="270" t="s">
        <v>636</v>
      </c>
      <c r="C148" s="275" t="s">
        <v>723</v>
      </c>
      <c r="D148" s="275" t="s">
        <v>389</v>
      </c>
      <c r="E148" s="270">
        <v>240</v>
      </c>
      <c r="F148" s="276">
        <f>'Приложение 9'!Q612</f>
        <v>32.2</v>
      </c>
    </row>
    <row r="149" spans="1:6" ht="15.75">
      <c r="A149" s="11" t="s">
        <v>713</v>
      </c>
      <c r="B149" s="270" t="s">
        <v>636</v>
      </c>
      <c r="C149" s="275" t="s">
        <v>723</v>
      </c>
      <c r="D149" s="275" t="s">
        <v>389</v>
      </c>
      <c r="E149" s="270">
        <v>850</v>
      </c>
      <c r="F149" s="276">
        <f>'Приложение 9'!Q613</f>
        <v>0.30000000000000004</v>
      </c>
    </row>
    <row r="150" spans="1:6" ht="33.75" customHeight="1">
      <c r="A150" s="296" t="s">
        <v>126</v>
      </c>
      <c r="B150" s="297" t="s">
        <v>127</v>
      </c>
      <c r="C150" s="275"/>
      <c r="D150" s="275"/>
      <c r="E150" s="270"/>
      <c r="F150" s="276">
        <f>F151</f>
        <v>3024.0000000000005</v>
      </c>
    </row>
    <row r="151" spans="1:6" ht="86.25" customHeight="1">
      <c r="A151" s="288" t="s">
        <v>684</v>
      </c>
      <c r="B151" s="297" t="s">
        <v>75</v>
      </c>
      <c r="C151" s="275"/>
      <c r="D151" s="275"/>
      <c r="E151" s="270"/>
      <c r="F151" s="276">
        <f>F152</f>
        <v>3024.0000000000005</v>
      </c>
    </row>
    <row r="152" spans="1:6" ht="15.75">
      <c r="A152" s="288" t="s">
        <v>714</v>
      </c>
      <c r="B152" s="297" t="s">
        <v>75</v>
      </c>
      <c r="C152" s="275" t="s">
        <v>723</v>
      </c>
      <c r="D152" s="298" t="s">
        <v>391</v>
      </c>
      <c r="E152" s="270">
        <v>610</v>
      </c>
      <c r="F152" s="276">
        <f>'Приложение 9'!Q532</f>
        <v>3024.0000000000005</v>
      </c>
    </row>
    <row r="153" spans="1:6" s="282" customFormat="1" ht="52.5" customHeight="1">
      <c r="A153" s="287" t="s">
        <v>21</v>
      </c>
      <c r="B153" s="273" t="s">
        <v>348</v>
      </c>
      <c r="C153" s="274"/>
      <c r="D153" s="274"/>
      <c r="E153" s="273"/>
      <c r="F153" s="277">
        <f>F154+F163+F168+F157+F160</f>
        <v>6489.6</v>
      </c>
    </row>
    <row r="154" spans="1:6" ht="65.25" customHeight="1">
      <c r="A154" s="288" t="s">
        <v>341</v>
      </c>
      <c r="B154" s="270" t="s">
        <v>512</v>
      </c>
      <c r="C154" s="275"/>
      <c r="D154" s="275"/>
      <c r="E154" s="270"/>
      <c r="F154" s="276">
        <f>F155</f>
        <v>65</v>
      </c>
    </row>
    <row r="155" spans="1:6" ht="15.75">
      <c r="A155" s="288" t="s">
        <v>255</v>
      </c>
      <c r="B155" s="270" t="s">
        <v>513</v>
      </c>
      <c r="C155" s="275"/>
      <c r="D155" s="275"/>
      <c r="E155" s="270"/>
      <c r="F155" s="276">
        <f>F156</f>
        <v>65</v>
      </c>
    </row>
    <row r="156" spans="1:6" ht="15.75">
      <c r="A156" s="288" t="s">
        <v>714</v>
      </c>
      <c r="B156" s="270" t="s">
        <v>513</v>
      </c>
      <c r="C156" s="275" t="s">
        <v>722</v>
      </c>
      <c r="D156" s="275" t="s">
        <v>393</v>
      </c>
      <c r="E156" s="270">
        <v>610</v>
      </c>
      <c r="F156" s="276">
        <f>'Приложение 9'!Q154</f>
        <v>65</v>
      </c>
    </row>
    <row r="157" spans="1:6" ht="31.5">
      <c r="A157" s="108" t="s">
        <v>131</v>
      </c>
      <c r="B157" s="297" t="s">
        <v>132</v>
      </c>
      <c r="C157" s="275"/>
      <c r="D157" s="275"/>
      <c r="E157" s="270"/>
      <c r="F157" s="276">
        <f>F158</f>
        <v>20</v>
      </c>
    </row>
    <row r="158" spans="1:6" ht="15.75">
      <c r="A158" s="108" t="s">
        <v>255</v>
      </c>
      <c r="B158" s="297" t="s">
        <v>133</v>
      </c>
      <c r="C158" s="275"/>
      <c r="D158" s="275"/>
      <c r="E158" s="270"/>
      <c r="F158" s="276">
        <f>F159</f>
        <v>20</v>
      </c>
    </row>
    <row r="159" spans="1:6" ht="15.75">
      <c r="A159" s="108" t="s">
        <v>714</v>
      </c>
      <c r="B159" s="297" t="s">
        <v>133</v>
      </c>
      <c r="C159" s="298" t="s">
        <v>722</v>
      </c>
      <c r="D159" s="298" t="s">
        <v>393</v>
      </c>
      <c r="E159" s="270">
        <v>610</v>
      </c>
      <c r="F159" s="276">
        <f>'Приложение 9'!Q157</f>
        <v>20</v>
      </c>
    </row>
    <row r="160" spans="1:6" ht="33.75" customHeight="1">
      <c r="A160" s="108" t="s">
        <v>181</v>
      </c>
      <c r="B160" s="349" t="s">
        <v>182</v>
      </c>
      <c r="C160" s="350"/>
      <c r="D160" s="350"/>
      <c r="E160" s="286"/>
      <c r="F160" s="351">
        <f>F161</f>
        <v>210</v>
      </c>
    </row>
    <row r="161" spans="1:6" ht="19.5" customHeight="1">
      <c r="A161" s="108" t="s">
        <v>184</v>
      </c>
      <c r="B161" s="349" t="s">
        <v>185</v>
      </c>
      <c r="C161" s="350"/>
      <c r="D161" s="350"/>
      <c r="E161" s="286"/>
      <c r="F161" s="351">
        <f>F162</f>
        <v>210</v>
      </c>
    </row>
    <row r="162" spans="1:6" ht="36" customHeight="1">
      <c r="A162" s="5" t="s">
        <v>712</v>
      </c>
      <c r="B162" s="349" t="s">
        <v>185</v>
      </c>
      <c r="C162" s="350" t="s">
        <v>722</v>
      </c>
      <c r="D162" s="350" t="s">
        <v>393</v>
      </c>
      <c r="E162" s="286">
        <v>240</v>
      </c>
      <c r="F162" s="351">
        <f>'Приложение 9'!Q160</f>
        <v>210</v>
      </c>
    </row>
    <row r="163" spans="1:6" ht="36" customHeight="1">
      <c r="A163" s="288" t="s">
        <v>652</v>
      </c>
      <c r="B163" s="270" t="s">
        <v>514</v>
      </c>
      <c r="C163" s="275"/>
      <c r="D163" s="275"/>
      <c r="E163" s="270"/>
      <c r="F163" s="276">
        <f>F164+F166</f>
        <v>6029.6</v>
      </c>
    </row>
    <row r="164" spans="1:6" ht="15.75">
      <c r="A164" s="288" t="s">
        <v>255</v>
      </c>
      <c r="B164" s="270" t="s">
        <v>515</v>
      </c>
      <c r="C164" s="275"/>
      <c r="D164" s="275"/>
      <c r="E164" s="270"/>
      <c r="F164" s="276">
        <f>F165</f>
        <v>5388</v>
      </c>
    </row>
    <row r="165" spans="1:6" ht="15.75">
      <c r="A165" s="288" t="s">
        <v>714</v>
      </c>
      <c r="B165" s="270" t="s">
        <v>515</v>
      </c>
      <c r="C165" s="275" t="s">
        <v>722</v>
      </c>
      <c r="D165" s="275" t="s">
        <v>393</v>
      </c>
      <c r="E165" s="270">
        <v>610</v>
      </c>
      <c r="F165" s="276">
        <f>'Приложение 9'!Q163</f>
        <v>5388</v>
      </c>
    </row>
    <row r="166" spans="1:6" ht="64.5" customHeight="1">
      <c r="A166" s="296" t="s">
        <v>61</v>
      </c>
      <c r="B166" s="297" t="s">
        <v>62</v>
      </c>
      <c r="C166" s="275"/>
      <c r="D166" s="275"/>
      <c r="E166" s="270"/>
      <c r="F166" s="276">
        <f>F167</f>
        <v>641.6</v>
      </c>
    </row>
    <row r="167" spans="1:6" ht="15.75">
      <c r="A167" s="288" t="s">
        <v>714</v>
      </c>
      <c r="B167" s="297" t="s">
        <v>62</v>
      </c>
      <c r="C167" s="298" t="s">
        <v>722</v>
      </c>
      <c r="D167" s="298" t="s">
        <v>393</v>
      </c>
      <c r="E167" s="270">
        <v>610</v>
      </c>
      <c r="F167" s="276">
        <f>'Приложение 9'!Q165</f>
        <v>641.6</v>
      </c>
    </row>
    <row r="168" spans="1:6" ht="48.75" customHeight="1">
      <c r="A168" s="288" t="s">
        <v>279</v>
      </c>
      <c r="B168" s="270" t="s">
        <v>280</v>
      </c>
      <c r="C168" s="275"/>
      <c r="D168" s="275"/>
      <c r="E168" s="270"/>
      <c r="F168" s="276">
        <f>F169+F171</f>
        <v>165</v>
      </c>
    </row>
    <row r="169" spans="1:6" ht="15.75">
      <c r="A169" s="288" t="s">
        <v>255</v>
      </c>
      <c r="B169" s="270" t="s">
        <v>281</v>
      </c>
      <c r="C169" s="275"/>
      <c r="D169" s="275"/>
      <c r="E169" s="270"/>
      <c r="F169" s="276">
        <f>F170</f>
        <v>15</v>
      </c>
    </row>
    <row r="170" spans="1:6" ht="15.75">
      <c r="A170" s="288" t="s">
        <v>714</v>
      </c>
      <c r="B170" s="270" t="s">
        <v>281</v>
      </c>
      <c r="C170" s="275" t="s">
        <v>722</v>
      </c>
      <c r="D170" s="275" t="s">
        <v>393</v>
      </c>
      <c r="E170" s="270">
        <v>610</v>
      </c>
      <c r="F170" s="276">
        <f>'Приложение 9'!Q168</f>
        <v>15</v>
      </c>
    </row>
    <row r="171" spans="1:6" ht="63">
      <c r="A171" s="5" t="s">
        <v>835</v>
      </c>
      <c r="B171" s="297" t="s">
        <v>836</v>
      </c>
      <c r="C171" s="275"/>
      <c r="D171" s="275"/>
      <c r="E171" s="270"/>
      <c r="F171" s="276">
        <f>F172</f>
        <v>150</v>
      </c>
    </row>
    <row r="172" spans="1:6" ht="15.75">
      <c r="A172" s="5" t="s">
        <v>714</v>
      </c>
      <c r="B172" s="297" t="s">
        <v>836</v>
      </c>
      <c r="C172" s="298" t="s">
        <v>722</v>
      </c>
      <c r="D172" s="298" t="s">
        <v>393</v>
      </c>
      <c r="E172" s="270">
        <v>610</v>
      </c>
      <c r="F172" s="276">
        <f>'Приложение 9'!Q170</f>
        <v>150</v>
      </c>
    </row>
    <row r="173" spans="1:6" ht="59.25" customHeight="1">
      <c r="A173" s="287" t="s">
        <v>612</v>
      </c>
      <c r="B173" s="273" t="s">
        <v>82</v>
      </c>
      <c r="C173" s="274"/>
      <c r="D173" s="274"/>
      <c r="E173" s="273"/>
      <c r="F173" s="277">
        <f>F174+F179</f>
        <v>5180.6</v>
      </c>
    </row>
    <row r="174" spans="1:6" ht="36" customHeight="1">
      <c r="A174" s="296" t="s">
        <v>782</v>
      </c>
      <c r="B174" s="297" t="s">
        <v>83</v>
      </c>
      <c r="C174" s="275"/>
      <c r="D174" s="275"/>
      <c r="E174" s="270"/>
      <c r="F174" s="276">
        <f>F177+F175</f>
        <v>5013.6</v>
      </c>
    </row>
    <row r="175" spans="1:6" ht="36.75" customHeight="1">
      <c r="A175" s="296" t="s">
        <v>787</v>
      </c>
      <c r="B175" s="297" t="s">
        <v>130</v>
      </c>
      <c r="C175" s="275"/>
      <c r="D175" s="275"/>
      <c r="E175" s="270"/>
      <c r="F175" s="276">
        <f>F176</f>
        <v>582</v>
      </c>
    </row>
    <row r="176" spans="1:6" ht="15.75">
      <c r="A176" s="296" t="s">
        <v>640</v>
      </c>
      <c r="B176" s="297" t="s">
        <v>130</v>
      </c>
      <c r="C176" s="298" t="s">
        <v>722</v>
      </c>
      <c r="D176" s="298" t="s">
        <v>383</v>
      </c>
      <c r="E176" s="270">
        <v>540</v>
      </c>
      <c r="F176" s="276">
        <f>'Приложение 9'!Q51</f>
        <v>582</v>
      </c>
    </row>
    <row r="177" spans="1:6" ht="35.25" customHeight="1">
      <c r="A177" s="296" t="s">
        <v>762</v>
      </c>
      <c r="B177" s="297" t="s">
        <v>84</v>
      </c>
      <c r="C177" s="275"/>
      <c r="D177" s="275"/>
      <c r="E177" s="270"/>
      <c r="F177" s="276">
        <f>F178</f>
        <v>4431.6</v>
      </c>
    </row>
    <row r="178" spans="1:6" ht="15.75">
      <c r="A178" s="296" t="s">
        <v>640</v>
      </c>
      <c r="B178" s="297" t="s">
        <v>84</v>
      </c>
      <c r="C178" s="298" t="s">
        <v>722</v>
      </c>
      <c r="D178" s="298" t="s">
        <v>383</v>
      </c>
      <c r="E178" s="270">
        <v>540</v>
      </c>
      <c r="F178" s="276">
        <f>'Приложение 9'!Q53</f>
        <v>4431.6</v>
      </c>
    </row>
    <row r="179" spans="1:6" ht="33.75" customHeight="1">
      <c r="A179" s="11" t="s">
        <v>229</v>
      </c>
      <c r="B179" s="297" t="s">
        <v>231</v>
      </c>
      <c r="C179" s="298"/>
      <c r="D179" s="298"/>
      <c r="E179" s="270"/>
      <c r="F179" s="276">
        <f>F180</f>
        <v>167</v>
      </c>
    </row>
    <row r="180" spans="1:6" ht="15.75">
      <c r="A180" s="11" t="s">
        <v>230</v>
      </c>
      <c r="B180" s="297" t="s">
        <v>232</v>
      </c>
      <c r="C180" s="298"/>
      <c r="D180" s="298"/>
      <c r="E180" s="270"/>
      <c r="F180" s="276">
        <f>F181</f>
        <v>167</v>
      </c>
    </row>
    <row r="181" spans="1:6" ht="15.75">
      <c r="A181" s="11" t="s">
        <v>640</v>
      </c>
      <c r="B181" s="297" t="s">
        <v>232</v>
      </c>
      <c r="C181" s="298" t="s">
        <v>722</v>
      </c>
      <c r="D181" s="298" t="s">
        <v>383</v>
      </c>
      <c r="E181" s="270">
        <v>540</v>
      </c>
      <c r="F181" s="276">
        <f>'Приложение 9'!Q56</f>
        <v>167</v>
      </c>
    </row>
    <row r="182" spans="1:6" s="282" customFormat="1" ht="71.25" customHeight="1">
      <c r="A182" s="287" t="s">
        <v>282</v>
      </c>
      <c r="B182" s="273" t="s">
        <v>349</v>
      </c>
      <c r="C182" s="274"/>
      <c r="D182" s="274"/>
      <c r="E182" s="273"/>
      <c r="F182" s="277">
        <f>F183+F186</f>
        <v>30</v>
      </c>
    </row>
    <row r="183" spans="1:6" ht="52.5" customHeight="1">
      <c r="A183" s="288" t="s">
        <v>283</v>
      </c>
      <c r="B183" s="270" t="s">
        <v>350</v>
      </c>
      <c r="C183" s="275"/>
      <c r="D183" s="275"/>
      <c r="E183" s="270"/>
      <c r="F183" s="276">
        <f>F184</f>
        <v>20</v>
      </c>
    </row>
    <row r="184" spans="1:6" ht="35.25" customHeight="1">
      <c r="A184" s="288" t="s">
        <v>285</v>
      </c>
      <c r="B184" s="270" t="s">
        <v>286</v>
      </c>
      <c r="C184" s="275"/>
      <c r="D184" s="275"/>
      <c r="E184" s="270"/>
      <c r="F184" s="276">
        <f>F185</f>
        <v>20</v>
      </c>
    </row>
    <row r="185" spans="1:6" ht="31.5">
      <c r="A185" s="288" t="s">
        <v>712</v>
      </c>
      <c r="B185" s="270" t="s">
        <v>286</v>
      </c>
      <c r="C185" s="298" t="s">
        <v>723</v>
      </c>
      <c r="D185" s="298" t="s">
        <v>389</v>
      </c>
      <c r="E185" s="270">
        <v>240</v>
      </c>
      <c r="F185" s="276">
        <f>'Приложение 9'!Q617</f>
        <v>20</v>
      </c>
    </row>
    <row r="186" spans="1:6" ht="78.75" customHeight="1">
      <c r="A186" s="5" t="s">
        <v>112</v>
      </c>
      <c r="B186" s="297" t="s">
        <v>113</v>
      </c>
      <c r="C186" s="298"/>
      <c r="D186" s="275"/>
      <c r="E186" s="270"/>
      <c r="F186" s="276">
        <f>F187</f>
        <v>10</v>
      </c>
    </row>
    <row r="187" spans="1:6" ht="36" customHeight="1">
      <c r="A187" s="288" t="s">
        <v>285</v>
      </c>
      <c r="B187" s="297" t="s">
        <v>114</v>
      </c>
      <c r="C187" s="298"/>
      <c r="D187" s="275"/>
      <c r="E187" s="270"/>
      <c r="F187" s="276">
        <f>F188</f>
        <v>10</v>
      </c>
    </row>
    <row r="188" spans="1:6" ht="31.5">
      <c r="A188" s="288" t="s">
        <v>712</v>
      </c>
      <c r="B188" s="297" t="s">
        <v>114</v>
      </c>
      <c r="C188" s="298" t="s">
        <v>723</v>
      </c>
      <c r="D188" s="298" t="s">
        <v>389</v>
      </c>
      <c r="E188" s="270">
        <v>240</v>
      </c>
      <c r="F188" s="276">
        <f>'Приложение 9'!Q620</f>
        <v>10</v>
      </c>
    </row>
    <row r="189" spans="1:6" s="282" customFormat="1" ht="49.5" customHeight="1">
      <c r="A189" s="287" t="s">
        <v>637</v>
      </c>
      <c r="B189" s="273" t="s">
        <v>351</v>
      </c>
      <c r="C189" s="274"/>
      <c r="D189" s="274"/>
      <c r="E189" s="273"/>
      <c r="F189" s="277">
        <f>F190+F196</f>
        <v>12525.5</v>
      </c>
    </row>
    <row r="190" spans="1:6" ht="63">
      <c r="A190" s="288" t="s">
        <v>301</v>
      </c>
      <c r="B190" s="270" t="s">
        <v>352</v>
      </c>
      <c r="C190" s="275"/>
      <c r="D190" s="275"/>
      <c r="E190" s="270"/>
      <c r="F190" s="276">
        <f>F191+F194</f>
        <v>11030.5</v>
      </c>
    </row>
    <row r="191" spans="1:6" ht="51.75" customHeight="1">
      <c r="A191" s="288" t="s">
        <v>862</v>
      </c>
      <c r="B191" s="270" t="s">
        <v>353</v>
      </c>
      <c r="C191" s="275"/>
      <c r="D191" s="275"/>
      <c r="E191" s="270"/>
      <c r="F191" s="276">
        <f>F192+F193</f>
        <v>3430.5</v>
      </c>
    </row>
    <row r="192" spans="1:6" ht="31.5">
      <c r="A192" s="288" t="s">
        <v>712</v>
      </c>
      <c r="B192" s="270" t="s">
        <v>353</v>
      </c>
      <c r="C192" s="275" t="s">
        <v>722</v>
      </c>
      <c r="D192" s="275" t="s">
        <v>394</v>
      </c>
      <c r="E192" s="270">
        <v>240</v>
      </c>
      <c r="F192" s="276">
        <f>'Приложение 9'!Q206</f>
        <v>57</v>
      </c>
    </row>
    <row r="193" spans="1:6" ht="15.75">
      <c r="A193" s="116" t="s">
        <v>640</v>
      </c>
      <c r="B193" s="297" t="s">
        <v>353</v>
      </c>
      <c r="C193" s="298" t="s">
        <v>722</v>
      </c>
      <c r="D193" s="298" t="s">
        <v>394</v>
      </c>
      <c r="E193" s="270">
        <v>540</v>
      </c>
      <c r="F193" s="276">
        <f>'Приложение 9'!Q207</f>
        <v>3373.5</v>
      </c>
    </row>
    <row r="194" spans="1:6" ht="47.25">
      <c r="A194" s="116" t="s">
        <v>857</v>
      </c>
      <c r="B194" s="297" t="s">
        <v>859</v>
      </c>
      <c r="C194" s="275"/>
      <c r="D194" s="275"/>
      <c r="E194" s="270"/>
      <c r="F194" s="276">
        <f>F195</f>
        <v>7600</v>
      </c>
    </row>
    <row r="195" spans="1:6" ht="31.5">
      <c r="A195" s="288" t="s">
        <v>712</v>
      </c>
      <c r="B195" s="297" t="s">
        <v>859</v>
      </c>
      <c r="C195" s="275" t="s">
        <v>722</v>
      </c>
      <c r="D195" s="275" t="s">
        <v>394</v>
      </c>
      <c r="E195" s="270">
        <v>240</v>
      </c>
      <c r="F195" s="276">
        <f>'Приложение 9'!Q209</f>
        <v>7600</v>
      </c>
    </row>
    <row r="196" spans="1:6" ht="47.25">
      <c r="A196" s="288" t="s">
        <v>303</v>
      </c>
      <c r="B196" s="270" t="s">
        <v>302</v>
      </c>
      <c r="C196" s="275"/>
      <c r="D196" s="275"/>
      <c r="E196" s="270"/>
      <c r="F196" s="276">
        <f>F197</f>
        <v>1495</v>
      </c>
    </row>
    <row r="197" spans="1:6" ht="15.75">
      <c r="A197" s="288" t="s">
        <v>262</v>
      </c>
      <c r="B197" s="270" t="s">
        <v>304</v>
      </c>
      <c r="C197" s="275"/>
      <c r="D197" s="275"/>
      <c r="E197" s="270"/>
      <c r="F197" s="276">
        <f>F198</f>
        <v>1495</v>
      </c>
    </row>
    <row r="198" spans="1:6" ht="33" customHeight="1">
      <c r="A198" s="288" t="s">
        <v>712</v>
      </c>
      <c r="B198" s="270" t="s">
        <v>304</v>
      </c>
      <c r="C198" s="275" t="s">
        <v>722</v>
      </c>
      <c r="D198" s="275" t="s">
        <v>395</v>
      </c>
      <c r="E198" s="270">
        <v>240</v>
      </c>
      <c r="F198" s="276">
        <f>'Приложение 9'!Q240</f>
        <v>1495</v>
      </c>
    </row>
    <row r="199" spans="1:6" s="282" customFormat="1" ht="60.75" customHeight="1">
      <c r="A199" s="287" t="s">
        <v>35</v>
      </c>
      <c r="B199" s="273" t="s">
        <v>354</v>
      </c>
      <c r="C199" s="274"/>
      <c r="D199" s="274"/>
      <c r="E199" s="273"/>
      <c r="F199" s="277">
        <f>F200+F204+F215+F219</f>
        <v>41903.9</v>
      </c>
    </row>
    <row r="200" spans="1:6" ht="49.5" customHeight="1">
      <c r="A200" s="288" t="s">
        <v>378</v>
      </c>
      <c r="B200" s="270" t="s">
        <v>46</v>
      </c>
      <c r="C200" s="275"/>
      <c r="D200" s="275"/>
      <c r="E200" s="270"/>
      <c r="F200" s="276">
        <f>F201</f>
        <v>50</v>
      </c>
    </row>
    <row r="201" spans="1:6" ht="60" customHeight="1">
      <c r="A201" s="288" t="s">
        <v>37</v>
      </c>
      <c r="B201" s="270" t="s">
        <v>47</v>
      </c>
      <c r="C201" s="275"/>
      <c r="D201" s="275"/>
      <c r="E201" s="270"/>
      <c r="F201" s="276">
        <f>F202</f>
        <v>50</v>
      </c>
    </row>
    <row r="202" spans="1:6" ht="31.5">
      <c r="A202" s="288" t="s">
        <v>335</v>
      </c>
      <c r="B202" s="270" t="s">
        <v>48</v>
      </c>
      <c r="C202" s="275"/>
      <c r="D202" s="275"/>
      <c r="E202" s="270"/>
      <c r="F202" s="276">
        <f>F203</f>
        <v>50</v>
      </c>
    </row>
    <row r="203" spans="1:6" ht="30" customHeight="1">
      <c r="A203" s="288" t="s">
        <v>712</v>
      </c>
      <c r="B203" s="270" t="s">
        <v>48</v>
      </c>
      <c r="C203" s="275" t="s">
        <v>397</v>
      </c>
      <c r="D203" s="275" t="s">
        <v>396</v>
      </c>
      <c r="E203" s="270">
        <v>240</v>
      </c>
      <c r="F203" s="276">
        <f>'Приложение 9'!Q417</f>
        <v>50</v>
      </c>
    </row>
    <row r="204" spans="1:6" ht="64.5" customHeight="1">
      <c r="A204" s="288" t="s">
        <v>43</v>
      </c>
      <c r="B204" s="270" t="s">
        <v>49</v>
      </c>
      <c r="C204" s="275"/>
      <c r="D204" s="275"/>
      <c r="E204" s="270"/>
      <c r="F204" s="276">
        <f>F205+F210</f>
        <v>19114.8</v>
      </c>
    </row>
    <row r="205" spans="1:6" ht="47.25">
      <c r="A205" s="288" t="s">
        <v>41</v>
      </c>
      <c r="B205" s="270" t="s">
        <v>50</v>
      </c>
      <c r="C205" s="275"/>
      <c r="D205" s="275"/>
      <c r="E205" s="270"/>
      <c r="F205" s="276">
        <f>F206+F208</f>
        <v>5032.799999999999</v>
      </c>
    </row>
    <row r="206" spans="1:6" ht="131.25" customHeight="1">
      <c r="A206" s="288" t="s">
        <v>53</v>
      </c>
      <c r="B206" s="270" t="s">
        <v>563</v>
      </c>
      <c r="C206" s="275"/>
      <c r="D206" s="275"/>
      <c r="E206" s="270"/>
      <c r="F206" s="276">
        <f>F207</f>
        <v>2865.2</v>
      </c>
    </row>
    <row r="207" spans="1:6" ht="15.75">
      <c r="A207" s="288" t="s">
        <v>718</v>
      </c>
      <c r="B207" s="270" t="s">
        <v>563</v>
      </c>
      <c r="C207" s="275" t="s">
        <v>397</v>
      </c>
      <c r="D207" s="275" t="s">
        <v>398</v>
      </c>
      <c r="E207" s="270">
        <v>510</v>
      </c>
      <c r="F207" s="276">
        <f>'Приложение 9'!Q461</f>
        <v>2865.2</v>
      </c>
    </row>
    <row r="208" spans="1:6" ht="31.5">
      <c r="A208" s="288" t="s">
        <v>55</v>
      </c>
      <c r="B208" s="297" t="s">
        <v>87</v>
      </c>
      <c r="C208" s="275"/>
      <c r="D208" s="275"/>
      <c r="E208" s="270"/>
      <c r="F208" s="276">
        <f>F209</f>
        <v>2167.6</v>
      </c>
    </row>
    <row r="209" spans="1:6" ht="15.75">
      <c r="A209" s="288" t="s">
        <v>718</v>
      </c>
      <c r="B209" s="297" t="s">
        <v>87</v>
      </c>
      <c r="C209" s="275" t="s">
        <v>397</v>
      </c>
      <c r="D209" s="275" t="s">
        <v>398</v>
      </c>
      <c r="E209" s="270">
        <v>510</v>
      </c>
      <c r="F209" s="276">
        <f>'Приложение 9'!Q463</f>
        <v>2167.6</v>
      </c>
    </row>
    <row r="210" spans="1:6" ht="47.25">
      <c r="A210" s="288" t="s">
        <v>44</v>
      </c>
      <c r="B210" s="270" t="s">
        <v>564</v>
      </c>
      <c r="C210" s="275"/>
      <c r="D210" s="275"/>
      <c r="E210" s="270"/>
      <c r="F210" s="276">
        <f>F211+F213</f>
        <v>14082</v>
      </c>
    </row>
    <row r="211" spans="1:6" ht="36" customHeight="1">
      <c r="A211" s="288" t="s">
        <v>42</v>
      </c>
      <c r="B211" s="297" t="s">
        <v>88</v>
      </c>
      <c r="C211" s="275"/>
      <c r="D211" s="275"/>
      <c r="E211" s="270"/>
      <c r="F211" s="276">
        <f>F212</f>
        <v>10961.9</v>
      </c>
    </row>
    <row r="212" spans="1:6" ht="15.75">
      <c r="A212" s="288" t="s">
        <v>718</v>
      </c>
      <c r="B212" s="297" t="s">
        <v>88</v>
      </c>
      <c r="C212" s="275" t="s">
        <v>397</v>
      </c>
      <c r="D212" s="275" t="s">
        <v>399</v>
      </c>
      <c r="E212" s="270">
        <v>510</v>
      </c>
      <c r="F212" s="276">
        <f>'Приложение 9'!Q469</f>
        <v>10961.9</v>
      </c>
    </row>
    <row r="213" spans="1:6" ht="63.75" customHeight="1">
      <c r="A213" s="11" t="s">
        <v>61</v>
      </c>
      <c r="B213" s="297" t="s">
        <v>91</v>
      </c>
      <c r="C213" s="275"/>
      <c r="D213" s="275"/>
      <c r="E213" s="270"/>
      <c r="F213" s="276">
        <f>F214</f>
        <v>3120.1</v>
      </c>
    </row>
    <row r="214" spans="1:6" ht="15.75">
      <c r="A214" s="11" t="s">
        <v>718</v>
      </c>
      <c r="B214" s="297" t="s">
        <v>91</v>
      </c>
      <c r="C214" s="298" t="s">
        <v>397</v>
      </c>
      <c r="D214" s="298" t="s">
        <v>399</v>
      </c>
      <c r="E214" s="270">
        <v>510</v>
      </c>
      <c r="F214" s="276">
        <f>'Приложение 9'!Q471</f>
        <v>3120.1</v>
      </c>
    </row>
    <row r="215" spans="1:6" ht="31.5">
      <c r="A215" s="288" t="s">
        <v>40</v>
      </c>
      <c r="B215" s="270" t="s">
        <v>565</v>
      </c>
      <c r="C215" s="275"/>
      <c r="D215" s="275"/>
      <c r="E215" s="270"/>
      <c r="F215" s="276">
        <f>F216</f>
        <v>68.9</v>
      </c>
    </row>
    <row r="216" spans="1:6" ht="31.5">
      <c r="A216" s="288" t="s">
        <v>39</v>
      </c>
      <c r="B216" s="270" t="s">
        <v>566</v>
      </c>
      <c r="C216" s="275"/>
      <c r="D216" s="275"/>
      <c r="E216" s="270"/>
      <c r="F216" s="276">
        <f>F217</f>
        <v>68.9</v>
      </c>
    </row>
    <row r="217" spans="1:6" ht="31.5">
      <c r="A217" s="288" t="s">
        <v>310</v>
      </c>
      <c r="B217" s="270" t="s">
        <v>567</v>
      </c>
      <c r="C217" s="275"/>
      <c r="D217" s="275"/>
      <c r="E217" s="270"/>
      <c r="F217" s="276">
        <f>F218</f>
        <v>68.9</v>
      </c>
    </row>
    <row r="218" spans="1:6" ht="15.75">
      <c r="A218" s="288" t="s">
        <v>469</v>
      </c>
      <c r="B218" s="270" t="s">
        <v>567</v>
      </c>
      <c r="C218" s="275" t="s">
        <v>397</v>
      </c>
      <c r="D218" s="275" t="s">
        <v>400</v>
      </c>
      <c r="E218" s="270">
        <v>730</v>
      </c>
      <c r="F218" s="276">
        <f>'Приложение 9'!Q454</f>
        <v>68.9</v>
      </c>
    </row>
    <row r="219" spans="1:6" ht="57.75" customHeight="1">
      <c r="A219" s="288" t="s">
        <v>34</v>
      </c>
      <c r="B219" s="270" t="s">
        <v>568</v>
      </c>
      <c r="C219" s="275"/>
      <c r="D219" s="275"/>
      <c r="E219" s="270"/>
      <c r="F219" s="276">
        <f>F220+F235</f>
        <v>22670.2</v>
      </c>
    </row>
    <row r="220" spans="1:6" ht="138" customHeight="1">
      <c r="A220" s="288" t="s">
        <v>33</v>
      </c>
      <c r="B220" s="270" t="s">
        <v>569</v>
      </c>
      <c r="C220" s="275"/>
      <c r="D220" s="275"/>
      <c r="E220" s="270"/>
      <c r="F220" s="276">
        <f>F221+F229+F232+F227+F225</f>
        <v>6891.3</v>
      </c>
    </row>
    <row r="221" spans="1:6" ht="31.5">
      <c r="A221" s="288" t="s">
        <v>335</v>
      </c>
      <c r="B221" s="270" t="s">
        <v>572</v>
      </c>
      <c r="C221" s="275"/>
      <c r="D221" s="275"/>
      <c r="E221" s="270"/>
      <c r="F221" s="276">
        <f>SUM(F222:F224)</f>
        <v>4738.1</v>
      </c>
    </row>
    <row r="222" spans="1:6" ht="29.25" customHeight="1">
      <c r="A222" s="288" t="s">
        <v>526</v>
      </c>
      <c r="B222" s="270" t="s">
        <v>572</v>
      </c>
      <c r="C222" s="275" t="s">
        <v>397</v>
      </c>
      <c r="D222" s="275" t="s">
        <v>396</v>
      </c>
      <c r="E222" s="270">
        <v>120</v>
      </c>
      <c r="F222" s="276">
        <f>'Приложение 9'!Q421</f>
        <v>4029.2</v>
      </c>
    </row>
    <row r="223" spans="1:6" ht="32.25" customHeight="1">
      <c r="A223" s="288" t="s">
        <v>712</v>
      </c>
      <c r="B223" s="270" t="s">
        <v>572</v>
      </c>
      <c r="C223" s="275" t="s">
        <v>397</v>
      </c>
      <c r="D223" s="275" t="s">
        <v>396</v>
      </c>
      <c r="E223" s="270">
        <v>240</v>
      </c>
      <c r="F223" s="276">
        <f>'Приложение 9'!Q422</f>
        <v>708.3</v>
      </c>
    </row>
    <row r="224" spans="1:6" ht="15.75">
      <c r="A224" s="288" t="s">
        <v>713</v>
      </c>
      <c r="B224" s="270" t="s">
        <v>572</v>
      </c>
      <c r="C224" s="275" t="s">
        <v>397</v>
      </c>
      <c r="D224" s="275" t="s">
        <v>396</v>
      </c>
      <c r="E224" s="270">
        <v>850</v>
      </c>
      <c r="F224" s="276">
        <f>'Приложение 9'!Q423</f>
        <v>0.6000000000000014</v>
      </c>
    </row>
    <row r="225" spans="1:6" ht="94.5" hidden="1">
      <c r="A225" s="108" t="s">
        <v>864</v>
      </c>
      <c r="B225" s="297" t="s">
        <v>867</v>
      </c>
      <c r="C225" s="275"/>
      <c r="D225" s="275"/>
      <c r="E225" s="270"/>
      <c r="F225" s="276">
        <f>F226</f>
        <v>0</v>
      </c>
    </row>
    <row r="226" spans="1:6" ht="31.5" hidden="1">
      <c r="A226" s="11" t="s">
        <v>526</v>
      </c>
      <c r="B226" s="297" t="s">
        <v>867</v>
      </c>
      <c r="C226" s="298" t="s">
        <v>397</v>
      </c>
      <c r="D226" s="298" t="s">
        <v>396</v>
      </c>
      <c r="E226" s="270">
        <v>120</v>
      </c>
      <c r="F226" s="276">
        <f>'Приложение 9'!Q425</f>
        <v>0</v>
      </c>
    </row>
    <row r="227" spans="1:6" ht="67.5" customHeight="1">
      <c r="A227" s="11" t="s">
        <v>61</v>
      </c>
      <c r="B227" s="297" t="s">
        <v>99</v>
      </c>
      <c r="C227" s="275"/>
      <c r="D227" s="275"/>
      <c r="E227" s="270"/>
      <c r="F227" s="276">
        <f>F228</f>
        <v>722</v>
      </c>
    </row>
    <row r="228" spans="1:6" ht="37.5" customHeight="1">
      <c r="A228" s="11" t="s">
        <v>526</v>
      </c>
      <c r="B228" s="297" t="s">
        <v>99</v>
      </c>
      <c r="C228" s="298" t="s">
        <v>397</v>
      </c>
      <c r="D228" s="298" t="s">
        <v>396</v>
      </c>
      <c r="E228" s="270">
        <v>120</v>
      </c>
      <c r="F228" s="276">
        <f>'Приложение 9'!Q427</f>
        <v>722</v>
      </c>
    </row>
    <row r="229" spans="1:6" ht="47.25">
      <c r="A229" s="118" t="s">
        <v>241</v>
      </c>
      <c r="B229" s="270" t="s">
        <v>570</v>
      </c>
      <c r="C229" s="275"/>
      <c r="D229" s="275"/>
      <c r="E229" s="270"/>
      <c r="F229" s="276">
        <f>SUM(F230:F231)</f>
        <v>372.9</v>
      </c>
    </row>
    <row r="230" spans="1:6" ht="32.25" customHeight="1">
      <c r="A230" s="288" t="s">
        <v>526</v>
      </c>
      <c r="B230" s="270" t="s">
        <v>570</v>
      </c>
      <c r="C230" s="275" t="s">
        <v>401</v>
      </c>
      <c r="D230" s="275" t="s">
        <v>396</v>
      </c>
      <c r="E230" s="270">
        <v>120</v>
      </c>
      <c r="F230" s="276">
        <f>'Приложение 9'!Q429</f>
        <v>371.9</v>
      </c>
    </row>
    <row r="231" spans="1:6" ht="31.5" customHeight="1">
      <c r="A231" s="288" t="s">
        <v>712</v>
      </c>
      <c r="B231" s="270" t="s">
        <v>570</v>
      </c>
      <c r="C231" s="275" t="s">
        <v>401</v>
      </c>
      <c r="D231" s="275" t="s">
        <v>396</v>
      </c>
      <c r="E231" s="270">
        <v>240</v>
      </c>
      <c r="F231" s="276">
        <f>'Приложение 9'!Q430</f>
        <v>1</v>
      </c>
    </row>
    <row r="232" spans="1:6" ht="81" customHeight="1">
      <c r="A232" s="118" t="s">
        <v>242</v>
      </c>
      <c r="B232" s="270" t="s">
        <v>571</v>
      </c>
      <c r="C232" s="275"/>
      <c r="D232" s="275"/>
      <c r="E232" s="270"/>
      <c r="F232" s="276">
        <f>SUM(F233:F234)</f>
        <v>1058.3</v>
      </c>
    </row>
    <row r="233" spans="1:6" ht="39" customHeight="1">
      <c r="A233" s="288" t="s">
        <v>526</v>
      </c>
      <c r="B233" s="270" t="s">
        <v>571</v>
      </c>
      <c r="C233" s="275" t="s">
        <v>397</v>
      </c>
      <c r="D233" s="275" t="s">
        <v>396</v>
      </c>
      <c r="E233" s="270">
        <v>120</v>
      </c>
      <c r="F233" s="276">
        <f>'Приложение 9'!Q432</f>
        <v>999.1</v>
      </c>
    </row>
    <row r="234" spans="1:6" ht="36.75" customHeight="1">
      <c r="A234" s="288" t="s">
        <v>712</v>
      </c>
      <c r="B234" s="270" t="s">
        <v>571</v>
      </c>
      <c r="C234" s="275" t="s">
        <v>397</v>
      </c>
      <c r="D234" s="275" t="s">
        <v>396</v>
      </c>
      <c r="E234" s="270">
        <v>240</v>
      </c>
      <c r="F234" s="276">
        <f>'Приложение 9'!Q433</f>
        <v>59.2</v>
      </c>
    </row>
    <row r="235" spans="1:6" ht="47.25" customHeight="1">
      <c r="A235" s="288" t="s">
        <v>708</v>
      </c>
      <c r="B235" s="270" t="s">
        <v>796</v>
      </c>
      <c r="C235" s="275"/>
      <c r="D235" s="275"/>
      <c r="E235" s="270"/>
      <c r="F235" s="276">
        <f>F236+F243+F241</f>
        <v>15778.900000000001</v>
      </c>
    </row>
    <row r="236" spans="1:6" ht="31.5" customHeight="1">
      <c r="A236" s="288" t="s">
        <v>337</v>
      </c>
      <c r="B236" s="270" t="s">
        <v>797</v>
      </c>
      <c r="C236" s="275"/>
      <c r="D236" s="275"/>
      <c r="E236" s="270"/>
      <c r="F236" s="276">
        <f>SUM(F237:F240)</f>
        <v>11336.600000000002</v>
      </c>
    </row>
    <row r="237" spans="1:6" ht="19.5" customHeight="1">
      <c r="A237" s="288" t="s">
        <v>715</v>
      </c>
      <c r="B237" s="270" t="s">
        <v>797</v>
      </c>
      <c r="C237" s="275" t="s">
        <v>397</v>
      </c>
      <c r="D237" s="275" t="s">
        <v>383</v>
      </c>
      <c r="E237" s="270">
        <v>110</v>
      </c>
      <c r="F237" s="276">
        <f>'Приложение 9'!Q439</f>
        <v>10531.800000000001</v>
      </c>
    </row>
    <row r="238" spans="1:6" ht="31.5" customHeight="1">
      <c r="A238" s="288" t="s">
        <v>712</v>
      </c>
      <c r="B238" s="270" t="s">
        <v>797</v>
      </c>
      <c r="C238" s="275" t="s">
        <v>397</v>
      </c>
      <c r="D238" s="275" t="s">
        <v>383</v>
      </c>
      <c r="E238" s="270">
        <v>240</v>
      </c>
      <c r="F238" s="276">
        <f>'Приложение 9'!Q440</f>
        <v>736.7</v>
      </c>
    </row>
    <row r="239" spans="1:6" ht="31.5" customHeight="1">
      <c r="A239" s="11" t="s">
        <v>717</v>
      </c>
      <c r="B239" s="297" t="s">
        <v>797</v>
      </c>
      <c r="C239" s="298" t="s">
        <v>397</v>
      </c>
      <c r="D239" s="298" t="s">
        <v>383</v>
      </c>
      <c r="E239" s="270">
        <v>320</v>
      </c>
      <c r="F239" s="276">
        <f>'Приложение 9'!Q441</f>
        <v>68</v>
      </c>
    </row>
    <row r="240" spans="1:6" ht="15.75">
      <c r="A240" s="288" t="s">
        <v>713</v>
      </c>
      <c r="B240" s="270" t="s">
        <v>797</v>
      </c>
      <c r="C240" s="275" t="s">
        <v>397</v>
      </c>
      <c r="D240" s="275" t="s">
        <v>383</v>
      </c>
      <c r="E240" s="270">
        <v>850</v>
      </c>
      <c r="F240" s="276">
        <f>'Приложение 9'!Q442</f>
        <v>0.10000000000000009</v>
      </c>
    </row>
    <row r="241" spans="1:6" ht="63" customHeight="1">
      <c r="A241" s="11" t="s">
        <v>61</v>
      </c>
      <c r="B241" s="297" t="s">
        <v>227</v>
      </c>
      <c r="C241" s="275"/>
      <c r="D241" s="275"/>
      <c r="E241" s="270"/>
      <c r="F241" s="276">
        <f>F242</f>
        <v>2235.2</v>
      </c>
    </row>
    <row r="242" spans="1:6" ht="18" customHeight="1">
      <c r="A242" s="11" t="s">
        <v>781</v>
      </c>
      <c r="B242" s="297" t="s">
        <v>227</v>
      </c>
      <c r="C242" s="298" t="s">
        <v>401</v>
      </c>
      <c r="D242" s="298" t="s">
        <v>383</v>
      </c>
      <c r="E242" s="270">
        <v>110</v>
      </c>
      <c r="F242" s="276">
        <f>'Приложение 9'!Q444</f>
        <v>2235.2</v>
      </c>
    </row>
    <row r="243" spans="1:6" ht="49.5" customHeight="1">
      <c r="A243" s="118" t="s">
        <v>752</v>
      </c>
      <c r="B243" s="270" t="s">
        <v>798</v>
      </c>
      <c r="C243" s="275"/>
      <c r="D243" s="275"/>
      <c r="E243" s="270"/>
      <c r="F243" s="276">
        <f>SUM(F244:F245)</f>
        <v>2207.0999999999995</v>
      </c>
    </row>
    <row r="244" spans="1:6" ht="24.75" customHeight="1">
      <c r="A244" s="288" t="s">
        <v>715</v>
      </c>
      <c r="B244" s="270" t="s">
        <v>798</v>
      </c>
      <c r="C244" s="275" t="s">
        <v>397</v>
      </c>
      <c r="D244" s="275" t="s">
        <v>383</v>
      </c>
      <c r="E244" s="270">
        <v>110</v>
      </c>
      <c r="F244" s="276">
        <f>'Приложение 9'!Q446</f>
        <v>2095.4999999999995</v>
      </c>
    </row>
    <row r="245" spans="1:6" ht="35.25" customHeight="1">
      <c r="A245" s="288" t="s">
        <v>712</v>
      </c>
      <c r="B245" s="270" t="s">
        <v>798</v>
      </c>
      <c r="C245" s="275" t="s">
        <v>397</v>
      </c>
      <c r="D245" s="275" t="s">
        <v>383</v>
      </c>
      <c r="E245" s="270">
        <v>240</v>
      </c>
      <c r="F245" s="276">
        <f>'Приложение 9'!Q447</f>
        <v>111.6</v>
      </c>
    </row>
    <row r="246" spans="1:6" s="282" customFormat="1" ht="69" customHeight="1">
      <c r="A246" s="287" t="s">
        <v>470</v>
      </c>
      <c r="B246" s="273" t="s">
        <v>355</v>
      </c>
      <c r="C246" s="274"/>
      <c r="D246" s="274"/>
      <c r="E246" s="273"/>
      <c r="F246" s="277">
        <f>F247+F251</f>
        <v>166</v>
      </c>
    </row>
    <row r="247" spans="1:6" ht="21" customHeight="1">
      <c r="A247" s="5" t="s">
        <v>171</v>
      </c>
      <c r="B247" s="297" t="s">
        <v>173</v>
      </c>
      <c r="C247" s="298"/>
      <c r="D247" s="298"/>
      <c r="E247" s="297"/>
      <c r="F247" s="299">
        <f>F248</f>
        <v>15</v>
      </c>
    </row>
    <row r="248" spans="1:6" ht="81" customHeight="1">
      <c r="A248" s="5" t="s">
        <v>172</v>
      </c>
      <c r="B248" s="297" t="s">
        <v>174</v>
      </c>
      <c r="C248" s="298"/>
      <c r="D248" s="298"/>
      <c r="E248" s="297"/>
      <c r="F248" s="299">
        <f>F249</f>
        <v>15</v>
      </c>
    </row>
    <row r="249" spans="1:6" ht="32.25" customHeight="1">
      <c r="A249" s="5" t="s">
        <v>285</v>
      </c>
      <c r="B249" s="297" t="s">
        <v>175</v>
      </c>
      <c r="C249" s="298"/>
      <c r="D249" s="298"/>
      <c r="E249" s="297"/>
      <c r="F249" s="299">
        <f>F250</f>
        <v>15</v>
      </c>
    </row>
    <row r="250" spans="1:6" ht="36" customHeight="1">
      <c r="A250" s="259" t="s">
        <v>712</v>
      </c>
      <c r="B250" s="297" t="s">
        <v>175</v>
      </c>
      <c r="C250" s="298" t="s">
        <v>723</v>
      </c>
      <c r="D250" s="298" t="s">
        <v>389</v>
      </c>
      <c r="E250" s="297">
        <v>240</v>
      </c>
      <c r="F250" s="299">
        <f>'Приложение 9'!Q625</f>
        <v>15</v>
      </c>
    </row>
    <row r="251" spans="1:6" ht="31.5">
      <c r="A251" s="288" t="s">
        <v>647</v>
      </c>
      <c r="B251" s="270" t="s">
        <v>356</v>
      </c>
      <c r="C251" s="275"/>
      <c r="D251" s="275"/>
      <c r="E251" s="270"/>
      <c r="F251" s="276">
        <f>F252+F256+F259</f>
        <v>151</v>
      </c>
    </row>
    <row r="252" spans="1:6" ht="31.5">
      <c r="A252" s="11" t="s">
        <v>167</v>
      </c>
      <c r="B252" s="297" t="s">
        <v>176</v>
      </c>
      <c r="C252" s="275"/>
      <c r="D252" s="275"/>
      <c r="E252" s="270"/>
      <c r="F252" s="276">
        <f>F253</f>
        <v>5</v>
      </c>
    </row>
    <row r="253" spans="1:6" ht="36" customHeight="1">
      <c r="A253" s="11" t="s">
        <v>168</v>
      </c>
      <c r="B253" s="297" t="s">
        <v>177</v>
      </c>
      <c r="C253" s="275"/>
      <c r="D253" s="275"/>
      <c r="E253" s="270"/>
      <c r="F253" s="276">
        <f>F254+F255</f>
        <v>5</v>
      </c>
    </row>
    <row r="254" spans="1:6" ht="31.5" hidden="1">
      <c r="A254" s="34" t="s">
        <v>712</v>
      </c>
      <c r="B254" s="297" t="s">
        <v>177</v>
      </c>
      <c r="C254" s="298" t="s">
        <v>722</v>
      </c>
      <c r="D254" s="298" t="s">
        <v>402</v>
      </c>
      <c r="E254" s="270">
        <v>240</v>
      </c>
      <c r="F254" s="276">
        <f>'Приложение 9'!Q97</f>
        <v>0</v>
      </c>
    </row>
    <row r="255" spans="1:6" ht="15.75">
      <c r="A255" s="11" t="s">
        <v>166</v>
      </c>
      <c r="B255" s="297" t="s">
        <v>177</v>
      </c>
      <c r="C255" s="298" t="s">
        <v>722</v>
      </c>
      <c r="D255" s="298" t="s">
        <v>402</v>
      </c>
      <c r="E255" s="270">
        <v>360</v>
      </c>
      <c r="F255" s="276">
        <f>'Приложение 9'!Q98</f>
        <v>5</v>
      </c>
    </row>
    <row r="256" spans="1:6" ht="76.5" customHeight="1">
      <c r="A256" s="118" t="s">
        <v>270</v>
      </c>
      <c r="B256" s="270" t="s">
        <v>516</v>
      </c>
      <c r="C256" s="275"/>
      <c r="D256" s="275"/>
      <c r="E256" s="270"/>
      <c r="F256" s="276">
        <f>F257</f>
        <v>136</v>
      </c>
    </row>
    <row r="257" spans="1:6" ht="56.25" customHeight="1">
      <c r="A257" s="288" t="s">
        <v>471</v>
      </c>
      <c r="B257" s="270" t="s">
        <v>357</v>
      </c>
      <c r="C257" s="275"/>
      <c r="D257" s="275"/>
      <c r="E257" s="270"/>
      <c r="F257" s="276">
        <f>F258</f>
        <v>136</v>
      </c>
    </row>
    <row r="258" spans="1:6" ht="33.75" customHeight="1">
      <c r="A258" s="288" t="s">
        <v>712</v>
      </c>
      <c r="B258" s="270" t="s">
        <v>357</v>
      </c>
      <c r="C258" s="275" t="s">
        <v>722</v>
      </c>
      <c r="D258" s="275" t="s">
        <v>402</v>
      </c>
      <c r="E258" s="270">
        <v>240</v>
      </c>
      <c r="F258" s="276">
        <f>'Приложение 9'!Q101</f>
        <v>136</v>
      </c>
    </row>
    <row r="259" spans="1:6" ht="31.5">
      <c r="A259" s="11" t="s">
        <v>169</v>
      </c>
      <c r="B259" s="297" t="s">
        <v>178</v>
      </c>
      <c r="C259" s="275"/>
      <c r="D259" s="275"/>
      <c r="E259" s="270"/>
      <c r="F259" s="276">
        <f>F260</f>
        <v>10</v>
      </c>
    </row>
    <row r="260" spans="1:6" ht="31.5">
      <c r="A260" s="11" t="s">
        <v>170</v>
      </c>
      <c r="B260" s="297" t="s">
        <v>179</v>
      </c>
      <c r="C260" s="275"/>
      <c r="D260" s="275"/>
      <c r="E260" s="270"/>
      <c r="F260" s="276">
        <f>F261</f>
        <v>10</v>
      </c>
    </row>
    <row r="261" spans="1:6" ht="37.5" customHeight="1">
      <c r="A261" s="34" t="s">
        <v>712</v>
      </c>
      <c r="B261" s="297" t="s">
        <v>179</v>
      </c>
      <c r="C261" s="298" t="s">
        <v>722</v>
      </c>
      <c r="D261" s="298" t="s">
        <v>402</v>
      </c>
      <c r="E261" s="270">
        <v>240</v>
      </c>
      <c r="F261" s="276">
        <f>'Приложение 9'!Q104</f>
        <v>10</v>
      </c>
    </row>
    <row r="262" spans="1:6" ht="15.75" hidden="1">
      <c r="A262" s="288"/>
      <c r="B262" s="270"/>
      <c r="C262" s="275"/>
      <c r="D262" s="275"/>
      <c r="E262" s="270"/>
      <c r="F262" s="276"/>
    </row>
    <row r="263" spans="1:6" s="282" customFormat="1" ht="48" customHeight="1">
      <c r="A263" s="287" t="s">
        <v>32</v>
      </c>
      <c r="B263" s="273" t="s">
        <v>22</v>
      </c>
      <c r="C263" s="274"/>
      <c r="D263" s="274"/>
      <c r="E263" s="273"/>
      <c r="F263" s="277">
        <f>F264+F272</f>
        <v>434.2</v>
      </c>
    </row>
    <row r="264" spans="1:6" ht="51" customHeight="1">
      <c r="A264" s="288" t="s">
        <v>30</v>
      </c>
      <c r="B264" s="270" t="s">
        <v>23</v>
      </c>
      <c r="C264" s="275"/>
      <c r="D264" s="275"/>
      <c r="E264" s="270"/>
      <c r="F264" s="276">
        <f>F265+F268+F270</f>
        <v>398.2</v>
      </c>
    </row>
    <row r="265" spans="1:6" ht="33.75" customHeight="1">
      <c r="A265" s="288" t="s">
        <v>252</v>
      </c>
      <c r="B265" s="270" t="s">
        <v>24</v>
      </c>
      <c r="C265" s="275"/>
      <c r="D265" s="275"/>
      <c r="E265" s="270"/>
      <c r="F265" s="276">
        <f>F266+F267</f>
        <v>68.2</v>
      </c>
    </row>
    <row r="266" spans="1:6" ht="36" customHeight="1" hidden="1">
      <c r="A266" s="288" t="s">
        <v>712</v>
      </c>
      <c r="B266" s="270" t="s">
        <v>24</v>
      </c>
      <c r="C266" s="275" t="s">
        <v>722</v>
      </c>
      <c r="D266" s="275" t="s">
        <v>393</v>
      </c>
      <c r="E266" s="270">
        <v>240</v>
      </c>
      <c r="F266" s="276">
        <f>'Приложение 9'!Q178</f>
        <v>0</v>
      </c>
    </row>
    <row r="267" spans="1:6" ht="67.5" customHeight="1">
      <c r="A267" s="288" t="s">
        <v>9</v>
      </c>
      <c r="B267" s="270" t="s">
        <v>24</v>
      </c>
      <c r="C267" s="275" t="s">
        <v>722</v>
      </c>
      <c r="D267" s="275" t="s">
        <v>393</v>
      </c>
      <c r="E267" s="270">
        <v>810</v>
      </c>
      <c r="F267" s="276">
        <f>'Приложение 9'!Q179</f>
        <v>68.2</v>
      </c>
    </row>
    <row r="268" spans="1:6" ht="47.25" hidden="1">
      <c r="A268" s="288" t="s">
        <v>800</v>
      </c>
      <c r="B268" s="270" t="s">
        <v>801</v>
      </c>
      <c r="C268" s="275"/>
      <c r="D268" s="275"/>
      <c r="E268" s="270"/>
      <c r="F268" s="276">
        <f>F269</f>
        <v>0</v>
      </c>
    </row>
    <row r="269" spans="1:6" ht="63" hidden="1">
      <c r="A269" s="288" t="s">
        <v>9</v>
      </c>
      <c r="B269" s="270" t="s">
        <v>801</v>
      </c>
      <c r="C269" s="275" t="s">
        <v>722</v>
      </c>
      <c r="D269" s="275" t="s">
        <v>393</v>
      </c>
      <c r="E269" s="270">
        <v>810</v>
      </c>
      <c r="F269" s="276">
        <f>'Приложение 9'!Q181</f>
        <v>0</v>
      </c>
    </row>
    <row r="270" spans="1:6" ht="36.75" customHeight="1">
      <c r="A270" s="288" t="s">
        <v>8</v>
      </c>
      <c r="B270" s="270" t="s">
        <v>269</v>
      </c>
      <c r="C270" s="275"/>
      <c r="D270" s="275"/>
      <c r="E270" s="270"/>
      <c r="F270" s="276">
        <f>F271</f>
        <v>330</v>
      </c>
    </row>
    <row r="271" spans="1:6" ht="63.75" customHeight="1">
      <c r="A271" s="288" t="s">
        <v>9</v>
      </c>
      <c r="B271" s="270" t="s">
        <v>269</v>
      </c>
      <c r="C271" s="275" t="s">
        <v>722</v>
      </c>
      <c r="D271" s="275" t="s">
        <v>393</v>
      </c>
      <c r="E271" s="270">
        <v>810</v>
      </c>
      <c r="F271" s="276">
        <f>'Приложение 9'!Q183</f>
        <v>330</v>
      </c>
    </row>
    <row r="272" spans="1:6" ht="47.25">
      <c r="A272" s="288" t="s">
        <v>31</v>
      </c>
      <c r="B272" s="270" t="s">
        <v>25</v>
      </c>
      <c r="C272" s="275"/>
      <c r="D272" s="275"/>
      <c r="E272" s="270"/>
      <c r="F272" s="276">
        <f>F273</f>
        <v>36</v>
      </c>
    </row>
    <row r="273" spans="1:6" ht="33" customHeight="1">
      <c r="A273" s="288" t="s">
        <v>254</v>
      </c>
      <c r="B273" s="270" t="s">
        <v>26</v>
      </c>
      <c r="C273" s="275"/>
      <c r="D273" s="275"/>
      <c r="E273" s="270"/>
      <c r="F273" s="276">
        <f>F274</f>
        <v>36</v>
      </c>
    </row>
    <row r="274" spans="1:6" ht="32.25" customHeight="1">
      <c r="A274" s="288" t="s">
        <v>712</v>
      </c>
      <c r="B274" s="270" t="s">
        <v>26</v>
      </c>
      <c r="C274" s="275" t="s">
        <v>722</v>
      </c>
      <c r="D274" s="275" t="s">
        <v>393</v>
      </c>
      <c r="E274" s="270">
        <v>240</v>
      </c>
      <c r="F274" s="276">
        <f>'Приложение 9'!Q186</f>
        <v>36</v>
      </c>
    </row>
    <row r="275" spans="1:6" s="282" customFormat="1" ht="78" customHeight="1">
      <c r="A275" s="287" t="s">
        <v>808</v>
      </c>
      <c r="B275" s="273" t="s">
        <v>276</v>
      </c>
      <c r="C275" s="274"/>
      <c r="D275" s="274"/>
      <c r="E275" s="273"/>
      <c r="F275" s="277">
        <f>F276</f>
        <v>41872.2</v>
      </c>
    </row>
    <row r="276" spans="1:6" ht="41.25" customHeight="1">
      <c r="A276" s="296" t="s">
        <v>117</v>
      </c>
      <c r="B276" s="297" t="s">
        <v>118</v>
      </c>
      <c r="C276" s="298"/>
      <c r="D276" s="298"/>
      <c r="E276" s="297"/>
      <c r="F276" s="299">
        <f>F279+F281+F277</f>
        <v>41872.2</v>
      </c>
    </row>
    <row r="277" spans="1:6" ht="51.75" customHeight="1">
      <c r="A277" s="18" t="s">
        <v>802</v>
      </c>
      <c r="B277" s="297" t="s">
        <v>180</v>
      </c>
      <c r="C277" s="298"/>
      <c r="D277" s="298"/>
      <c r="E277" s="297"/>
      <c r="F277" s="299">
        <f>F278</f>
        <v>40173.299999999996</v>
      </c>
    </row>
    <row r="278" spans="1:6" ht="15.75">
      <c r="A278" s="288" t="s">
        <v>518</v>
      </c>
      <c r="B278" s="297" t="s">
        <v>180</v>
      </c>
      <c r="C278" s="298" t="s">
        <v>722</v>
      </c>
      <c r="D278" s="298" t="s">
        <v>403</v>
      </c>
      <c r="E278" s="297">
        <v>410</v>
      </c>
      <c r="F278" s="299">
        <f>'Приложение 9'!Q196</f>
        <v>40173.299999999996</v>
      </c>
    </row>
    <row r="279" spans="1:6" ht="51.75" customHeight="1">
      <c r="A279" s="288" t="s">
        <v>803</v>
      </c>
      <c r="B279" s="270" t="s">
        <v>814</v>
      </c>
      <c r="C279" s="275"/>
      <c r="D279" s="275"/>
      <c r="E279" s="270"/>
      <c r="F279" s="276">
        <f>F280</f>
        <v>1673.9</v>
      </c>
    </row>
    <row r="280" spans="1:6" ht="15.75">
      <c r="A280" s="288" t="s">
        <v>518</v>
      </c>
      <c r="B280" s="270" t="s">
        <v>814</v>
      </c>
      <c r="C280" s="275" t="s">
        <v>722</v>
      </c>
      <c r="D280" s="275" t="s">
        <v>403</v>
      </c>
      <c r="E280" s="270">
        <v>410</v>
      </c>
      <c r="F280" s="276">
        <f>'Приложение 9'!Q198</f>
        <v>1673.9</v>
      </c>
    </row>
    <row r="281" spans="1:6" ht="45" customHeight="1">
      <c r="A281" s="288" t="s">
        <v>817</v>
      </c>
      <c r="B281" s="270" t="s">
        <v>818</v>
      </c>
      <c r="C281" s="275"/>
      <c r="D281" s="275"/>
      <c r="E281" s="270"/>
      <c r="F281" s="276">
        <f>F283+F282</f>
        <v>25</v>
      </c>
    </row>
    <row r="282" spans="1:6" ht="45" customHeight="1">
      <c r="A282" s="18" t="s">
        <v>712</v>
      </c>
      <c r="B282" s="270" t="s">
        <v>818</v>
      </c>
      <c r="C282" s="275" t="s">
        <v>722</v>
      </c>
      <c r="D282" s="275" t="s">
        <v>403</v>
      </c>
      <c r="E282" s="270">
        <v>240</v>
      </c>
      <c r="F282" s="276">
        <f>'Приложение 9'!Q200</f>
        <v>25</v>
      </c>
    </row>
    <row r="283" spans="1:6" ht="15.75" hidden="1">
      <c r="A283" s="288" t="s">
        <v>518</v>
      </c>
      <c r="B283" s="270" t="s">
        <v>818</v>
      </c>
      <c r="C283" s="275" t="s">
        <v>722</v>
      </c>
      <c r="D283" s="275" t="s">
        <v>403</v>
      </c>
      <c r="E283" s="270">
        <v>410</v>
      </c>
      <c r="F283" s="276">
        <f>'Приложение 9'!Q201</f>
        <v>0</v>
      </c>
    </row>
    <row r="284" spans="1:6" s="282" customFormat="1" ht="53.25" customHeight="1">
      <c r="A284" s="287" t="s">
        <v>680</v>
      </c>
      <c r="B284" s="273" t="s">
        <v>404</v>
      </c>
      <c r="C284" s="274"/>
      <c r="D284" s="274"/>
      <c r="E284" s="273"/>
      <c r="F284" s="277">
        <f>F285+F288+F293+F298+F306</f>
        <v>141.2</v>
      </c>
    </row>
    <row r="285" spans="1:6" ht="54" customHeight="1" hidden="1">
      <c r="A285" s="288" t="s">
        <v>472</v>
      </c>
      <c r="B285" s="270" t="s">
        <v>405</v>
      </c>
      <c r="C285" s="275"/>
      <c r="D285" s="275"/>
      <c r="E285" s="270"/>
      <c r="F285" s="276">
        <f>F286</f>
        <v>0</v>
      </c>
    </row>
    <row r="286" spans="1:6" ht="78.75" hidden="1">
      <c r="A286" s="288" t="s">
        <v>494</v>
      </c>
      <c r="B286" s="270" t="s">
        <v>406</v>
      </c>
      <c r="C286" s="275"/>
      <c r="D286" s="275"/>
      <c r="E286" s="270"/>
      <c r="F286" s="276">
        <f>F287</f>
        <v>0</v>
      </c>
    </row>
    <row r="287" spans="1:6" ht="31.5" hidden="1">
      <c r="A287" s="288" t="s">
        <v>712</v>
      </c>
      <c r="B287" s="270" t="s">
        <v>406</v>
      </c>
      <c r="C287" s="275" t="s">
        <v>723</v>
      </c>
      <c r="D287" s="275" t="s">
        <v>389</v>
      </c>
      <c r="E287" s="270">
        <v>240</v>
      </c>
      <c r="F287" s="276">
        <f>'Приложение 9'!Q629</f>
        <v>0</v>
      </c>
    </row>
    <row r="288" spans="1:6" ht="47.25" hidden="1">
      <c r="A288" s="288" t="s">
        <v>317</v>
      </c>
      <c r="B288" s="270" t="s">
        <v>407</v>
      </c>
      <c r="C288" s="275"/>
      <c r="D288" s="275"/>
      <c r="E288" s="270"/>
      <c r="F288" s="276">
        <f>F289+F291</f>
        <v>0</v>
      </c>
    </row>
    <row r="289" spans="1:6" ht="15.75" hidden="1">
      <c r="A289" s="288" t="s">
        <v>324</v>
      </c>
      <c r="B289" s="270" t="s">
        <v>408</v>
      </c>
      <c r="C289" s="275"/>
      <c r="D289" s="275"/>
      <c r="E289" s="270"/>
      <c r="F289" s="276">
        <f>F290</f>
        <v>0</v>
      </c>
    </row>
    <row r="290" spans="1:6" ht="15.75" hidden="1">
      <c r="A290" s="288" t="s">
        <v>714</v>
      </c>
      <c r="B290" s="270" t="s">
        <v>408</v>
      </c>
      <c r="C290" s="275" t="s">
        <v>723</v>
      </c>
      <c r="D290" s="275" t="s">
        <v>388</v>
      </c>
      <c r="E290" s="270">
        <v>610</v>
      </c>
      <c r="F290" s="276">
        <f>'Приложение 9'!Q489</f>
        <v>0</v>
      </c>
    </row>
    <row r="291" spans="1:6" ht="31.5" hidden="1">
      <c r="A291" s="288" t="s">
        <v>327</v>
      </c>
      <c r="B291" s="270" t="s">
        <v>409</v>
      </c>
      <c r="C291" s="275"/>
      <c r="D291" s="275"/>
      <c r="E291" s="270"/>
      <c r="F291" s="276">
        <f>F292</f>
        <v>0</v>
      </c>
    </row>
    <row r="292" spans="1:6" ht="15.75" hidden="1">
      <c r="A292" s="288" t="s">
        <v>714</v>
      </c>
      <c r="B292" s="270" t="s">
        <v>409</v>
      </c>
      <c r="C292" s="275" t="s">
        <v>723</v>
      </c>
      <c r="D292" s="275" t="s">
        <v>391</v>
      </c>
      <c r="E292" s="270">
        <v>610</v>
      </c>
      <c r="F292" s="276">
        <f>'Приложение 9'!Q543</f>
        <v>0</v>
      </c>
    </row>
    <row r="293" spans="1:6" ht="47.25" hidden="1">
      <c r="A293" s="288" t="s">
        <v>313</v>
      </c>
      <c r="B293" s="270" t="s">
        <v>410</v>
      </c>
      <c r="C293" s="275"/>
      <c r="D293" s="275"/>
      <c r="E293" s="270"/>
      <c r="F293" s="276">
        <f>F294+F296</f>
        <v>0</v>
      </c>
    </row>
    <row r="294" spans="1:6" ht="15.75" hidden="1">
      <c r="A294" s="288" t="s">
        <v>324</v>
      </c>
      <c r="B294" s="270" t="s">
        <v>411</v>
      </c>
      <c r="C294" s="275"/>
      <c r="D294" s="275"/>
      <c r="E294" s="270"/>
      <c r="F294" s="276">
        <f>F295</f>
        <v>0</v>
      </c>
    </row>
    <row r="295" spans="1:6" ht="15.75" hidden="1">
      <c r="A295" s="288" t="s">
        <v>714</v>
      </c>
      <c r="B295" s="270" t="s">
        <v>411</v>
      </c>
      <c r="C295" s="275" t="s">
        <v>723</v>
      </c>
      <c r="D295" s="275" t="s">
        <v>388</v>
      </c>
      <c r="E295" s="270">
        <v>610</v>
      </c>
      <c r="F295" s="276">
        <f>'Приложение 9'!Q492</f>
        <v>0</v>
      </c>
    </row>
    <row r="296" spans="1:6" ht="31.5" hidden="1">
      <c r="A296" s="288" t="s">
        <v>327</v>
      </c>
      <c r="B296" s="270" t="s">
        <v>412</v>
      </c>
      <c r="C296" s="275"/>
      <c r="D296" s="275"/>
      <c r="E296" s="270"/>
      <c r="F296" s="276">
        <f>F297</f>
        <v>0</v>
      </c>
    </row>
    <row r="297" spans="1:6" ht="15.75" hidden="1">
      <c r="A297" s="288" t="s">
        <v>714</v>
      </c>
      <c r="B297" s="270" t="s">
        <v>412</v>
      </c>
      <c r="C297" s="275" t="s">
        <v>723</v>
      </c>
      <c r="D297" s="275" t="s">
        <v>391</v>
      </c>
      <c r="E297" s="270">
        <v>610</v>
      </c>
      <c r="F297" s="276">
        <f>'Приложение 9'!Q546</f>
        <v>0</v>
      </c>
    </row>
    <row r="298" spans="1:6" ht="62.25" customHeight="1" hidden="1">
      <c r="A298" s="288" t="s">
        <v>679</v>
      </c>
      <c r="B298" s="270" t="s">
        <v>413</v>
      </c>
      <c r="C298" s="275"/>
      <c r="D298" s="275"/>
      <c r="E298" s="270"/>
      <c r="F298" s="276">
        <f>F299+F301+F303</f>
        <v>0</v>
      </c>
    </row>
    <row r="299" spans="1:6" ht="15.75" hidden="1">
      <c r="A299" s="288" t="s">
        <v>324</v>
      </c>
      <c r="B299" s="270" t="s">
        <v>414</v>
      </c>
      <c r="C299" s="275"/>
      <c r="D299" s="275"/>
      <c r="E299" s="270"/>
      <c r="F299" s="276">
        <f>F300</f>
        <v>0</v>
      </c>
    </row>
    <row r="300" spans="1:6" ht="15.75" hidden="1">
      <c r="A300" s="288" t="s">
        <v>714</v>
      </c>
      <c r="B300" s="270" t="s">
        <v>414</v>
      </c>
      <c r="C300" s="275" t="s">
        <v>723</v>
      </c>
      <c r="D300" s="275" t="s">
        <v>388</v>
      </c>
      <c r="E300" s="270">
        <v>610</v>
      </c>
      <c r="F300" s="276">
        <f>'Приложение 9'!Q495</f>
        <v>0</v>
      </c>
    </row>
    <row r="301" spans="1:6" ht="31.5" hidden="1">
      <c r="A301" s="288" t="s">
        <v>327</v>
      </c>
      <c r="B301" s="270" t="s">
        <v>415</v>
      </c>
      <c r="C301" s="275"/>
      <c r="D301" s="275"/>
      <c r="E301" s="270"/>
      <c r="F301" s="276">
        <f>F302</f>
        <v>0</v>
      </c>
    </row>
    <row r="302" spans="1:6" ht="15.75" hidden="1">
      <c r="A302" s="288" t="s">
        <v>714</v>
      </c>
      <c r="B302" s="270" t="s">
        <v>415</v>
      </c>
      <c r="C302" s="275" t="s">
        <v>723</v>
      </c>
      <c r="D302" s="275" t="s">
        <v>391</v>
      </c>
      <c r="E302" s="270">
        <v>610</v>
      </c>
      <c r="F302" s="276">
        <f>'Приложение 9'!Q549</f>
        <v>0</v>
      </c>
    </row>
    <row r="303" spans="1:6" ht="73.5" customHeight="1" hidden="1">
      <c r="A303" s="288" t="s">
        <v>494</v>
      </c>
      <c r="B303" s="270" t="s">
        <v>416</v>
      </c>
      <c r="C303" s="275"/>
      <c r="D303" s="275"/>
      <c r="E303" s="270"/>
      <c r="F303" s="276">
        <f>SUM(F304:F305)</f>
        <v>0</v>
      </c>
    </row>
    <row r="304" spans="1:6" ht="31.5" hidden="1">
      <c r="A304" s="288" t="s">
        <v>712</v>
      </c>
      <c r="B304" s="270" t="s">
        <v>416</v>
      </c>
      <c r="C304" s="275" t="s">
        <v>723</v>
      </c>
      <c r="D304" s="275" t="s">
        <v>389</v>
      </c>
      <c r="E304" s="270">
        <v>240</v>
      </c>
      <c r="F304" s="276">
        <f>'Приложение 9'!Q632</f>
        <v>0</v>
      </c>
    </row>
    <row r="305" spans="1:6" ht="32.25" customHeight="1" hidden="1">
      <c r="A305" s="288" t="s">
        <v>717</v>
      </c>
      <c r="B305" s="270" t="s">
        <v>416</v>
      </c>
      <c r="C305" s="275" t="s">
        <v>723</v>
      </c>
      <c r="D305" s="275" t="s">
        <v>389</v>
      </c>
      <c r="E305" s="270">
        <v>320</v>
      </c>
      <c r="F305" s="276">
        <f>'Приложение 9'!Q633</f>
        <v>0</v>
      </c>
    </row>
    <row r="306" spans="1:6" ht="60.75" customHeight="1">
      <c r="A306" s="296" t="s">
        <v>246</v>
      </c>
      <c r="B306" s="270" t="s">
        <v>417</v>
      </c>
      <c r="C306" s="275"/>
      <c r="D306" s="275"/>
      <c r="E306" s="270"/>
      <c r="F306" s="276">
        <f>F307+F309+F311</f>
        <v>141.2</v>
      </c>
    </row>
    <row r="307" spans="1:6" ht="31.5">
      <c r="A307" s="288" t="s">
        <v>327</v>
      </c>
      <c r="B307" s="270" t="s">
        <v>418</v>
      </c>
      <c r="C307" s="275"/>
      <c r="D307" s="275"/>
      <c r="E307" s="270"/>
      <c r="F307" s="276">
        <f>F308</f>
        <v>57.8</v>
      </c>
    </row>
    <row r="308" spans="1:6" ht="15.75">
      <c r="A308" s="296" t="s">
        <v>714</v>
      </c>
      <c r="B308" s="270" t="s">
        <v>418</v>
      </c>
      <c r="C308" s="275" t="s">
        <v>723</v>
      </c>
      <c r="D308" s="275" t="s">
        <v>391</v>
      </c>
      <c r="E308" s="270">
        <v>610</v>
      </c>
      <c r="F308" s="276">
        <f>'Приложение 9'!Q552</f>
        <v>57.8</v>
      </c>
    </row>
    <row r="309" spans="1:6" ht="78.75" customHeight="1">
      <c r="A309" s="288" t="s">
        <v>494</v>
      </c>
      <c r="B309" s="270" t="s">
        <v>419</v>
      </c>
      <c r="C309" s="275"/>
      <c r="D309" s="275"/>
      <c r="E309" s="270"/>
      <c r="F309" s="276">
        <f>F310</f>
        <v>70.4</v>
      </c>
    </row>
    <row r="310" spans="1:6" ht="35.25" customHeight="1">
      <c r="A310" s="288" t="s">
        <v>717</v>
      </c>
      <c r="B310" s="270" t="s">
        <v>419</v>
      </c>
      <c r="C310" s="275" t="s">
        <v>723</v>
      </c>
      <c r="D310" s="275" t="s">
        <v>389</v>
      </c>
      <c r="E310" s="270">
        <v>320</v>
      </c>
      <c r="F310" s="276">
        <f>'Приложение 9'!Q636</f>
        <v>70.4</v>
      </c>
    </row>
    <row r="311" spans="1:6" ht="15.75">
      <c r="A311" s="296" t="s">
        <v>255</v>
      </c>
      <c r="B311" s="297" t="s">
        <v>845</v>
      </c>
      <c r="C311" s="275"/>
      <c r="D311" s="275"/>
      <c r="E311" s="270"/>
      <c r="F311" s="276">
        <f>F312</f>
        <v>13</v>
      </c>
    </row>
    <row r="312" spans="1:6" ht="15.75">
      <c r="A312" s="296" t="s">
        <v>714</v>
      </c>
      <c r="B312" s="297" t="s">
        <v>845</v>
      </c>
      <c r="C312" s="298" t="s">
        <v>722</v>
      </c>
      <c r="D312" s="298" t="s">
        <v>393</v>
      </c>
      <c r="E312" s="270">
        <v>610</v>
      </c>
      <c r="F312" s="276">
        <f>'Приложение 9'!Q190</f>
        <v>13</v>
      </c>
    </row>
    <row r="313" spans="1:6" s="282" customFormat="1" ht="48" customHeight="1">
      <c r="A313" s="287" t="s">
        <v>675</v>
      </c>
      <c r="B313" s="273" t="s">
        <v>420</v>
      </c>
      <c r="C313" s="274"/>
      <c r="D313" s="274"/>
      <c r="E313" s="273"/>
      <c r="F313" s="277">
        <f>F317+F314+F322</f>
        <v>36946.3</v>
      </c>
    </row>
    <row r="314" spans="1:6" ht="83.25" customHeight="1">
      <c r="A314" s="11" t="s">
        <v>95</v>
      </c>
      <c r="B314" s="297" t="s">
        <v>96</v>
      </c>
      <c r="C314" s="298"/>
      <c r="D314" s="298"/>
      <c r="E314" s="297"/>
      <c r="F314" s="299">
        <f>F315</f>
        <v>142.1</v>
      </c>
    </row>
    <row r="315" spans="1:6" ht="20.25" customHeight="1">
      <c r="A315" s="11" t="s">
        <v>307</v>
      </c>
      <c r="B315" s="297" t="s">
        <v>97</v>
      </c>
      <c r="C315" s="298"/>
      <c r="D315" s="298"/>
      <c r="E315" s="297"/>
      <c r="F315" s="299">
        <f>F316</f>
        <v>142.1</v>
      </c>
    </row>
    <row r="316" spans="1:6" ht="15.75">
      <c r="A316" s="11" t="s">
        <v>714</v>
      </c>
      <c r="B316" s="297" t="s">
        <v>97</v>
      </c>
      <c r="C316" s="298" t="s">
        <v>722</v>
      </c>
      <c r="D316" s="298" t="s">
        <v>423</v>
      </c>
      <c r="E316" s="297">
        <v>610</v>
      </c>
      <c r="F316" s="299">
        <f>'Приложение 9'!Q328</f>
        <v>142.1</v>
      </c>
    </row>
    <row r="317" spans="1:6" ht="31.5">
      <c r="A317" s="288" t="s">
        <v>308</v>
      </c>
      <c r="B317" s="270" t="s">
        <v>421</v>
      </c>
      <c r="C317" s="275"/>
      <c r="D317" s="275"/>
      <c r="E317" s="270"/>
      <c r="F317" s="276">
        <f>F318+F320</f>
        <v>8305.600000000002</v>
      </c>
    </row>
    <row r="318" spans="1:6" ht="19.5" customHeight="1">
      <c r="A318" s="288" t="s">
        <v>307</v>
      </c>
      <c r="B318" s="270" t="s">
        <v>422</v>
      </c>
      <c r="C318" s="275"/>
      <c r="D318" s="275"/>
      <c r="E318" s="270"/>
      <c r="F318" s="276">
        <f>F319</f>
        <v>6781.100000000001</v>
      </c>
    </row>
    <row r="319" spans="1:6" ht="15.75">
      <c r="A319" s="288" t="s">
        <v>714</v>
      </c>
      <c r="B319" s="270" t="s">
        <v>422</v>
      </c>
      <c r="C319" s="275" t="s">
        <v>722</v>
      </c>
      <c r="D319" s="275" t="s">
        <v>423</v>
      </c>
      <c r="E319" s="270">
        <v>610</v>
      </c>
      <c r="F319" s="276">
        <f>'Приложение 9'!Q331</f>
        <v>6781.100000000001</v>
      </c>
    </row>
    <row r="320" spans="1:6" ht="63.75" customHeight="1">
      <c r="A320" s="11" t="s">
        <v>61</v>
      </c>
      <c r="B320" s="297" t="s">
        <v>67</v>
      </c>
      <c r="C320" s="275"/>
      <c r="D320" s="275"/>
      <c r="E320" s="270"/>
      <c r="F320" s="276">
        <f>F321</f>
        <v>1524.5</v>
      </c>
    </row>
    <row r="321" spans="1:6" ht="15.75">
      <c r="A321" s="11" t="s">
        <v>714</v>
      </c>
      <c r="B321" s="297" t="s">
        <v>67</v>
      </c>
      <c r="C321" s="298" t="s">
        <v>722</v>
      </c>
      <c r="D321" s="298" t="s">
        <v>423</v>
      </c>
      <c r="E321" s="270">
        <v>610</v>
      </c>
      <c r="F321" s="276">
        <f>'Приложение 9'!Q333</f>
        <v>1524.5</v>
      </c>
    </row>
    <row r="322" spans="1:6" ht="63" customHeight="1">
      <c r="A322" s="11" t="s">
        <v>201</v>
      </c>
      <c r="B322" s="297" t="s">
        <v>203</v>
      </c>
      <c r="C322" s="298"/>
      <c r="D322" s="298"/>
      <c r="E322" s="270"/>
      <c r="F322" s="276">
        <f>F323+F325+F327</f>
        <v>28498.600000000002</v>
      </c>
    </row>
    <row r="323" spans="1:6" ht="69.75" customHeight="1">
      <c r="A323" s="11" t="s">
        <v>202</v>
      </c>
      <c r="B323" s="297" t="s">
        <v>204</v>
      </c>
      <c r="C323" s="298"/>
      <c r="D323" s="298"/>
      <c r="E323" s="270"/>
      <c r="F323" s="276">
        <f>F324</f>
        <v>7611.7</v>
      </c>
    </row>
    <row r="324" spans="1:6" ht="15.75">
      <c r="A324" s="11" t="s">
        <v>714</v>
      </c>
      <c r="B324" s="297" t="s">
        <v>204</v>
      </c>
      <c r="C324" s="298" t="s">
        <v>722</v>
      </c>
      <c r="D324" s="298" t="s">
        <v>423</v>
      </c>
      <c r="E324" s="270">
        <v>610</v>
      </c>
      <c r="F324" s="276">
        <f>'Приложение 9'!Q336</f>
        <v>7611.7</v>
      </c>
    </row>
    <row r="325" spans="1:6" ht="78.75" customHeight="1" hidden="1">
      <c r="A325" s="11" t="s">
        <v>216</v>
      </c>
      <c r="B325" s="297" t="s">
        <v>218</v>
      </c>
      <c r="C325" s="298"/>
      <c r="D325" s="298"/>
      <c r="E325" s="270"/>
      <c r="F325" s="276">
        <f>F326</f>
        <v>0</v>
      </c>
    </row>
    <row r="326" spans="1:6" ht="15.75" hidden="1">
      <c r="A326" s="11" t="s">
        <v>714</v>
      </c>
      <c r="B326" s="297" t="s">
        <v>218</v>
      </c>
      <c r="C326" s="298" t="s">
        <v>722</v>
      </c>
      <c r="D326" s="298" t="s">
        <v>423</v>
      </c>
      <c r="E326" s="270">
        <v>610</v>
      </c>
      <c r="F326" s="276">
        <f>'Приложение 9'!Q338</f>
        <v>0</v>
      </c>
    </row>
    <row r="327" spans="1:6" ht="82.5" customHeight="1">
      <c r="A327" s="11" t="s">
        <v>217</v>
      </c>
      <c r="B327" s="297" t="s">
        <v>219</v>
      </c>
      <c r="C327" s="298"/>
      <c r="D327" s="298"/>
      <c r="E327" s="270"/>
      <c r="F327" s="276">
        <f>F328</f>
        <v>20886.9</v>
      </c>
    </row>
    <row r="328" spans="1:6" ht="15.75">
      <c r="A328" s="11" t="s">
        <v>714</v>
      </c>
      <c r="B328" s="297" t="s">
        <v>219</v>
      </c>
      <c r="C328" s="298" t="s">
        <v>722</v>
      </c>
      <c r="D328" s="298" t="s">
        <v>423</v>
      </c>
      <c r="E328" s="270">
        <v>610</v>
      </c>
      <c r="F328" s="276">
        <f>'Приложение 9'!Q340</f>
        <v>20886.9</v>
      </c>
    </row>
    <row r="329" spans="1:6" s="282" customFormat="1" ht="48.75" customHeight="1">
      <c r="A329" s="125" t="s">
        <v>658</v>
      </c>
      <c r="B329" s="273" t="s">
        <v>474</v>
      </c>
      <c r="C329" s="274"/>
      <c r="D329" s="274"/>
      <c r="E329" s="273"/>
      <c r="F329" s="277">
        <f>F330+F341+F346+F357</f>
        <v>47534.2</v>
      </c>
    </row>
    <row r="330" spans="1:6" ht="53.25" customHeight="1">
      <c r="A330" s="24" t="s">
        <v>294</v>
      </c>
      <c r="B330" s="270" t="s">
        <v>475</v>
      </c>
      <c r="C330" s="275"/>
      <c r="D330" s="275"/>
      <c r="E330" s="270"/>
      <c r="F330" s="276">
        <f>F331+F337+F339+F335+F333</f>
        <v>13174.1</v>
      </c>
    </row>
    <row r="331" spans="1:6" ht="15.75">
      <c r="A331" s="24" t="s">
        <v>296</v>
      </c>
      <c r="B331" s="270" t="s">
        <v>476</v>
      </c>
      <c r="C331" s="275"/>
      <c r="D331" s="275"/>
      <c r="E331" s="270"/>
      <c r="F331" s="276">
        <f>F332</f>
        <v>9865.6</v>
      </c>
    </row>
    <row r="332" spans="1:6" ht="15.75">
      <c r="A332" s="288" t="s">
        <v>714</v>
      </c>
      <c r="B332" s="270" t="s">
        <v>476</v>
      </c>
      <c r="C332" s="275" t="s">
        <v>722</v>
      </c>
      <c r="D332" s="275" t="s">
        <v>477</v>
      </c>
      <c r="E332" s="270">
        <v>610</v>
      </c>
      <c r="F332" s="276">
        <f>'Приложение 9'!Q269</f>
        <v>9865.6</v>
      </c>
    </row>
    <row r="333" spans="1:6" ht="112.5" customHeight="1">
      <c r="A333" s="257" t="s">
        <v>838</v>
      </c>
      <c r="B333" s="297" t="s">
        <v>839</v>
      </c>
      <c r="C333" s="275"/>
      <c r="D333" s="275"/>
      <c r="E333" s="270"/>
      <c r="F333" s="276">
        <f>F334</f>
        <v>41.900000000000006</v>
      </c>
    </row>
    <row r="334" spans="1:6" ht="15.75">
      <c r="A334" s="257" t="s">
        <v>714</v>
      </c>
      <c r="B334" s="297" t="s">
        <v>839</v>
      </c>
      <c r="C334" s="298" t="s">
        <v>722</v>
      </c>
      <c r="D334" s="298" t="s">
        <v>477</v>
      </c>
      <c r="E334" s="270">
        <v>610</v>
      </c>
      <c r="F334" s="276">
        <f>'Приложение 9'!Q271</f>
        <v>41.900000000000006</v>
      </c>
    </row>
    <row r="335" spans="1:6" ht="64.5" customHeight="1">
      <c r="A335" s="257" t="s">
        <v>61</v>
      </c>
      <c r="B335" s="297" t="s">
        <v>65</v>
      </c>
      <c r="C335" s="275"/>
      <c r="D335" s="275"/>
      <c r="E335" s="270"/>
      <c r="F335" s="276">
        <f>F336</f>
        <v>1224.1</v>
      </c>
    </row>
    <row r="336" spans="1:6" ht="15.75">
      <c r="A336" s="257" t="s">
        <v>714</v>
      </c>
      <c r="B336" s="297" t="s">
        <v>65</v>
      </c>
      <c r="C336" s="298" t="s">
        <v>722</v>
      </c>
      <c r="D336" s="298" t="s">
        <v>477</v>
      </c>
      <c r="E336" s="270">
        <v>610</v>
      </c>
      <c r="F336" s="276">
        <f>'Приложение 9'!Q273</f>
        <v>1224.1</v>
      </c>
    </row>
    <row r="337" spans="1:6" ht="36.75" customHeight="1">
      <c r="A337" s="5" t="s">
        <v>805</v>
      </c>
      <c r="B337" s="270" t="s">
        <v>478</v>
      </c>
      <c r="C337" s="275"/>
      <c r="D337" s="275"/>
      <c r="E337" s="270"/>
      <c r="F337" s="276">
        <f>F338</f>
        <v>340</v>
      </c>
    </row>
    <row r="338" spans="1:6" ht="15.75">
      <c r="A338" s="288" t="s">
        <v>714</v>
      </c>
      <c r="B338" s="270" t="s">
        <v>478</v>
      </c>
      <c r="C338" s="275" t="s">
        <v>722</v>
      </c>
      <c r="D338" s="275" t="s">
        <v>477</v>
      </c>
      <c r="E338" s="270">
        <v>610</v>
      </c>
      <c r="F338" s="276">
        <f>'Приложение 9'!Q275</f>
        <v>340</v>
      </c>
    </row>
    <row r="339" spans="1:6" ht="36" customHeight="1">
      <c r="A339" s="5" t="s">
        <v>668</v>
      </c>
      <c r="B339" s="270" t="s">
        <v>479</v>
      </c>
      <c r="C339" s="275"/>
      <c r="D339" s="275"/>
      <c r="E339" s="270"/>
      <c r="F339" s="276">
        <f>F340</f>
        <v>1702.5</v>
      </c>
    </row>
    <row r="340" spans="1:6" ht="15.75">
      <c r="A340" s="288" t="s">
        <v>714</v>
      </c>
      <c r="B340" s="270" t="s">
        <v>479</v>
      </c>
      <c r="C340" s="275" t="s">
        <v>722</v>
      </c>
      <c r="D340" s="275" t="s">
        <v>477</v>
      </c>
      <c r="E340" s="270">
        <v>610</v>
      </c>
      <c r="F340" s="276">
        <f>'Приложение 9'!Q277</f>
        <v>1702.5</v>
      </c>
    </row>
    <row r="341" spans="1:6" ht="52.5" customHeight="1">
      <c r="A341" s="5" t="s">
        <v>669</v>
      </c>
      <c r="B341" s="270" t="s">
        <v>480</v>
      </c>
      <c r="C341" s="275"/>
      <c r="D341" s="275"/>
      <c r="E341" s="270"/>
      <c r="F341" s="276">
        <f>F342+F344</f>
        <v>12142.6</v>
      </c>
    </row>
    <row r="342" spans="1:6" ht="15.75">
      <c r="A342" s="5" t="s">
        <v>255</v>
      </c>
      <c r="B342" s="270" t="s">
        <v>481</v>
      </c>
      <c r="C342" s="275"/>
      <c r="D342" s="275"/>
      <c r="E342" s="270"/>
      <c r="F342" s="276">
        <f>F343</f>
        <v>9469.6</v>
      </c>
    </row>
    <row r="343" spans="1:6" ht="15.75">
      <c r="A343" s="288" t="s">
        <v>714</v>
      </c>
      <c r="B343" s="270" t="s">
        <v>481</v>
      </c>
      <c r="C343" s="275" t="s">
        <v>722</v>
      </c>
      <c r="D343" s="275" t="s">
        <v>477</v>
      </c>
      <c r="E343" s="270">
        <v>610</v>
      </c>
      <c r="F343" s="276">
        <f>'Приложение 9'!Q280</f>
        <v>9469.6</v>
      </c>
    </row>
    <row r="344" spans="1:6" ht="64.5" customHeight="1">
      <c r="A344" s="257" t="s">
        <v>61</v>
      </c>
      <c r="B344" s="297" t="s">
        <v>66</v>
      </c>
      <c r="C344" s="275"/>
      <c r="D344" s="275"/>
      <c r="E344" s="270"/>
      <c r="F344" s="276">
        <f>F345</f>
        <v>2673</v>
      </c>
    </row>
    <row r="345" spans="1:6" ht="15.75">
      <c r="A345" s="257" t="s">
        <v>714</v>
      </c>
      <c r="B345" s="297" t="s">
        <v>66</v>
      </c>
      <c r="C345" s="298" t="s">
        <v>722</v>
      </c>
      <c r="D345" s="298" t="s">
        <v>477</v>
      </c>
      <c r="E345" s="270">
        <v>610</v>
      </c>
      <c r="F345" s="276">
        <f>'Приложение 9'!Q282</f>
        <v>2673</v>
      </c>
    </row>
    <row r="346" spans="1:6" ht="63">
      <c r="A346" s="2" t="s">
        <v>361</v>
      </c>
      <c r="B346" s="270" t="s">
        <v>482</v>
      </c>
      <c r="C346" s="275"/>
      <c r="D346" s="275"/>
      <c r="E346" s="270"/>
      <c r="F346" s="276">
        <f>F349+F352+F354+F347</f>
        <v>14688.5</v>
      </c>
    </row>
    <row r="347" spans="1:6" ht="15.75">
      <c r="A347" s="5" t="s">
        <v>255</v>
      </c>
      <c r="B347" s="297" t="s">
        <v>92</v>
      </c>
      <c r="C347" s="275"/>
      <c r="D347" s="275"/>
      <c r="E347" s="270"/>
      <c r="F347" s="276">
        <f>F348</f>
        <v>2010</v>
      </c>
    </row>
    <row r="348" spans="1:6" ht="15.75">
      <c r="A348" s="5" t="s">
        <v>714</v>
      </c>
      <c r="B348" s="297" t="s">
        <v>92</v>
      </c>
      <c r="C348" s="298" t="s">
        <v>722</v>
      </c>
      <c r="D348" s="298" t="s">
        <v>477</v>
      </c>
      <c r="E348" s="270">
        <v>610</v>
      </c>
      <c r="F348" s="276">
        <f>'Приложение 9'!Q285</f>
        <v>2010</v>
      </c>
    </row>
    <row r="349" spans="1:6" ht="15.75">
      <c r="A349" s="2" t="s">
        <v>670</v>
      </c>
      <c r="B349" s="270" t="s">
        <v>483</v>
      </c>
      <c r="C349" s="275"/>
      <c r="D349" s="275"/>
      <c r="E349" s="270"/>
      <c r="F349" s="276">
        <f>F351+F350</f>
        <v>105</v>
      </c>
    </row>
    <row r="350" spans="1:6" ht="15.75">
      <c r="A350" s="2" t="s">
        <v>849</v>
      </c>
      <c r="B350" s="270" t="s">
        <v>483</v>
      </c>
      <c r="C350" s="298" t="s">
        <v>722</v>
      </c>
      <c r="D350" s="298" t="s">
        <v>477</v>
      </c>
      <c r="E350" s="270">
        <v>350</v>
      </c>
      <c r="F350" s="276">
        <f>'Приложение 9'!Q287</f>
        <v>35</v>
      </c>
    </row>
    <row r="351" spans="1:6" ht="15.75">
      <c r="A351" s="5" t="s">
        <v>714</v>
      </c>
      <c r="B351" s="270" t="s">
        <v>483</v>
      </c>
      <c r="C351" s="275" t="s">
        <v>722</v>
      </c>
      <c r="D351" s="275" t="s">
        <v>477</v>
      </c>
      <c r="E351" s="270">
        <v>610</v>
      </c>
      <c r="F351" s="276">
        <f>'Приложение 9'!Q288</f>
        <v>70</v>
      </c>
    </row>
    <row r="352" spans="1:6" ht="48.75" customHeight="1">
      <c r="A352" s="5" t="s">
        <v>287</v>
      </c>
      <c r="B352" s="270" t="s">
        <v>484</v>
      </c>
      <c r="C352" s="275"/>
      <c r="D352" s="275"/>
      <c r="E352" s="270"/>
      <c r="F352" s="276">
        <f>F353</f>
        <v>10523</v>
      </c>
    </row>
    <row r="353" spans="1:6" ht="15.75">
      <c r="A353" s="288" t="s">
        <v>714</v>
      </c>
      <c r="B353" s="270" t="s">
        <v>484</v>
      </c>
      <c r="C353" s="275" t="s">
        <v>722</v>
      </c>
      <c r="D353" s="275" t="s">
        <v>477</v>
      </c>
      <c r="E353" s="270">
        <v>610</v>
      </c>
      <c r="F353" s="276">
        <f>'Приложение 9'!Q290</f>
        <v>10523</v>
      </c>
    </row>
    <row r="354" spans="1:6" ht="31.5">
      <c r="A354" s="296" t="s">
        <v>122</v>
      </c>
      <c r="B354" s="297" t="s">
        <v>123</v>
      </c>
      <c r="C354" s="275"/>
      <c r="D354" s="275"/>
      <c r="E354" s="270"/>
      <c r="F354" s="276">
        <f>F355</f>
        <v>2050.5</v>
      </c>
    </row>
    <row r="355" spans="1:6" ht="69.75" customHeight="1">
      <c r="A355" s="32" t="s">
        <v>789</v>
      </c>
      <c r="B355" s="297" t="s">
        <v>94</v>
      </c>
      <c r="C355" s="275"/>
      <c r="D355" s="275"/>
      <c r="E355" s="270"/>
      <c r="F355" s="276">
        <f>F356</f>
        <v>2050.5</v>
      </c>
    </row>
    <row r="356" spans="1:6" ht="15.75">
      <c r="A356" s="288" t="s">
        <v>714</v>
      </c>
      <c r="B356" s="297" t="s">
        <v>94</v>
      </c>
      <c r="C356" s="275" t="s">
        <v>722</v>
      </c>
      <c r="D356" s="275" t="s">
        <v>477</v>
      </c>
      <c r="E356" s="270">
        <v>610</v>
      </c>
      <c r="F356" s="276">
        <f>'Приложение 9'!Q293</f>
        <v>2050.5</v>
      </c>
    </row>
    <row r="357" spans="1:6" ht="70.5" customHeight="1">
      <c r="A357" s="29" t="s">
        <v>660</v>
      </c>
      <c r="B357" s="270" t="s">
        <v>485</v>
      </c>
      <c r="C357" s="275"/>
      <c r="D357" s="275"/>
      <c r="E357" s="270"/>
      <c r="F357" s="276">
        <f>F358+F360</f>
        <v>7529</v>
      </c>
    </row>
    <row r="358" spans="1:6" ht="21.75" customHeight="1">
      <c r="A358" s="29" t="s">
        <v>328</v>
      </c>
      <c r="B358" s="270" t="s">
        <v>486</v>
      </c>
      <c r="C358" s="275"/>
      <c r="D358" s="275"/>
      <c r="E358" s="270"/>
      <c r="F358" s="276">
        <f>F359</f>
        <v>5758.1</v>
      </c>
    </row>
    <row r="359" spans="1:6" ht="15.75">
      <c r="A359" s="288" t="s">
        <v>714</v>
      </c>
      <c r="B359" s="270" t="s">
        <v>486</v>
      </c>
      <c r="C359" s="275" t="s">
        <v>722</v>
      </c>
      <c r="D359" s="275" t="s">
        <v>392</v>
      </c>
      <c r="E359" s="270">
        <v>610</v>
      </c>
      <c r="F359" s="276">
        <f>'Приложение 9'!Q246</f>
        <v>5758.1</v>
      </c>
    </row>
    <row r="360" spans="1:6" ht="66.75" customHeight="1">
      <c r="A360" s="257" t="s">
        <v>61</v>
      </c>
      <c r="B360" s="297" t="s">
        <v>64</v>
      </c>
      <c r="C360" s="275"/>
      <c r="D360" s="275"/>
      <c r="E360" s="270"/>
      <c r="F360" s="276">
        <f>F361</f>
        <v>1770.9</v>
      </c>
    </row>
    <row r="361" spans="1:6" ht="15.75">
      <c r="A361" s="257" t="s">
        <v>714</v>
      </c>
      <c r="B361" s="297" t="s">
        <v>64</v>
      </c>
      <c r="C361" s="298" t="s">
        <v>722</v>
      </c>
      <c r="D361" s="298" t="s">
        <v>392</v>
      </c>
      <c r="E361" s="270">
        <v>610</v>
      </c>
      <c r="F361" s="276">
        <f>'Приложение 9'!Q248</f>
        <v>1770.9</v>
      </c>
    </row>
    <row r="362" spans="1:6" s="282" customFormat="1" ht="40.5" customHeight="1">
      <c r="A362" s="287" t="s">
        <v>662</v>
      </c>
      <c r="B362" s="273" t="s">
        <v>445</v>
      </c>
      <c r="C362" s="274"/>
      <c r="D362" s="274"/>
      <c r="E362" s="273"/>
      <c r="F362" s="277">
        <f>F363+F370+F373+F376</f>
        <v>1146.5</v>
      </c>
    </row>
    <row r="363" spans="1:6" ht="66.75" customHeight="1">
      <c r="A363" s="288" t="s">
        <v>664</v>
      </c>
      <c r="B363" s="270" t="s">
        <v>446</v>
      </c>
      <c r="C363" s="275"/>
      <c r="D363" s="275"/>
      <c r="E363" s="270"/>
      <c r="F363" s="276">
        <f>F364+F368+F366</f>
        <v>102.7</v>
      </c>
    </row>
    <row r="364" spans="1:6" ht="15.75">
      <c r="A364" s="288" t="s">
        <v>255</v>
      </c>
      <c r="B364" s="270" t="s">
        <v>447</v>
      </c>
      <c r="C364" s="275"/>
      <c r="D364" s="275"/>
      <c r="E364" s="270"/>
      <c r="F364" s="276">
        <f>F365</f>
        <v>22.700000000000003</v>
      </c>
    </row>
    <row r="365" spans="1:6" ht="15.75">
      <c r="A365" s="288" t="s">
        <v>714</v>
      </c>
      <c r="B365" s="270" t="s">
        <v>447</v>
      </c>
      <c r="C365" s="275" t="s">
        <v>722</v>
      </c>
      <c r="D365" s="275" t="s">
        <v>448</v>
      </c>
      <c r="E365" s="270">
        <v>610</v>
      </c>
      <c r="F365" s="276">
        <f>'Приложение 9'!Q253</f>
        <v>22.700000000000003</v>
      </c>
    </row>
    <row r="366" spans="1:6" ht="21" customHeight="1">
      <c r="A366" s="257" t="s">
        <v>187</v>
      </c>
      <c r="B366" s="297" t="s">
        <v>188</v>
      </c>
      <c r="C366" s="275"/>
      <c r="D366" s="275"/>
      <c r="E366" s="270"/>
      <c r="F366" s="276">
        <f>F367</f>
        <v>40</v>
      </c>
    </row>
    <row r="367" spans="1:6" ht="33.75" customHeight="1">
      <c r="A367" s="116" t="s">
        <v>712</v>
      </c>
      <c r="B367" s="297" t="s">
        <v>188</v>
      </c>
      <c r="C367" s="298" t="s">
        <v>722</v>
      </c>
      <c r="D367" s="298" t="s">
        <v>448</v>
      </c>
      <c r="E367" s="270">
        <v>240</v>
      </c>
      <c r="F367" s="276">
        <f>'Приложение 9'!Q255</f>
        <v>40</v>
      </c>
    </row>
    <row r="368" spans="1:6" ht="48" customHeight="1">
      <c r="A368" s="288" t="s">
        <v>663</v>
      </c>
      <c r="B368" s="270" t="s">
        <v>449</v>
      </c>
      <c r="C368" s="275"/>
      <c r="D368" s="275"/>
      <c r="E368" s="270"/>
      <c r="F368" s="276">
        <f>F369</f>
        <v>40</v>
      </c>
    </row>
    <row r="369" spans="1:6" ht="15.75">
      <c r="A369" s="288" t="s">
        <v>714</v>
      </c>
      <c r="B369" s="270" t="s">
        <v>449</v>
      </c>
      <c r="C369" s="275" t="s">
        <v>722</v>
      </c>
      <c r="D369" s="275" t="s">
        <v>448</v>
      </c>
      <c r="E369" s="270">
        <v>610</v>
      </c>
      <c r="F369" s="276">
        <f>'Приложение 9'!Q257</f>
        <v>40</v>
      </c>
    </row>
    <row r="370" spans="1:6" ht="59.25" customHeight="1">
      <c r="A370" s="288" t="s">
        <v>665</v>
      </c>
      <c r="B370" s="270" t="s">
        <v>450</v>
      </c>
      <c r="C370" s="275"/>
      <c r="D370" s="275"/>
      <c r="E370" s="270"/>
      <c r="F370" s="276">
        <f>F371</f>
        <v>12.5</v>
      </c>
    </row>
    <row r="371" spans="1:6" ht="15.75">
      <c r="A371" s="288" t="s">
        <v>255</v>
      </c>
      <c r="B371" s="270" t="s">
        <v>451</v>
      </c>
      <c r="C371" s="275"/>
      <c r="D371" s="275"/>
      <c r="E371" s="270"/>
      <c r="F371" s="276">
        <f>F372</f>
        <v>12.5</v>
      </c>
    </row>
    <row r="372" spans="1:6" ht="15.75">
      <c r="A372" s="288" t="s">
        <v>714</v>
      </c>
      <c r="B372" s="270" t="s">
        <v>451</v>
      </c>
      <c r="C372" s="275" t="s">
        <v>722</v>
      </c>
      <c r="D372" s="275" t="s">
        <v>448</v>
      </c>
      <c r="E372" s="270">
        <v>610</v>
      </c>
      <c r="F372" s="276">
        <f>'Приложение 9'!Q260</f>
        <v>12.5</v>
      </c>
    </row>
    <row r="373" spans="1:6" ht="47.25" customHeight="1">
      <c r="A373" s="288" t="s">
        <v>666</v>
      </c>
      <c r="B373" s="270" t="s">
        <v>452</v>
      </c>
      <c r="C373" s="275"/>
      <c r="D373" s="275"/>
      <c r="E373" s="270"/>
      <c r="F373" s="276">
        <f>F374</f>
        <v>9.5</v>
      </c>
    </row>
    <row r="374" spans="1:6" ht="15.75">
      <c r="A374" s="288" t="s">
        <v>255</v>
      </c>
      <c r="B374" s="270" t="s">
        <v>453</v>
      </c>
      <c r="C374" s="275"/>
      <c r="D374" s="275"/>
      <c r="E374" s="270"/>
      <c r="F374" s="276">
        <f>F375</f>
        <v>9.5</v>
      </c>
    </row>
    <row r="375" spans="1:6" ht="15.75">
      <c r="A375" s="288" t="s">
        <v>714</v>
      </c>
      <c r="B375" s="270" t="s">
        <v>453</v>
      </c>
      <c r="C375" s="275" t="s">
        <v>722</v>
      </c>
      <c r="D375" s="275" t="s">
        <v>448</v>
      </c>
      <c r="E375" s="270">
        <v>610</v>
      </c>
      <c r="F375" s="276">
        <f>'Приложение 9'!Q263</f>
        <v>9.5</v>
      </c>
    </row>
    <row r="376" spans="1:6" ht="31.5">
      <c r="A376" s="288" t="s">
        <v>671</v>
      </c>
      <c r="B376" s="270" t="s">
        <v>454</v>
      </c>
      <c r="C376" s="275"/>
      <c r="D376" s="275"/>
      <c r="E376" s="270"/>
      <c r="F376" s="276">
        <f>F377</f>
        <v>1021.8</v>
      </c>
    </row>
    <row r="377" spans="1:6" ht="31.5">
      <c r="A377" s="288" t="s">
        <v>672</v>
      </c>
      <c r="B377" s="270" t="s">
        <v>455</v>
      </c>
      <c r="C377" s="275"/>
      <c r="D377" s="275"/>
      <c r="E377" s="270"/>
      <c r="F377" s="276">
        <f>F378</f>
        <v>1021.8</v>
      </c>
    </row>
    <row r="378" spans="1:6" ht="28.5" customHeight="1">
      <c r="A378" s="288" t="s">
        <v>717</v>
      </c>
      <c r="B378" s="270" t="s">
        <v>455</v>
      </c>
      <c r="C378" s="275" t="s">
        <v>722</v>
      </c>
      <c r="D378" s="275" t="s">
        <v>385</v>
      </c>
      <c r="E378" s="270">
        <v>320</v>
      </c>
      <c r="F378" s="276">
        <f>'Приложение 9'!Q306</f>
        <v>1021.8</v>
      </c>
    </row>
    <row r="379" spans="1:6" s="282" customFormat="1" ht="63.75" customHeight="1">
      <c r="A379" s="287" t="s">
        <v>792</v>
      </c>
      <c r="B379" s="273" t="s">
        <v>794</v>
      </c>
      <c r="C379" s="274"/>
      <c r="D379" s="274"/>
      <c r="E379" s="273"/>
      <c r="F379" s="277">
        <f>F380+F383</f>
        <v>5282.8</v>
      </c>
    </row>
    <row r="380" spans="1:6" ht="63.75" customHeight="1">
      <c r="A380" s="296" t="s">
        <v>120</v>
      </c>
      <c r="B380" s="297" t="s">
        <v>121</v>
      </c>
      <c r="C380" s="298"/>
      <c r="D380" s="298"/>
      <c r="E380" s="297"/>
      <c r="F380" s="299">
        <f>F381</f>
        <v>282.99999999999994</v>
      </c>
    </row>
    <row r="381" spans="1:6" ht="25.5" customHeight="1">
      <c r="A381" s="288" t="s">
        <v>791</v>
      </c>
      <c r="B381" s="270" t="s">
        <v>456</v>
      </c>
      <c r="C381" s="275"/>
      <c r="D381" s="275"/>
      <c r="E381" s="270"/>
      <c r="F381" s="276">
        <f>F382</f>
        <v>282.99999999999994</v>
      </c>
    </row>
    <row r="382" spans="1:6" ht="36.75" customHeight="1">
      <c r="A382" s="288" t="s">
        <v>712</v>
      </c>
      <c r="B382" s="270" t="s">
        <v>456</v>
      </c>
      <c r="C382" s="275" t="s">
        <v>722</v>
      </c>
      <c r="D382" s="275" t="s">
        <v>457</v>
      </c>
      <c r="E382" s="270">
        <v>240</v>
      </c>
      <c r="F382" s="276">
        <f>'Приложение 9'!Q217</f>
        <v>282.99999999999994</v>
      </c>
    </row>
    <row r="383" spans="1:6" ht="47.25">
      <c r="A383" s="18" t="s">
        <v>793</v>
      </c>
      <c r="B383" s="297" t="s">
        <v>830</v>
      </c>
      <c r="C383" s="275"/>
      <c r="D383" s="275"/>
      <c r="E383" s="270"/>
      <c r="F383" s="276">
        <f>F384</f>
        <v>4999.8</v>
      </c>
    </row>
    <row r="384" spans="1:6" ht="15.75">
      <c r="A384" s="18" t="s">
        <v>828</v>
      </c>
      <c r="B384" s="297" t="s">
        <v>831</v>
      </c>
      <c r="C384" s="275"/>
      <c r="D384" s="275"/>
      <c r="E384" s="270"/>
      <c r="F384" s="276">
        <f>F385</f>
        <v>4999.8</v>
      </c>
    </row>
    <row r="385" spans="1:6" ht="15.75">
      <c r="A385" s="116" t="s">
        <v>640</v>
      </c>
      <c r="B385" s="297" t="s">
        <v>831</v>
      </c>
      <c r="C385" s="298" t="s">
        <v>722</v>
      </c>
      <c r="D385" s="298" t="s">
        <v>457</v>
      </c>
      <c r="E385" s="270">
        <v>540</v>
      </c>
      <c r="F385" s="276">
        <f>'Приложение 9'!Q220</f>
        <v>4999.8</v>
      </c>
    </row>
    <row r="386" spans="1:6" ht="61.5" customHeight="1">
      <c r="A386" s="287" t="s">
        <v>138</v>
      </c>
      <c r="B386" s="273" t="s">
        <v>147</v>
      </c>
      <c r="C386" s="274"/>
      <c r="D386" s="274"/>
      <c r="E386" s="273"/>
      <c r="F386" s="277">
        <f>F387+F390+F393+F398+F414</f>
        <v>11824.5</v>
      </c>
    </row>
    <row r="387" spans="1:6" ht="47.25">
      <c r="A387" s="11" t="s">
        <v>140</v>
      </c>
      <c r="B387" s="297" t="s">
        <v>148</v>
      </c>
      <c r="C387" s="275"/>
      <c r="D387" s="275"/>
      <c r="E387" s="270"/>
      <c r="F387" s="276">
        <f>F388</f>
        <v>367.7</v>
      </c>
    </row>
    <row r="388" spans="1:6" ht="21.75" customHeight="1">
      <c r="A388" s="11" t="s">
        <v>362</v>
      </c>
      <c r="B388" s="297" t="s">
        <v>149</v>
      </c>
      <c r="C388" s="275"/>
      <c r="D388" s="275"/>
      <c r="E388" s="270"/>
      <c r="F388" s="276">
        <f>F389</f>
        <v>367.7</v>
      </c>
    </row>
    <row r="389" spans="1:6" ht="39" customHeight="1">
      <c r="A389" s="11" t="s">
        <v>712</v>
      </c>
      <c r="B389" s="297" t="s">
        <v>149</v>
      </c>
      <c r="C389" s="298" t="s">
        <v>387</v>
      </c>
      <c r="D389" s="298" t="s">
        <v>383</v>
      </c>
      <c r="E389" s="270">
        <v>240</v>
      </c>
      <c r="F389" s="276">
        <f>'Приложение 9'!Q666</f>
        <v>367.7</v>
      </c>
    </row>
    <row r="390" spans="1:6" ht="49.5" customHeight="1">
      <c r="A390" s="11" t="s">
        <v>141</v>
      </c>
      <c r="B390" s="297" t="s">
        <v>150</v>
      </c>
      <c r="C390" s="275"/>
      <c r="D390" s="275"/>
      <c r="E390" s="270"/>
      <c r="F390" s="276">
        <f>F391</f>
        <v>62.3</v>
      </c>
    </row>
    <row r="391" spans="1:6" ht="47.25" customHeight="1">
      <c r="A391" s="11" t="s">
        <v>142</v>
      </c>
      <c r="B391" s="297" t="s">
        <v>151</v>
      </c>
      <c r="C391" s="275"/>
      <c r="D391" s="275"/>
      <c r="E391" s="270"/>
      <c r="F391" s="276">
        <f>F392</f>
        <v>62.3</v>
      </c>
    </row>
    <row r="392" spans="1:6" ht="35.25" customHeight="1">
      <c r="A392" s="11" t="s">
        <v>712</v>
      </c>
      <c r="B392" s="297" t="s">
        <v>151</v>
      </c>
      <c r="C392" s="298" t="s">
        <v>387</v>
      </c>
      <c r="D392" s="298" t="s">
        <v>383</v>
      </c>
      <c r="E392" s="270">
        <v>240</v>
      </c>
      <c r="F392" s="276">
        <f>'Приложение 9'!Q669</f>
        <v>62.3</v>
      </c>
    </row>
    <row r="393" spans="1:6" ht="66.75" customHeight="1">
      <c r="A393" s="11" t="s">
        <v>143</v>
      </c>
      <c r="B393" s="297" t="s">
        <v>152</v>
      </c>
      <c r="C393" s="275"/>
      <c r="D393" s="275"/>
      <c r="E393" s="270"/>
      <c r="F393" s="276">
        <f>F394</f>
        <v>1626.8</v>
      </c>
    </row>
    <row r="394" spans="1:6" ht="47.25">
      <c r="A394" s="11" t="s">
        <v>273</v>
      </c>
      <c r="B394" s="297" t="s">
        <v>153</v>
      </c>
      <c r="C394" s="275"/>
      <c r="D394" s="275"/>
      <c r="E394" s="270"/>
      <c r="F394" s="276">
        <f>SUM(F395:F397)</f>
        <v>1626.8</v>
      </c>
    </row>
    <row r="395" spans="1:6" ht="35.25" customHeight="1">
      <c r="A395" s="11" t="s">
        <v>712</v>
      </c>
      <c r="B395" s="297" t="s">
        <v>153</v>
      </c>
      <c r="C395" s="298" t="s">
        <v>387</v>
      </c>
      <c r="D395" s="298" t="s">
        <v>383</v>
      </c>
      <c r="E395" s="270">
        <v>240</v>
      </c>
      <c r="F395" s="276">
        <f>'Приложение 9'!Q672</f>
        <v>42.7</v>
      </c>
    </row>
    <row r="396" spans="1:6" ht="15.75">
      <c r="A396" s="11" t="s">
        <v>720</v>
      </c>
      <c r="B396" s="297" t="s">
        <v>153</v>
      </c>
      <c r="C396" s="298" t="s">
        <v>387</v>
      </c>
      <c r="D396" s="298" t="s">
        <v>383</v>
      </c>
      <c r="E396" s="270">
        <v>830</v>
      </c>
      <c r="F396" s="276">
        <f>'Приложение 9'!Q673</f>
        <v>1548.5</v>
      </c>
    </row>
    <row r="397" spans="1:6" ht="15.75">
      <c r="A397" s="5" t="s">
        <v>713</v>
      </c>
      <c r="B397" s="297" t="s">
        <v>153</v>
      </c>
      <c r="C397" s="298" t="s">
        <v>387</v>
      </c>
      <c r="D397" s="298" t="s">
        <v>383</v>
      </c>
      <c r="E397" s="270">
        <v>850</v>
      </c>
      <c r="F397" s="276">
        <f>'Приложение 9'!Q674</f>
        <v>35.6</v>
      </c>
    </row>
    <row r="398" spans="1:6" ht="36" customHeight="1">
      <c r="A398" s="11" t="s">
        <v>144</v>
      </c>
      <c r="B398" s="297" t="s">
        <v>154</v>
      </c>
      <c r="C398" s="275"/>
      <c r="D398" s="275"/>
      <c r="E398" s="270"/>
      <c r="F398" s="276">
        <f>F399+F406+F408+F411+F404</f>
        <v>4779.2</v>
      </c>
    </row>
    <row r="399" spans="1:6" ht="31.5">
      <c r="A399" s="11" t="s">
        <v>335</v>
      </c>
      <c r="B399" s="297" t="s">
        <v>155</v>
      </c>
      <c r="C399" s="275"/>
      <c r="D399" s="275"/>
      <c r="E399" s="270"/>
      <c r="F399" s="276">
        <f>F400+F401+F402+F403</f>
        <v>3155.8</v>
      </c>
    </row>
    <row r="400" spans="1:6" ht="36" customHeight="1">
      <c r="A400" s="11" t="s">
        <v>526</v>
      </c>
      <c r="B400" s="297" t="s">
        <v>155</v>
      </c>
      <c r="C400" s="298" t="s">
        <v>387</v>
      </c>
      <c r="D400" s="298" t="s">
        <v>383</v>
      </c>
      <c r="E400" s="270">
        <v>120</v>
      </c>
      <c r="F400" s="276">
        <f>'Приложение 9'!Q677</f>
        <v>2812.6</v>
      </c>
    </row>
    <row r="401" spans="1:6" ht="37.5" customHeight="1">
      <c r="A401" s="11" t="s">
        <v>712</v>
      </c>
      <c r="B401" s="297" t="s">
        <v>155</v>
      </c>
      <c r="C401" s="298" t="s">
        <v>387</v>
      </c>
      <c r="D401" s="298" t="s">
        <v>383</v>
      </c>
      <c r="E401" s="270">
        <v>240</v>
      </c>
      <c r="F401" s="276">
        <f>'Приложение 9'!Q678</f>
        <v>323.20000000000016</v>
      </c>
    </row>
    <row r="402" spans="1:6" ht="15.75">
      <c r="A402" s="5" t="s">
        <v>720</v>
      </c>
      <c r="B402" s="297" t="s">
        <v>155</v>
      </c>
      <c r="C402" s="298" t="s">
        <v>387</v>
      </c>
      <c r="D402" s="298" t="s">
        <v>383</v>
      </c>
      <c r="E402" s="270">
        <v>830</v>
      </c>
      <c r="F402" s="276">
        <f>'Приложение 9'!Q679</f>
        <v>10</v>
      </c>
    </row>
    <row r="403" spans="1:6" ht="15.75">
      <c r="A403" s="5" t="s">
        <v>713</v>
      </c>
      <c r="B403" s="297" t="s">
        <v>155</v>
      </c>
      <c r="C403" s="298" t="s">
        <v>387</v>
      </c>
      <c r="D403" s="298" t="s">
        <v>383</v>
      </c>
      <c r="E403" s="270">
        <v>850</v>
      </c>
      <c r="F403" s="276">
        <f>'Приложение 9'!Q680</f>
        <v>10</v>
      </c>
    </row>
    <row r="404" spans="1:6" ht="94.5" hidden="1">
      <c r="A404" s="108" t="s">
        <v>864</v>
      </c>
      <c r="B404" s="297" t="s">
        <v>865</v>
      </c>
      <c r="C404" s="298"/>
      <c r="D404" s="298"/>
      <c r="E404" s="270"/>
      <c r="F404" s="276">
        <f>F405</f>
        <v>0</v>
      </c>
    </row>
    <row r="405" spans="1:6" ht="31.5" hidden="1">
      <c r="A405" s="11" t="s">
        <v>526</v>
      </c>
      <c r="B405" s="297" t="s">
        <v>865</v>
      </c>
      <c r="C405" s="298" t="s">
        <v>387</v>
      </c>
      <c r="D405" s="298" t="s">
        <v>383</v>
      </c>
      <c r="E405" s="270">
        <v>120</v>
      </c>
      <c r="F405" s="276">
        <f>'Приложение 9'!Q682</f>
        <v>0</v>
      </c>
    </row>
    <row r="406" spans="1:6" ht="66.75" customHeight="1">
      <c r="A406" s="11" t="s">
        <v>61</v>
      </c>
      <c r="B406" s="297" t="s">
        <v>156</v>
      </c>
      <c r="C406" s="275"/>
      <c r="D406" s="275"/>
      <c r="E406" s="270"/>
      <c r="F406" s="276">
        <f>F407</f>
        <v>789.2</v>
      </c>
    </row>
    <row r="407" spans="1:6" ht="33" customHeight="1">
      <c r="A407" s="11" t="s">
        <v>526</v>
      </c>
      <c r="B407" s="297" t="s">
        <v>156</v>
      </c>
      <c r="C407" s="298" t="s">
        <v>387</v>
      </c>
      <c r="D407" s="298" t="s">
        <v>383</v>
      </c>
      <c r="E407" s="270">
        <v>120</v>
      </c>
      <c r="F407" s="276">
        <f>'Приложение 9'!Q684</f>
        <v>789.2</v>
      </c>
    </row>
    <row r="408" spans="1:6" ht="98.25" customHeight="1">
      <c r="A408" s="11" t="s">
        <v>145</v>
      </c>
      <c r="B408" s="297" t="s">
        <v>157</v>
      </c>
      <c r="C408" s="298"/>
      <c r="D408" s="298"/>
      <c r="E408" s="270"/>
      <c r="F408" s="276">
        <f>F409+F410</f>
        <v>373.8</v>
      </c>
    </row>
    <row r="409" spans="1:6" ht="35.25" customHeight="1">
      <c r="A409" s="11" t="s">
        <v>526</v>
      </c>
      <c r="B409" s="297" t="s">
        <v>157</v>
      </c>
      <c r="C409" s="298" t="s">
        <v>387</v>
      </c>
      <c r="D409" s="298" t="s">
        <v>383</v>
      </c>
      <c r="E409" s="270">
        <v>120</v>
      </c>
      <c r="F409" s="276">
        <f>'Приложение 9'!Q686</f>
        <v>365.3</v>
      </c>
    </row>
    <row r="410" spans="1:6" ht="33.75" customHeight="1">
      <c r="A410" s="11" t="s">
        <v>712</v>
      </c>
      <c r="B410" s="297" t="s">
        <v>157</v>
      </c>
      <c r="C410" s="298" t="s">
        <v>387</v>
      </c>
      <c r="D410" s="298" t="s">
        <v>383</v>
      </c>
      <c r="E410" s="270">
        <v>240</v>
      </c>
      <c r="F410" s="276">
        <f>'Приложение 9'!Q687</f>
        <v>8.5</v>
      </c>
    </row>
    <row r="411" spans="1:6" ht="31.5">
      <c r="A411" s="11" t="s">
        <v>146</v>
      </c>
      <c r="B411" s="297" t="s">
        <v>158</v>
      </c>
      <c r="C411" s="298"/>
      <c r="D411" s="298"/>
      <c r="E411" s="270"/>
      <c r="F411" s="276">
        <f>F412+F413</f>
        <v>460.4</v>
      </c>
    </row>
    <row r="412" spans="1:6" ht="35.25" customHeight="1">
      <c r="A412" s="11" t="s">
        <v>526</v>
      </c>
      <c r="B412" s="297" t="s">
        <v>158</v>
      </c>
      <c r="C412" s="298" t="s">
        <v>387</v>
      </c>
      <c r="D412" s="298" t="s">
        <v>383</v>
      </c>
      <c r="E412" s="270">
        <v>120</v>
      </c>
      <c r="F412" s="276">
        <f>'Приложение 9'!Q689</f>
        <v>451.9</v>
      </c>
    </row>
    <row r="413" spans="1:6" ht="37.5" customHeight="1">
      <c r="A413" s="11" t="s">
        <v>712</v>
      </c>
      <c r="B413" s="297" t="s">
        <v>158</v>
      </c>
      <c r="C413" s="298" t="s">
        <v>387</v>
      </c>
      <c r="D413" s="298" t="s">
        <v>383</v>
      </c>
      <c r="E413" s="270">
        <v>240</v>
      </c>
      <c r="F413" s="276">
        <f>'Приложение 9'!Q690</f>
        <v>8.5</v>
      </c>
    </row>
    <row r="414" spans="1:6" ht="94.5" customHeight="1">
      <c r="A414" s="11" t="s">
        <v>137</v>
      </c>
      <c r="B414" s="297" t="s">
        <v>160</v>
      </c>
      <c r="C414" s="298"/>
      <c r="D414" s="298"/>
      <c r="E414" s="270"/>
      <c r="F414" s="276">
        <f>F415</f>
        <v>4988.5</v>
      </c>
    </row>
    <row r="415" spans="1:6" ht="117.75" customHeight="1">
      <c r="A415" s="11" t="s">
        <v>291</v>
      </c>
      <c r="B415" s="297" t="s">
        <v>159</v>
      </c>
      <c r="C415" s="298"/>
      <c r="D415" s="298"/>
      <c r="E415" s="270"/>
      <c r="F415" s="276">
        <f>F416+F417</f>
        <v>4988.5</v>
      </c>
    </row>
    <row r="416" spans="1:6" ht="36" customHeight="1">
      <c r="A416" s="11" t="s">
        <v>712</v>
      </c>
      <c r="B416" s="297" t="s">
        <v>159</v>
      </c>
      <c r="C416" s="298" t="s">
        <v>387</v>
      </c>
      <c r="D416" s="298" t="s">
        <v>383</v>
      </c>
      <c r="E416" s="270">
        <v>240</v>
      </c>
      <c r="F416" s="276">
        <f>'Приложение 9'!Q693</f>
        <v>73.7</v>
      </c>
    </row>
    <row r="417" spans="1:6" ht="39" customHeight="1">
      <c r="A417" s="11" t="s">
        <v>717</v>
      </c>
      <c r="B417" s="297" t="s">
        <v>159</v>
      </c>
      <c r="C417" s="298" t="s">
        <v>387</v>
      </c>
      <c r="D417" s="298" t="s">
        <v>385</v>
      </c>
      <c r="E417" s="270">
        <v>320</v>
      </c>
      <c r="F417" s="276">
        <f>'Приложение 9'!Q705</f>
        <v>4914.8</v>
      </c>
    </row>
    <row r="418" spans="1:6" s="282" customFormat="1" ht="14.25">
      <c r="A418" s="397" t="s">
        <v>473</v>
      </c>
      <c r="B418" s="398"/>
      <c r="C418" s="398"/>
      <c r="D418" s="398"/>
      <c r="E418" s="399"/>
      <c r="F418" s="289">
        <f>F17+F27+F67+F153+F182+F189+F199+F246+F263+F275+F284+F313+F362+F379+F329+F173+F386</f>
        <v>553256.3999999999</v>
      </c>
    </row>
    <row r="419" ht="15">
      <c r="F419" s="339" t="s">
        <v>521</v>
      </c>
    </row>
  </sheetData>
  <sheetProtection/>
  <mergeCells count="17">
    <mergeCell ref="F14:F15"/>
    <mergeCell ref="B4:F4"/>
    <mergeCell ref="B5:F5"/>
    <mergeCell ref="B6:F6"/>
    <mergeCell ref="B7:F7"/>
    <mergeCell ref="A11:F11"/>
    <mergeCell ref="A10:F10"/>
    <mergeCell ref="A418:E418"/>
    <mergeCell ref="A14:A15"/>
    <mergeCell ref="B14:B15"/>
    <mergeCell ref="C14:C15"/>
    <mergeCell ref="D14:D15"/>
    <mergeCell ref="B1:F1"/>
    <mergeCell ref="B2:F2"/>
    <mergeCell ref="B3:F3"/>
    <mergeCell ref="A12:F12"/>
    <mergeCell ref="E14:E15"/>
  </mergeCells>
  <printOptions/>
  <pageMargins left="0.3937007874015748" right="0.15748031496062992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6"/>
  <sheetViews>
    <sheetView zoomScale="75" zoomScaleNormal="75" zoomScalePageLayoutView="0" workbookViewId="0" topLeftCell="A79">
      <selection activeCell="A89" sqref="A89"/>
    </sheetView>
  </sheetViews>
  <sheetFormatPr defaultColWidth="9.140625" defaultRowHeight="15"/>
  <cols>
    <col min="1" max="1" width="43.28125" style="279" customWidth="1"/>
    <col min="2" max="2" width="15.00390625" style="279" customWidth="1"/>
    <col min="3" max="3" width="6.8515625" style="283" customWidth="1"/>
    <col min="4" max="4" width="5.28125" style="283" customWidth="1"/>
    <col min="5" max="5" width="6.28125" style="279" customWidth="1"/>
    <col min="6" max="6" width="10.8515625" style="284" hidden="1" customWidth="1"/>
    <col min="7" max="7" width="10.7109375" style="284" customWidth="1"/>
    <col min="8" max="8" width="10.140625" style="284" customWidth="1"/>
    <col min="9" max="16384" width="9.140625" style="279" customWidth="1"/>
  </cols>
  <sheetData>
    <row r="1" spans="2:8" ht="18.75">
      <c r="B1" s="410" t="s">
        <v>861</v>
      </c>
      <c r="C1" s="410"/>
      <c r="D1" s="410"/>
      <c r="E1" s="410"/>
      <c r="F1" s="410"/>
      <c r="G1" s="410"/>
      <c r="H1" s="410"/>
    </row>
    <row r="2" spans="2:8" ht="18.75">
      <c r="B2" s="402" t="s">
        <v>491</v>
      </c>
      <c r="C2" s="402"/>
      <c r="D2" s="402"/>
      <c r="E2" s="402"/>
      <c r="F2" s="402"/>
      <c r="G2" s="402"/>
      <c r="H2" s="402"/>
    </row>
    <row r="3" spans="2:8" ht="18.75">
      <c r="B3" s="402" t="s">
        <v>107</v>
      </c>
      <c r="C3" s="402"/>
      <c r="D3" s="402"/>
      <c r="E3" s="402"/>
      <c r="F3" s="402"/>
      <c r="G3" s="402"/>
      <c r="H3" s="402"/>
    </row>
    <row r="4" spans="1:9" ht="22.5" customHeight="1">
      <c r="A4" s="278"/>
      <c r="B4" s="406" t="s">
        <v>110</v>
      </c>
      <c r="C4" s="406"/>
      <c r="D4" s="406"/>
      <c r="E4" s="406"/>
      <c r="F4" s="300"/>
      <c r="G4" s="300"/>
      <c r="H4" s="300"/>
      <c r="I4" s="300"/>
    </row>
    <row r="5" spans="1:9" ht="22.5" customHeight="1">
      <c r="A5" s="278"/>
      <c r="B5" s="407" t="s">
        <v>491</v>
      </c>
      <c r="C5" s="407"/>
      <c r="D5" s="407"/>
      <c r="E5" s="407"/>
      <c r="F5" s="407"/>
      <c r="G5" s="407"/>
      <c r="H5" s="407"/>
      <c r="I5" s="407"/>
    </row>
    <row r="6" spans="1:9" ht="19.5" customHeight="1">
      <c r="A6" s="278"/>
      <c r="B6" s="406" t="s">
        <v>492</v>
      </c>
      <c r="C6" s="406"/>
      <c r="D6" s="406"/>
      <c r="E6" s="406"/>
      <c r="F6" s="406"/>
      <c r="G6" s="406"/>
      <c r="H6" s="406"/>
      <c r="I6" s="406"/>
    </row>
    <row r="7" spans="1:9" ht="19.5" customHeight="1">
      <c r="A7" s="278"/>
      <c r="B7" s="406" t="s">
        <v>3</v>
      </c>
      <c r="C7" s="406"/>
      <c r="D7" s="406"/>
      <c r="E7" s="406"/>
      <c r="F7" s="406"/>
      <c r="G7" s="406"/>
      <c r="H7" s="406"/>
      <c r="I7" s="406"/>
    </row>
    <row r="8" spans="1:9" ht="18.75">
      <c r="A8" s="278"/>
      <c r="B8" s="192" t="s">
        <v>108</v>
      </c>
      <c r="C8" s="192"/>
      <c r="D8" s="192"/>
      <c r="E8" s="192"/>
      <c r="F8" s="280"/>
      <c r="G8" s="280"/>
      <c r="H8" s="281"/>
      <c r="I8" s="195"/>
    </row>
    <row r="9" spans="1:9" ht="18.75">
      <c r="A9" s="278"/>
      <c r="B9" s="192"/>
      <c r="C9" s="192"/>
      <c r="D9" s="192"/>
      <c r="E9" s="192"/>
      <c r="F9" s="280"/>
      <c r="G9" s="280"/>
      <c r="H9" s="281"/>
      <c r="I9" s="195"/>
    </row>
    <row r="10" spans="1:9" ht="18.75">
      <c r="A10" s="408" t="s">
        <v>384</v>
      </c>
      <c r="B10" s="408"/>
      <c r="C10" s="408"/>
      <c r="D10" s="408"/>
      <c r="E10" s="408"/>
      <c r="F10" s="408"/>
      <c r="G10" s="408"/>
      <c r="H10" s="408"/>
      <c r="I10" s="267"/>
    </row>
    <row r="11" spans="1:9" ht="18.75">
      <c r="A11" s="408" t="s">
        <v>761</v>
      </c>
      <c r="B11" s="408"/>
      <c r="C11" s="408"/>
      <c r="D11" s="408"/>
      <c r="E11" s="408"/>
      <c r="F11" s="408"/>
      <c r="G11" s="408"/>
      <c r="H11" s="408"/>
      <c r="I11" s="266"/>
    </row>
    <row r="12" spans="1:9" ht="18.75">
      <c r="A12" s="403" t="s">
        <v>488</v>
      </c>
      <c r="B12" s="403"/>
      <c r="C12" s="403"/>
      <c r="D12" s="403"/>
      <c r="E12" s="403"/>
      <c r="F12" s="403"/>
      <c r="G12" s="403"/>
      <c r="H12" s="403"/>
      <c r="I12" s="265"/>
    </row>
    <row r="13" spans="1:8" ht="30.75" customHeight="1">
      <c r="A13" s="290"/>
      <c r="B13" s="290"/>
      <c r="C13" s="291"/>
      <c r="D13" s="291"/>
      <c r="E13" s="290"/>
      <c r="F13" s="292"/>
      <c r="G13" s="409" t="s">
        <v>12</v>
      </c>
      <c r="H13" s="409"/>
    </row>
    <row r="14" spans="1:8" ht="15.75">
      <c r="A14" s="412" t="s">
        <v>503</v>
      </c>
      <c r="B14" s="412" t="s">
        <v>499</v>
      </c>
      <c r="C14" s="413" t="s">
        <v>502</v>
      </c>
      <c r="D14" s="413" t="s">
        <v>381</v>
      </c>
      <c r="E14" s="412" t="s">
        <v>498</v>
      </c>
      <c r="F14" s="411" t="s">
        <v>497</v>
      </c>
      <c r="G14" s="411"/>
      <c r="H14" s="411"/>
    </row>
    <row r="15" spans="1:8" ht="15.75">
      <c r="A15" s="412"/>
      <c r="B15" s="412"/>
      <c r="C15" s="413"/>
      <c r="D15" s="413"/>
      <c r="E15" s="412"/>
      <c r="F15" s="293" t="s">
        <v>10</v>
      </c>
      <c r="G15" s="293" t="s">
        <v>277</v>
      </c>
      <c r="H15" s="293" t="s">
        <v>1</v>
      </c>
    </row>
    <row r="16" spans="1:8" ht="15.75">
      <c r="A16" s="294">
        <v>1</v>
      </c>
      <c r="B16" s="294">
        <v>2</v>
      </c>
      <c r="C16" s="295">
        <v>3</v>
      </c>
      <c r="D16" s="295">
        <v>4</v>
      </c>
      <c r="E16" s="294">
        <v>5</v>
      </c>
      <c r="F16" s="295">
        <v>6</v>
      </c>
      <c r="G16" s="295" t="s">
        <v>489</v>
      </c>
      <c r="H16" s="295" t="s">
        <v>490</v>
      </c>
    </row>
    <row r="17" spans="1:8" s="282" customFormat="1" ht="81.75" customHeight="1">
      <c r="A17" s="287" t="s">
        <v>766</v>
      </c>
      <c r="B17" s="273" t="s">
        <v>726</v>
      </c>
      <c r="C17" s="274"/>
      <c r="D17" s="274"/>
      <c r="E17" s="273"/>
      <c r="F17" s="277" t="e">
        <f>F18+#REF!+F21+F24+F27+#REF!</f>
        <v>#REF!</v>
      </c>
      <c r="G17" s="277">
        <f>G18+G21+G24+G27</f>
        <v>13020.7</v>
      </c>
      <c r="H17" s="277">
        <v>0</v>
      </c>
    </row>
    <row r="18" spans="1:8" ht="31.5">
      <c r="A18" s="296" t="s">
        <v>654</v>
      </c>
      <c r="B18" s="297" t="s">
        <v>733</v>
      </c>
      <c r="C18" s="298"/>
      <c r="D18" s="298"/>
      <c r="E18" s="297"/>
      <c r="F18" s="299">
        <f>F19</f>
        <v>0</v>
      </c>
      <c r="G18" s="299">
        <f>G19</f>
        <v>1428</v>
      </c>
      <c r="H18" s="299">
        <v>0</v>
      </c>
    </row>
    <row r="19" spans="1:8" ht="47.25">
      <c r="A19" s="296" t="s">
        <v>732</v>
      </c>
      <c r="B19" s="297" t="s">
        <v>734</v>
      </c>
      <c r="C19" s="298"/>
      <c r="D19" s="298"/>
      <c r="E19" s="297"/>
      <c r="F19" s="299">
        <f>SUM(F20:F20)</f>
        <v>0</v>
      </c>
      <c r="G19" s="299">
        <f>G20</f>
        <v>1428</v>
      </c>
      <c r="H19" s="299">
        <v>0</v>
      </c>
    </row>
    <row r="20" spans="1:8" ht="47.25">
      <c r="A20" s="296" t="s">
        <v>712</v>
      </c>
      <c r="B20" s="297" t="s">
        <v>734</v>
      </c>
      <c r="C20" s="298" t="s">
        <v>722</v>
      </c>
      <c r="D20" s="298" t="s">
        <v>386</v>
      </c>
      <c r="E20" s="297">
        <v>240</v>
      </c>
      <c r="F20" s="299">
        <f>'Приложение 9'!Q116</f>
        <v>0</v>
      </c>
      <c r="G20" s="299">
        <f>'Приложение 10'!Q96</f>
        <v>1428</v>
      </c>
      <c r="H20" s="299">
        <v>0</v>
      </c>
    </row>
    <row r="21" spans="1:8" ht="47.25">
      <c r="A21" s="296" t="s">
        <v>249</v>
      </c>
      <c r="B21" s="297" t="s">
        <v>728</v>
      </c>
      <c r="C21" s="298"/>
      <c r="D21" s="298"/>
      <c r="E21" s="297"/>
      <c r="F21" s="299">
        <f>F22</f>
        <v>5524.100000000001</v>
      </c>
      <c r="G21" s="299">
        <f>G22</f>
        <v>10491</v>
      </c>
      <c r="H21" s="299">
        <v>0</v>
      </c>
    </row>
    <row r="22" spans="1:8" ht="31.5">
      <c r="A22" s="296" t="s">
        <v>754</v>
      </c>
      <c r="B22" s="297" t="s">
        <v>271</v>
      </c>
      <c r="C22" s="298"/>
      <c r="D22" s="298"/>
      <c r="E22" s="297"/>
      <c r="F22" s="299">
        <f>F23</f>
        <v>5524.100000000001</v>
      </c>
      <c r="G22" s="299">
        <f>G23</f>
        <v>10491</v>
      </c>
      <c r="H22" s="299">
        <v>0</v>
      </c>
    </row>
    <row r="23" spans="1:8" ht="47.25">
      <c r="A23" s="296" t="s">
        <v>712</v>
      </c>
      <c r="B23" s="297" t="s">
        <v>271</v>
      </c>
      <c r="C23" s="298" t="s">
        <v>722</v>
      </c>
      <c r="D23" s="298" t="s">
        <v>386</v>
      </c>
      <c r="E23" s="297">
        <v>240</v>
      </c>
      <c r="F23" s="299">
        <f>'Приложение 9'!Q123</f>
        <v>5524.100000000001</v>
      </c>
      <c r="G23" s="299">
        <f>'Приложение 10'!Q103</f>
        <v>10491</v>
      </c>
      <c r="H23" s="299">
        <v>0</v>
      </c>
    </row>
    <row r="24" spans="1:8" ht="47.25">
      <c r="A24" s="296" t="s">
        <v>768</v>
      </c>
      <c r="B24" s="297" t="s">
        <v>729</v>
      </c>
      <c r="C24" s="298"/>
      <c r="D24" s="298"/>
      <c r="E24" s="297"/>
      <c r="F24" s="299">
        <f>F25</f>
        <v>200</v>
      </c>
      <c r="G24" s="299">
        <f>G25</f>
        <v>200</v>
      </c>
      <c r="H24" s="299">
        <v>0</v>
      </c>
    </row>
    <row r="25" spans="1:8" ht="31.5">
      <c r="A25" s="296" t="s">
        <v>754</v>
      </c>
      <c r="B25" s="297" t="s">
        <v>769</v>
      </c>
      <c r="C25" s="298"/>
      <c r="D25" s="298"/>
      <c r="E25" s="297"/>
      <c r="F25" s="299">
        <f>F26</f>
        <v>200</v>
      </c>
      <c r="G25" s="299">
        <f>G26</f>
        <v>200</v>
      </c>
      <c r="H25" s="299">
        <v>0</v>
      </c>
    </row>
    <row r="26" spans="1:8" ht="47.25">
      <c r="A26" s="296" t="s">
        <v>712</v>
      </c>
      <c r="B26" s="297" t="s">
        <v>769</v>
      </c>
      <c r="C26" s="298" t="s">
        <v>387</v>
      </c>
      <c r="D26" s="298" t="s">
        <v>386</v>
      </c>
      <c r="E26" s="297">
        <v>240</v>
      </c>
      <c r="F26" s="299">
        <f>'Приложение 9'!Q699</f>
        <v>200</v>
      </c>
      <c r="G26" s="299">
        <f>'Приложение 10'!Q574</f>
        <v>200</v>
      </c>
      <c r="H26" s="299">
        <v>0</v>
      </c>
    </row>
    <row r="27" spans="1:8" ht="63">
      <c r="A27" s="296" t="s">
        <v>161</v>
      </c>
      <c r="B27" s="297" t="s">
        <v>750</v>
      </c>
      <c r="C27" s="298"/>
      <c r="D27" s="298"/>
      <c r="E27" s="297"/>
      <c r="F27" s="299" t="e">
        <f>#REF!</f>
        <v>#REF!</v>
      </c>
      <c r="G27" s="299">
        <f>G28</f>
        <v>901.7</v>
      </c>
      <c r="H27" s="299">
        <v>0</v>
      </c>
    </row>
    <row r="28" spans="1:8" ht="94.5">
      <c r="A28" s="296" t="s">
        <v>267</v>
      </c>
      <c r="B28" s="297" t="s">
        <v>268</v>
      </c>
      <c r="C28" s="298"/>
      <c r="D28" s="298"/>
      <c r="E28" s="297"/>
      <c r="F28" s="299"/>
      <c r="G28" s="299">
        <f>G29</f>
        <v>901.7</v>
      </c>
      <c r="H28" s="299">
        <v>0</v>
      </c>
    </row>
    <row r="29" spans="1:8" ht="47.25">
      <c r="A29" s="296" t="s">
        <v>712</v>
      </c>
      <c r="B29" s="297" t="s">
        <v>268</v>
      </c>
      <c r="C29" s="298" t="s">
        <v>722</v>
      </c>
      <c r="D29" s="298" t="s">
        <v>386</v>
      </c>
      <c r="E29" s="297">
        <v>240</v>
      </c>
      <c r="F29" s="299"/>
      <c r="G29" s="299">
        <f>'Приложение 10'!Q106</f>
        <v>901.7</v>
      </c>
      <c r="H29" s="299">
        <v>0</v>
      </c>
    </row>
    <row r="30" spans="1:8" s="282" customFormat="1" ht="94.5">
      <c r="A30" s="287" t="s">
        <v>282</v>
      </c>
      <c r="B30" s="273" t="s">
        <v>349</v>
      </c>
      <c r="C30" s="274"/>
      <c r="D30" s="274"/>
      <c r="E30" s="273"/>
      <c r="F30" s="277">
        <f aca="true" t="shared" si="0" ref="F30:G32">F31</f>
        <v>0</v>
      </c>
      <c r="G30" s="277">
        <f t="shared" si="0"/>
        <v>30</v>
      </c>
      <c r="H30" s="277">
        <v>0</v>
      </c>
    </row>
    <row r="31" spans="1:8" ht="63">
      <c r="A31" s="288" t="s">
        <v>283</v>
      </c>
      <c r="B31" s="270" t="s">
        <v>350</v>
      </c>
      <c r="C31" s="275"/>
      <c r="D31" s="275"/>
      <c r="E31" s="270"/>
      <c r="F31" s="276">
        <f t="shared" si="0"/>
        <v>0</v>
      </c>
      <c r="G31" s="276">
        <f t="shared" si="0"/>
        <v>30</v>
      </c>
      <c r="H31" s="276">
        <v>0</v>
      </c>
    </row>
    <row r="32" spans="1:8" ht="47.25">
      <c r="A32" s="288" t="s">
        <v>285</v>
      </c>
      <c r="B32" s="270" t="s">
        <v>286</v>
      </c>
      <c r="C32" s="275"/>
      <c r="D32" s="275"/>
      <c r="E32" s="270"/>
      <c r="F32" s="276">
        <f t="shared" si="0"/>
        <v>0</v>
      </c>
      <c r="G32" s="276">
        <f t="shared" si="0"/>
        <v>30</v>
      </c>
      <c r="H32" s="276">
        <v>0</v>
      </c>
    </row>
    <row r="33" spans="1:8" ht="47.25">
      <c r="A33" s="288" t="s">
        <v>712</v>
      </c>
      <c r="B33" s="270" t="s">
        <v>286</v>
      </c>
      <c r="C33" s="275" t="s">
        <v>722</v>
      </c>
      <c r="D33" s="275" t="s">
        <v>393</v>
      </c>
      <c r="E33" s="270">
        <v>240</v>
      </c>
      <c r="F33" s="276">
        <f>'Приложение 9'!Q43</f>
        <v>0</v>
      </c>
      <c r="G33" s="276">
        <v>30</v>
      </c>
      <c r="H33" s="276">
        <v>0</v>
      </c>
    </row>
    <row r="34" spans="1:8" s="282" customFormat="1" ht="110.25">
      <c r="A34" s="287" t="s">
        <v>808</v>
      </c>
      <c r="B34" s="273" t="s">
        <v>276</v>
      </c>
      <c r="C34" s="274"/>
      <c r="D34" s="274"/>
      <c r="E34" s="273"/>
      <c r="F34" s="277">
        <f>F36+F38</f>
        <v>1673.9</v>
      </c>
      <c r="G34" s="277">
        <f>G35</f>
        <v>3941.9</v>
      </c>
      <c r="H34" s="277">
        <f>H35</f>
        <v>3299.5</v>
      </c>
    </row>
    <row r="35" spans="1:8" s="282" customFormat="1" ht="63">
      <c r="A35" s="296" t="s">
        <v>117</v>
      </c>
      <c r="B35" s="297" t="s">
        <v>118</v>
      </c>
      <c r="C35" s="274"/>
      <c r="D35" s="274"/>
      <c r="E35" s="273"/>
      <c r="F35" s="277"/>
      <c r="G35" s="299">
        <f>G36+G38</f>
        <v>3941.9</v>
      </c>
      <c r="H35" s="299">
        <f>H36+H38</f>
        <v>3299.5</v>
      </c>
    </row>
    <row r="36" spans="1:8" ht="63">
      <c r="A36" s="296" t="s">
        <v>803</v>
      </c>
      <c r="B36" s="297" t="s">
        <v>814</v>
      </c>
      <c r="C36" s="298"/>
      <c r="D36" s="298"/>
      <c r="E36" s="297"/>
      <c r="F36" s="299">
        <f>F37</f>
        <v>1673.9</v>
      </c>
      <c r="G36" s="299">
        <f>G37</f>
        <v>2941.9</v>
      </c>
      <c r="H36" s="299">
        <f>H37</f>
        <v>2299.5</v>
      </c>
    </row>
    <row r="37" spans="1:8" ht="15.75">
      <c r="A37" s="296" t="s">
        <v>518</v>
      </c>
      <c r="B37" s="297" t="s">
        <v>814</v>
      </c>
      <c r="C37" s="298" t="s">
        <v>722</v>
      </c>
      <c r="D37" s="298" t="s">
        <v>403</v>
      </c>
      <c r="E37" s="297">
        <v>410</v>
      </c>
      <c r="F37" s="299">
        <f>'Приложение 9'!Q198</f>
        <v>1673.9</v>
      </c>
      <c r="G37" s="299">
        <f>'Приложение 10'!Q165</f>
        <v>2941.9</v>
      </c>
      <c r="H37" s="299">
        <f>'Приложение 10'!R165</f>
        <v>2299.5</v>
      </c>
    </row>
    <row r="38" spans="1:8" ht="63">
      <c r="A38" s="296" t="s">
        <v>817</v>
      </c>
      <c r="B38" s="297" t="s">
        <v>818</v>
      </c>
      <c r="C38" s="298"/>
      <c r="D38" s="298"/>
      <c r="E38" s="297"/>
      <c r="F38" s="299">
        <f>F39</f>
        <v>0</v>
      </c>
      <c r="G38" s="299">
        <f>G39</f>
        <v>1000</v>
      </c>
      <c r="H38" s="299">
        <f>H39</f>
        <v>1000</v>
      </c>
    </row>
    <row r="39" spans="1:8" ht="15.75">
      <c r="A39" s="296" t="s">
        <v>518</v>
      </c>
      <c r="B39" s="297" t="s">
        <v>818</v>
      </c>
      <c r="C39" s="298" t="s">
        <v>722</v>
      </c>
      <c r="D39" s="298" t="s">
        <v>403</v>
      </c>
      <c r="E39" s="297">
        <v>410</v>
      </c>
      <c r="F39" s="299">
        <f>'Приложение 9'!Q201</f>
        <v>0</v>
      </c>
      <c r="G39" s="299">
        <f>'Приложение 10'!Q167</f>
        <v>1000</v>
      </c>
      <c r="H39" s="299">
        <f>'Приложение 10'!R167</f>
        <v>1000</v>
      </c>
    </row>
    <row r="40" spans="1:8" s="282" customFormat="1" ht="78.75">
      <c r="A40" s="287" t="s">
        <v>680</v>
      </c>
      <c r="B40" s="273" t="s">
        <v>404</v>
      </c>
      <c r="C40" s="274"/>
      <c r="D40" s="274"/>
      <c r="E40" s="273"/>
      <c r="F40" s="277">
        <f>F41+F44+F49+F54+F62</f>
        <v>128.2</v>
      </c>
      <c r="G40" s="277">
        <f>G41+G44+G49+G54+G62</f>
        <v>550</v>
      </c>
      <c r="H40" s="277">
        <f>H41+H44+H49+H54+H62</f>
        <v>550</v>
      </c>
    </row>
    <row r="41" spans="1:8" ht="78.75">
      <c r="A41" s="296" t="s">
        <v>472</v>
      </c>
      <c r="B41" s="297" t="s">
        <v>405</v>
      </c>
      <c r="C41" s="298"/>
      <c r="D41" s="298"/>
      <c r="E41" s="297"/>
      <c r="F41" s="299">
        <f aca="true" t="shared" si="1" ref="F41:H42">F42</f>
        <v>0</v>
      </c>
      <c r="G41" s="299">
        <f t="shared" si="1"/>
        <v>10</v>
      </c>
      <c r="H41" s="299">
        <f t="shared" si="1"/>
        <v>10</v>
      </c>
    </row>
    <row r="42" spans="1:8" ht="94.5">
      <c r="A42" s="296" t="s">
        <v>494</v>
      </c>
      <c r="B42" s="297" t="s">
        <v>406</v>
      </c>
      <c r="C42" s="298"/>
      <c r="D42" s="298"/>
      <c r="E42" s="297"/>
      <c r="F42" s="299">
        <f t="shared" si="1"/>
        <v>0</v>
      </c>
      <c r="G42" s="299">
        <f t="shared" si="1"/>
        <v>10</v>
      </c>
      <c r="H42" s="299">
        <f t="shared" si="1"/>
        <v>10</v>
      </c>
    </row>
    <row r="43" spans="1:8" ht="47.25">
      <c r="A43" s="296" t="s">
        <v>712</v>
      </c>
      <c r="B43" s="297" t="s">
        <v>406</v>
      </c>
      <c r="C43" s="298" t="s">
        <v>723</v>
      </c>
      <c r="D43" s="298" t="s">
        <v>389</v>
      </c>
      <c r="E43" s="297">
        <v>240</v>
      </c>
      <c r="F43" s="299">
        <f>'Приложение 9'!Q629</f>
        <v>0</v>
      </c>
      <c r="G43" s="299">
        <f>'Приложение 10'!Q513</f>
        <v>10</v>
      </c>
      <c r="H43" s="299">
        <f>'Приложение 10'!R513</f>
        <v>10</v>
      </c>
    </row>
    <row r="44" spans="1:8" ht="63">
      <c r="A44" s="296" t="s">
        <v>317</v>
      </c>
      <c r="B44" s="297" t="s">
        <v>407</v>
      </c>
      <c r="C44" s="298"/>
      <c r="D44" s="298"/>
      <c r="E44" s="297"/>
      <c r="F44" s="299">
        <f>F45+F47</f>
        <v>0</v>
      </c>
      <c r="G44" s="299">
        <f>G45+G47</f>
        <v>140</v>
      </c>
      <c r="H44" s="299">
        <f>H45+H47</f>
        <v>140</v>
      </c>
    </row>
    <row r="45" spans="1:8" ht="15.75">
      <c r="A45" s="296" t="s">
        <v>324</v>
      </c>
      <c r="B45" s="297" t="s">
        <v>408</v>
      </c>
      <c r="C45" s="298"/>
      <c r="D45" s="298"/>
      <c r="E45" s="297"/>
      <c r="F45" s="299">
        <f>F46</f>
        <v>0</v>
      </c>
      <c r="G45" s="299">
        <f>G46</f>
        <v>131</v>
      </c>
      <c r="H45" s="299">
        <f>H46</f>
        <v>131</v>
      </c>
    </row>
    <row r="46" spans="1:8" ht="15.75">
      <c r="A46" s="296" t="s">
        <v>714</v>
      </c>
      <c r="B46" s="297" t="s">
        <v>408</v>
      </c>
      <c r="C46" s="298" t="s">
        <v>723</v>
      </c>
      <c r="D46" s="298" t="s">
        <v>388</v>
      </c>
      <c r="E46" s="297">
        <v>610</v>
      </c>
      <c r="F46" s="299">
        <f>'Приложение 9'!Q489</f>
        <v>0</v>
      </c>
      <c r="G46" s="299">
        <f>'Приложение 10'!Q412</f>
        <v>131</v>
      </c>
      <c r="H46" s="299">
        <f>'Приложение 10'!R412</f>
        <v>131</v>
      </c>
    </row>
    <row r="47" spans="1:8" ht="31.5">
      <c r="A47" s="296" t="s">
        <v>327</v>
      </c>
      <c r="B47" s="297" t="s">
        <v>409</v>
      </c>
      <c r="C47" s="298"/>
      <c r="D47" s="298"/>
      <c r="E47" s="297"/>
      <c r="F47" s="299">
        <f>F48</f>
        <v>0</v>
      </c>
      <c r="G47" s="299">
        <f>G48</f>
        <v>9</v>
      </c>
      <c r="H47" s="299">
        <f>H48</f>
        <v>9</v>
      </c>
    </row>
    <row r="48" spans="1:8" ht="15.75">
      <c r="A48" s="296" t="s">
        <v>714</v>
      </c>
      <c r="B48" s="297" t="s">
        <v>409</v>
      </c>
      <c r="C48" s="298" t="s">
        <v>723</v>
      </c>
      <c r="D48" s="298" t="s">
        <v>391</v>
      </c>
      <c r="E48" s="297">
        <v>610</v>
      </c>
      <c r="F48" s="299">
        <f>'Приложение 9'!Q543</f>
        <v>0</v>
      </c>
      <c r="G48" s="299">
        <f>'Приложение 10'!Q448</f>
        <v>9</v>
      </c>
      <c r="H48" s="299">
        <f>'Приложение 10'!R448</f>
        <v>9</v>
      </c>
    </row>
    <row r="49" spans="1:8" ht="47.25">
      <c r="A49" s="296" t="s">
        <v>313</v>
      </c>
      <c r="B49" s="297" t="s">
        <v>410</v>
      </c>
      <c r="C49" s="298"/>
      <c r="D49" s="298"/>
      <c r="E49" s="297"/>
      <c r="F49" s="299">
        <f>F50+F52</f>
        <v>0</v>
      </c>
      <c r="G49" s="299">
        <f>G50+G52</f>
        <v>34</v>
      </c>
      <c r="H49" s="299">
        <f>H50+H52</f>
        <v>34</v>
      </c>
    </row>
    <row r="50" spans="1:8" ht="15.75">
      <c r="A50" s="296" t="s">
        <v>324</v>
      </c>
      <c r="B50" s="297" t="s">
        <v>411</v>
      </c>
      <c r="C50" s="298"/>
      <c r="D50" s="298"/>
      <c r="E50" s="297"/>
      <c r="F50" s="299">
        <f>F51</f>
        <v>0</v>
      </c>
      <c r="G50" s="299">
        <f>G51</f>
        <v>9</v>
      </c>
      <c r="H50" s="299">
        <f>H51</f>
        <v>9</v>
      </c>
    </row>
    <row r="51" spans="1:8" ht="15.75">
      <c r="A51" s="296" t="s">
        <v>714</v>
      </c>
      <c r="B51" s="297" t="s">
        <v>411</v>
      </c>
      <c r="C51" s="298" t="s">
        <v>723</v>
      </c>
      <c r="D51" s="298" t="s">
        <v>388</v>
      </c>
      <c r="E51" s="297">
        <v>610</v>
      </c>
      <c r="F51" s="299">
        <f>'Приложение 9'!Q492</f>
        <v>0</v>
      </c>
      <c r="G51" s="299">
        <f>'Приложение 10'!Q415</f>
        <v>9</v>
      </c>
      <c r="H51" s="299">
        <f>'Приложение 10'!R415</f>
        <v>9</v>
      </c>
    </row>
    <row r="52" spans="1:8" ht="31.5">
      <c r="A52" s="296" t="s">
        <v>327</v>
      </c>
      <c r="B52" s="297" t="s">
        <v>412</v>
      </c>
      <c r="C52" s="298"/>
      <c r="D52" s="298"/>
      <c r="E52" s="297"/>
      <c r="F52" s="299">
        <f>F53</f>
        <v>0</v>
      </c>
      <c r="G52" s="299">
        <f>G53</f>
        <v>25</v>
      </c>
      <c r="H52" s="299">
        <f>H53</f>
        <v>25</v>
      </c>
    </row>
    <row r="53" spans="1:8" ht="15.75">
      <c r="A53" s="296" t="s">
        <v>714</v>
      </c>
      <c r="B53" s="297" t="s">
        <v>412</v>
      </c>
      <c r="C53" s="298" t="s">
        <v>723</v>
      </c>
      <c r="D53" s="298" t="s">
        <v>391</v>
      </c>
      <c r="E53" s="297">
        <v>610</v>
      </c>
      <c r="F53" s="299">
        <f>'Приложение 9'!Q546</f>
        <v>0</v>
      </c>
      <c r="G53" s="299">
        <f>'Приложение 10'!Q451</f>
        <v>25</v>
      </c>
      <c r="H53" s="299">
        <f>'Приложение 10'!R451</f>
        <v>25</v>
      </c>
    </row>
    <row r="54" spans="1:8" ht="94.5">
      <c r="A54" s="296" t="s">
        <v>679</v>
      </c>
      <c r="B54" s="297" t="s">
        <v>413</v>
      </c>
      <c r="C54" s="298"/>
      <c r="D54" s="298"/>
      <c r="E54" s="297"/>
      <c r="F54" s="299">
        <f>F55+F57+F59</f>
        <v>0</v>
      </c>
      <c r="G54" s="299">
        <f>G55+G57+G59</f>
        <v>166</v>
      </c>
      <c r="H54" s="299">
        <f>H55+H57+H59</f>
        <v>166</v>
      </c>
    </row>
    <row r="55" spans="1:8" ht="15.75">
      <c r="A55" s="296" t="s">
        <v>324</v>
      </c>
      <c r="B55" s="297" t="s">
        <v>414</v>
      </c>
      <c r="C55" s="298"/>
      <c r="D55" s="298"/>
      <c r="E55" s="297"/>
      <c r="F55" s="299">
        <f>F56</f>
        <v>0</v>
      </c>
      <c r="G55" s="299">
        <f>G56</f>
        <v>9</v>
      </c>
      <c r="H55" s="299">
        <f>H56</f>
        <v>9</v>
      </c>
    </row>
    <row r="56" spans="1:8" ht="15.75">
      <c r="A56" s="296" t="s">
        <v>714</v>
      </c>
      <c r="B56" s="297" t="s">
        <v>414</v>
      </c>
      <c r="C56" s="298" t="s">
        <v>723</v>
      </c>
      <c r="D56" s="298" t="s">
        <v>388</v>
      </c>
      <c r="E56" s="297">
        <v>610</v>
      </c>
      <c r="F56" s="299">
        <f>'Приложение 9'!Q495</f>
        <v>0</v>
      </c>
      <c r="G56" s="299">
        <f>'Приложение 10'!Q418</f>
        <v>9</v>
      </c>
      <c r="H56" s="299">
        <f>'Приложение 10'!R418</f>
        <v>9</v>
      </c>
    </row>
    <row r="57" spans="1:8" ht="31.5">
      <c r="A57" s="296" t="s">
        <v>327</v>
      </c>
      <c r="B57" s="297" t="s">
        <v>415</v>
      </c>
      <c r="C57" s="298"/>
      <c r="D57" s="298"/>
      <c r="E57" s="297"/>
      <c r="F57" s="299">
        <f>F58</f>
        <v>0</v>
      </c>
      <c r="G57" s="299">
        <f>G58</f>
        <v>80</v>
      </c>
      <c r="H57" s="299">
        <f>H58</f>
        <v>80</v>
      </c>
    </row>
    <row r="58" spans="1:8" ht="15.75">
      <c r="A58" s="296" t="s">
        <v>714</v>
      </c>
      <c r="B58" s="297" t="s">
        <v>415</v>
      </c>
      <c r="C58" s="298" t="s">
        <v>723</v>
      </c>
      <c r="D58" s="298" t="s">
        <v>391</v>
      </c>
      <c r="E58" s="297">
        <v>610</v>
      </c>
      <c r="F58" s="299">
        <f>'Приложение 9'!Q549</f>
        <v>0</v>
      </c>
      <c r="G58" s="299">
        <f>'Приложение 10'!Q454</f>
        <v>80</v>
      </c>
      <c r="H58" s="299">
        <f>'Приложение 10'!R454</f>
        <v>80</v>
      </c>
    </row>
    <row r="59" spans="1:8" ht="94.5">
      <c r="A59" s="296" t="s">
        <v>494</v>
      </c>
      <c r="B59" s="297" t="s">
        <v>416</v>
      </c>
      <c r="C59" s="298"/>
      <c r="D59" s="298"/>
      <c r="E59" s="297"/>
      <c r="F59" s="299">
        <f>SUM(F60:F61)</f>
        <v>0</v>
      </c>
      <c r="G59" s="299">
        <f>SUM(G60:G61)</f>
        <v>77</v>
      </c>
      <c r="H59" s="299">
        <f>SUM(H60:H61)</f>
        <v>77</v>
      </c>
    </row>
    <row r="60" spans="1:8" ht="47.25">
      <c r="A60" s="296" t="s">
        <v>712</v>
      </c>
      <c r="B60" s="297" t="s">
        <v>416</v>
      </c>
      <c r="C60" s="298" t="s">
        <v>723</v>
      </c>
      <c r="D60" s="298" t="s">
        <v>389</v>
      </c>
      <c r="E60" s="297">
        <v>240</v>
      </c>
      <c r="F60" s="299">
        <f>'Приложение 9'!Q632</f>
        <v>0</v>
      </c>
      <c r="G60" s="299">
        <f>'Приложение 10'!Q516</f>
        <v>7</v>
      </c>
      <c r="H60" s="299">
        <f>'Приложение 10'!R516</f>
        <v>7</v>
      </c>
    </row>
    <row r="61" spans="1:8" ht="47.25">
      <c r="A61" s="296" t="s">
        <v>717</v>
      </c>
      <c r="B61" s="297" t="s">
        <v>416</v>
      </c>
      <c r="C61" s="298" t="s">
        <v>723</v>
      </c>
      <c r="D61" s="298" t="s">
        <v>389</v>
      </c>
      <c r="E61" s="297">
        <v>320</v>
      </c>
      <c r="F61" s="299">
        <f>'Приложение 9'!Q633</f>
        <v>0</v>
      </c>
      <c r="G61" s="299">
        <f>'Приложение 10'!Q517</f>
        <v>70</v>
      </c>
      <c r="H61" s="299">
        <f>'Приложение 10'!R517</f>
        <v>70</v>
      </c>
    </row>
    <row r="62" spans="1:8" ht="78.75">
      <c r="A62" s="296" t="s">
        <v>246</v>
      </c>
      <c r="B62" s="297" t="s">
        <v>417</v>
      </c>
      <c r="C62" s="298"/>
      <c r="D62" s="298"/>
      <c r="E62" s="297"/>
      <c r="F62" s="299">
        <f>F63+F65</f>
        <v>128.2</v>
      </c>
      <c r="G62" s="299">
        <f>G63+G65</f>
        <v>200</v>
      </c>
      <c r="H62" s="299">
        <f>H63+H65</f>
        <v>200</v>
      </c>
    </row>
    <row r="63" spans="1:8" ht="31.5">
      <c r="A63" s="296" t="s">
        <v>327</v>
      </c>
      <c r="B63" s="297" t="s">
        <v>418</v>
      </c>
      <c r="C63" s="298"/>
      <c r="D63" s="298"/>
      <c r="E63" s="297"/>
      <c r="F63" s="299">
        <f>F64</f>
        <v>57.8</v>
      </c>
      <c r="G63" s="299">
        <f>G64</f>
        <v>125</v>
      </c>
      <c r="H63" s="299">
        <f>H64</f>
        <v>125</v>
      </c>
    </row>
    <row r="64" spans="1:8" ht="15.75">
      <c r="A64" s="296" t="s">
        <v>714</v>
      </c>
      <c r="B64" s="297" t="s">
        <v>418</v>
      </c>
      <c r="C64" s="298" t="s">
        <v>723</v>
      </c>
      <c r="D64" s="298" t="s">
        <v>391</v>
      </c>
      <c r="E64" s="297">
        <v>610</v>
      </c>
      <c r="F64" s="299">
        <f>'Приложение 9'!Q552</f>
        <v>57.8</v>
      </c>
      <c r="G64" s="299">
        <f>'Приложение 10'!Q457</f>
        <v>125</v>
      </c>
      <c r="H64" s="299">
        <f>'Приложение 10'!R457</f>
        <v>125</v>
      </c>
    </row>
    <row r="65" spans="1:8" ht="94.5">
      <c r="A65" s="296" t="s">
        <v>494</v>
      </c>
      <c r="B65" s="297" t="s">
        <v>419</v>
      </c>
      <c r="C65" s="298"/>
      <c r="D65" s="298"/>
      <c r="E65" s="297"/>
      <c r="F65" s="299">
        <f>F66</f>
        <v>70.4</v>
      </c>
      <c r="G65" s="299">
        <f>G66</f>
        <v>75</v>
      </c>
      <c r="H65" s="299">
        <f>H66</f>
        <v>75</v>
      </c>
    </row>
    <row r="66" spans="1:8" ht="47.25">
      <c r="A66" s="296" t="s">
        <v>717</v>
      </c>
      <c r="B66" s="297" t="s">
        <v>419</v>
      </c>
      <c r="C66" s="298" t="s">
        <v>723</v>
      </c>
      <c r="D66" s="298" t="s">
        <v>389</v>
      </c>
      <c r="E66" s="297">
        <v>320</v>
      </c>
      <c r="F66" s="299">
        <f>'Приложение 9'!Q636</f>
        <v>70.4</v>
      </c>
      <c r="G66" s="299">
        <f>'Приложение 10'!Q520</f>
        <v>75</v>
      </c>
      <c r="H66" s="299">
        <f>'Приложение 10'!R520</f>
        <v>75</v>
      </c>
    </row>
    <row r="67" spans="1:8" s="282" customFormat="1" ht="63">
      <c r="A67" s="287" t="s">
        <v>675</v>
      </c>
      <c r="B67" s="273" t="s">
        <v>420</v>
      </c>
      <c r="C67" s="274"/>
      <c r="D67" s="274"/>
      <c r="E67" s="273"/>
      <c r="F67" s="277">
        <f>F68</f>
        <v>6781.100000000001</v>
      </c>
      <c r="G67" s="277">
        <f>G68+G73</f>
        <v>10084.8</v>
      </c>
      <c r="H67" s="277">
        <f>H68</f>
        <v>7300</v>
      </c>
    </row>
    <row r="68" spans="1:8" ht="31.5">
      <c r="A68" s="296" t="s">
        <v>308</v>
      </c>
      <c r="B68" s="297" t="s">
        <v>421</v>
      </c>
      <c r="C68" s="298"/>
      <c r="D68" s="298"/>
      <c r="E68" s="297"/>
      <c r="F68" s="299">
        <f>F69</f>
        <v>6781.100000000001</v>
      </c>
      <c r="G68" s="299">
        <f>G69+G71</f>
        <v>7200</v>
      </c>
      <c r="H68" s="299">
        <f>H69+H71</f>
        <v>7300</v>
      </c>
    </row>
    <row r="69" spans="1:8" ht="31.5">
      <c r="A69" s="296" t="s">
        <v>307</v>
      </c>
      <c r="B69" s="297" t="s">
        <v>422</v>
      </c>
      <c r="C69" s="298"/>
      <c r="D69" s="298"/>
      <c r="E69" s="297"/>
      <c r="F69" s="299">
        <f>F70</f>
        <v>6781.100000000001</v>
      </c>
      <c r="G69" s="299">
        <f>G70</f>
        <v>6267.3</v>
      </c>
      <c r="H69" s="299">
        <f>H70</f>
        <v>6367.3</v>
      </c>
    </row>
    <row r="70" spans="1:8" ht="15.75">
      <c r="A70" s="296" t="s">
        <v>714</v>
      </c>
      <c r="B70" s="297" t="s">
        <v>422</v>
      </c>
      <c r="C70" s="298" t="s">
        <v>722</v>
      </c>
      <c r="D70" s="298" t="s">
        <v>423</v>
      </c>
      <c r="E70" s="297">
        <v>610</v>
      </c>
      <c r="F70" s="299">
        <f>'Приложение 9'!Q331</f>
        <v>6781.100000000001</v>
      </c>
      <c r="G70" s="299">
        <f>'Приложение 10'!Q289</f>
        <v>6267.3</v>
      </c>
      <c r="H70" s="299">
        <f>'Приложение 10'!R289</f>
        <v>6367.3</v>
      </c>
    </row>
    <row r="71" spans="1:8" ht="78.75">
      <c r="A71" s="11" t="s">
        <v>61</v>
      </c>
      <c r="B71" s="297" t="s">
        <v>67</v>
      </c>
      <c r="C71" s="275"/>
      <c r="D71" s="275"/>
      <c r="E71" s="270"/>
      <c r="F71" s="299"/>
      <c r="G71" s="299">
        <f>G72</f>
        <v>932.7</v>
      </c>
      <c r="H71" s="299">
        <f>H72</f>
        <v>932.7</v>
      </c>
    </row>
    <row r="72" spans="1:8" ht="15.75">
      <c r="A72" s="11" t="s">
        <v>714</v>
      </c>
      <c r="B72" s="297" t="s">
        <v>67</v>
      </c>
      <c r="C72" s="298" t="s">
        <v>722</v>
      </c>
      <c r="D72" s="298" t="s">
        <v>423</v>
      </c>
      <c r="E72" s="270">
        <v>610</v>
      </c>
      <c r="F72" s="299"/>
      <c r="G72" s="299">
        <f>'Приложение 10'!Q291</f>
        <v>932.7</v>
      </c>
      <c r="H72" s="299">
        <f>'Приложение 10'!R291</f>
        <v>932.7</v>
      </c>
    </row>
    <row r="73" spans="1:8" ht="63">
      <c r="A73" s="296" t="s">
        <v>678</v>
      </c>
      <c r="B73" s="297" t="s">
        <v>424</v>
      </c>
      <c r="C73" s="298"/>
      <c r="D73" s="298"/>
      <c r="E73" s="297"/>
      <c r="F73" s="299"/>
      <c r="G73" s="299">
        <f>G74</f>
        <v>2884.8</v>
      </c>
      <c r="H73" s="299">
        <v>0</v>
      </c>
    </row>
    <row r="74" spans="1:8" ht="15.75">
      <c r="A74" s="296" t="s">
        <v>714</v>
      </c>
      <c r="B74" s="297" t="s">
        <v>424</v>
      </c>
      <c r="C74" s="298" t="s">
        <v>722</v>
      </c>
      <c r="D74" s="298" t="s">
        <v>423</v>
      </c>
      <c r="E74" s="297">
        <v>610</v>
      </c>
      <c r="F74" s="299"/>
      <c r="G74" s="299">
        <f>'Приложение 10'!Q293</f>
        <v>2884.8</v>
      </c>
      <c r="H74" s="299">
        <v>0</v>
      </c>
    </row>
    <row r="75" spans="1:8" s="282" customFormat="1" ht="63">
      <c r="A75" s="287" t="s">
        <v>376</v>
      </c>
      <c r="B75" s="273" t="s">
        <v>425</v>
      </c>
      <c r="C75" s="274"/>
      <c r="D75" s="274"/>
      <c r="E75" s="273"/>
      <c r="F75" s="277"/>
      <c r="G75" s="277">
        <f>G76+G79+G84</f>
        <v>7300</v>
      </c>
      <c r="H75" s="277">
        <f>H76+H79+H84</f>
        <v>7250</v>
      </c>
    </row>
    <row r="76" spans="1:8" ht="94.5">
      <c r="A76" s="296" t="s">
        <v>341</v>
      </c>
      <c r="B76" s="297" t="s">
        <v>426</v>
      </c>
      <c r="C76" s="298"/>
      <c r="D76" s="298"/>
      <c r="E76" s="297"/>
      <c r="F76" s="299"/>
      <c r="G76" s="299">
        <f>G77</f>
        <v>200</v>
      </c>
      <c r="H76" s="299">
        <f>H77</f>
        <v>150</v>
      </c>
    </row>
    <row r="77" spans="1:8" ht="15.75">
      <c r="A77" s="296" t="s">
        <v>255</v>
      </c>
      <c r="B77" s="297" t="s">
        <v>427</v>
      </c>
      <c r="C77" s="298"/>
      <c r="D77" s="298"/>
      <c r="E77" s="297"/>
      <c r="F77" s="299"/>
      <c r="G77" s="299">
        <f>G78</f>
        <v>200</v>
      </c>
      <c r="H77" s="299">
        <f>H78</f>
        <v>150</v>
      </c>
    </row>
    <row r="78" spans="1:8" ht="15.75">
      <c r="A78" s="296" t="s">
        <v>714</v>
      </c>
      <c r="B78" s="297" t="s">
        <v>427</v>
      </c>
      <c r="C78" s="298" t="s">
        <v>722</v>
      </c>
      <c r="D78" s="298" t="s">
        <v>393</v>
      </c>
      <c r="E78" s="297">
        <v>610</v>
      </c>
      <c r="F78" s="299"/>
      <c r="G78" s="299">
        <f>'Приложение 10'!Q130</f>
        <v>200</v>
      </c>
      <c r="H78" s="299">
        <f>'Приложение 10'!R130</f>
        <v>150</v>
      </c>
    </row>
    <row r="79" spans="1:8" ht="47.25">
      <c r="A79" s="296" t="s">
        <v>652</v>
      </c>
      <c r="B79" s="297" t="s">
        <v>428</v>
      </c>
      <c r="C79" s="298"/>
      <c r="D79" s="298"/>
      <c r="E79" s="297"/>
      <c r="F79" s="299"/>
      <c r="G79" s="299">
        <f>G80+G82</f>
        <v>6750</v>
      </c>
      <c r="H79" s="299">
        <f>H80+H82</f>
        <v>6800</v>
      </c>
    </row>
    <row r="80" spans="1:8" ht="15.75">
      <c r="A80" s="296" t="s">
        <v>255</v>
      </c>
      <c r="B80" s="297" t="s">
        <v>429</v>
      </c>
      <c r="C80" s="298"/>
      <c r="D80" s="298"/>
      <c r="E80" s="297"/>
      <c r="F80" s="299"/>
      <c r="G80" s="299">
        <f>G81</f>
        <v>5881.6</v>
      </c>
      <c r="H80" s="299">
        <f>H81</f>
        <v>5689.3</v>
      </c>
    </row>
    <row r="81" spans="1:8" ht="15.75">
      <c r="A81" s="296" t="s">
        <v>714</v>
      </c>
      <c r="B81" s="297" t="s">
        <v>429</v>
      </c>
      <c r="C81" s="298" t="s">
        <v>722</v>
      </c>
      <c r="D81" s="298" t="s">
        <v>393</v>
      </c>
      <c r="E81" s="297">
        <v>610</v>
      </c>
      <c r="F81" s="299"/>
      <c r="G81" s="299">
        <f>'Приложение 10'!Q133</f>
        <v>5881.6</v>
      </c>
      <c r="H81" s="299">
        <f>'Приложение 10'!R133</f>
        <v>5689.3</v>
      </c>
    </row>
    <row r="82" spans="1:8" ht="78.75">
      <c r="A82" s="5" t="s">
        <v>61</v>
      </c>
      <c r="B82" s="297" t="s">
        <v>63</v>
      </c>
      <c r="C82" s="298"/>
      <c r="D82" s="298"/>
      <c r="E82" s="297"/>
      <c r="F82" s="299"/>
      <c r="G82" s="299">
        <f>G83</f>
        <v>868.4</v>
      </c>
      <c r="H82" s="299">
        <f>H83</f>
        <v>1110.7</v>
      </c>
    </row>
    <row r="83" spans="1:8" ht="15.75">
      <c r="A83" s="5" t="s">
        <v>714</v>
      </c>
      <c r="B83" s="297" t="s">
        <v>63</v>
      </c>
      <c r="C83" s="298" t="s">
        <v>722</v>
      </c>
      <c r="D83" s="298" t="s">
        <v>393</v>
      </c>
      <c r="E83" s="297">
        <v>610</v>
      </c>
      <c r="F83" s="299"/>
      <c r="G83" s="299">
        <f>'Приложение 10'!Q135</f>
        <v>868.4</v>
      </c>
      <c r="H83" s="299">
        <f>'Приложение 10'!R135</f>
        <v>1110.7</v>
      </c>
    </row>
    <row r="84" spans="1:8" ht="63">
      <c r="A84" s="296" t="s">
        <v>279</v>
      </c>
      <c r="B84" s="297" t="s">
        <v>430</v>
      </c>
      <c r="C84" s="298"/>
      <c r="D84" s="298"/>
      <c r="E84" s="297"/>
      <c r="F84" s="299"/>
      <c r="G84" s="299">
        <f>G85</f>
        <v>350</v>
      </c>
      <c r="H84" s="299">
        <f>H85</f>
        <v>300</v>
      </c>
    </row>
    <row r="85" spans="1:8" ht="15.75">
      <c r="A85" s="296" t="s">
        <v>255</v>
      </c>
      <c r="B85" s="297" t="s">
        <v>431</v>
      </c>
      <c r="C85" s="298"/>
      <c r="D85" s="298"/>
      <c r="E85" s="297"/>
      <c r="F85" s="299"/>
      <c r="G85" s="299">
        <f>G86</f>
        <v>350</v>
      </c>
      <c r="H85" s="299">
        <f>H86</f>
        <v>300</v>
      </c>
    </row>
    <row r="86" spans="1:8" ht="15.75">
      <c r="A86" s="296" t="s">
        <v>714</v>
      </c>
      <c r="B86" s="297" t="s">
        <v>431</v>
      </c>
      <c r="C86" s="298" t="s">
        <v>722</v>
      </c>
      <c r="D86" s="298" t="s">
        <v>393</v>
      </c>
      <c r="E86" s="297">
        <v>610</v>
      </c>
      <c r="F86" s="299"/>
      <c r="G86" s="299">
        <f>'Приложение 10'!Q138</f>
        <v>350</v>
      </c>
      <c r="H86" s="299">
        <f>'Приложение 10'!R138</f>
        <v>300</v>
      </c>
    </row>
    <row r="87" spans="1:8" ht="63">
      <c r="A87" s="287" t="s">
        <v>190</v>
      </c>
      <c r="B87" s="273" t="s">
        <v>191</v>
      </c>
      <c r="C87" s="274"/>
      <c r="D87" s="274"/>
      <c r="E87" s="273"/>
      <c r="F87" s="277">
        <f>F97+F37+F40</f>
        <v>18661.3</v>
      </c>
      <c r="G87" s="277">
        <f>G96+G88+G93</f>
        <v>63341.3</v>
      </c>
      <c r="H87" s="277">
        <f>H96+H88+H93</f>
        <v>1000</v>
      </c>
    </row>
    <row r="88" spans="1:8" ht="63">
      <c r="A88" s="18" t="s">
        <v>301</v>
      </c>
      <c r="B88" s="297" t="s">
        <v>194</v>
      </c>
      <c r="C88" s="298"/>
      <c r="D88" s="298"/>
      <c r="E88" s="352"/>
      <c r="F88" s="299"/>
      <c r="G88" s="299">
        <f>G89+G91</f>
        <v>20000</v>
      </c>
      <c r="H88" s="299">
        <f>H89</f>
        <v>500</v>
      </c>
    </row>
    <row r="89" spans="1:8" ht="63">
      <c r="A89" s="116" t="s">
        <v>862</v>
      </c>
      <c r="B89" s="297" t="s">
        <v>195</v>
      </c>
      <c r="C89" s="298"/>
      <c r="D89" s="298"/>
      <c r="E89" s="352"/>
      <c r="F89" s="299"/>
      <c r="G89" s="299">
        <f>G90</f>
        <v>0</v>
      </c>
      <c r="H89" s="299">
        <f>H90</f>
        <v>500</v>
      </c>
    </row>
    <row r="90" spans="1:8" ht="47.25">
      <c r="A90" s="116" t="s">
        <v>712</v>
      </c>
      <c r="B90" s="297" t="s">
        <v>195</v>
      </c>
      <c r="C90" s="298" t="s">
        <v>722</v>
      </c>
      <c r="D90" s="298" t="s">
        <v>394</v>
      </c>
      <c r="E90" s="353" t="s">
        <v>196</v>
      </c>
      <c r="F90" s="299"/>
      <c r="G90" s="299">
        <f>'Приложение 10'!Q182</f>
        <v>0</v>
      </c>
      <c r="H90" s="299">
        <f>'Приложение 10'!R182</f>
        <v>500</v>
      </c>
    </row>
    <row r="91" spans="1:8" ht="47.25">
      <c r="A91" s="116" t="s">
        <v>857</v>
      </c>
      <c r="B91" s="297" t="s">
        <v>858</v>
      </c>
      <c r="C91" s="298"/>
      <c r="D91" s="298"/>
      <c r="E91" s="353"/>
      <c r="F91" s="299"/>
      <c r="G91" s="299">
        <f>G92</f>
        <v>20000</v>
      </c>
      <c r="H91" s="299">
        <v>0</v>
      </c>
    </row>
    <row r="92" spans="1:8" ht="47.25">
      <c r="A92" s="116" t="s">
        <v>712</v>
      </c>
      <c r="B92" s="297" t="s">
        <v>858</v>
      </c>
      <c r="C92" s="298" t="s">
        <v>722</v>
      </c>
      <c r="D92" s="298" t="s">
        <v>394</v>
      </c>
      <c r="E92" s="353" t="s">
        <v>196</v>
      </c>
      <c r="F92" s="299"/>
      <c r="G92" s="299">
        <f>'Приложение 10'!Q184</f>
        <v>20000</v>
      </c>
      <c r="H92" s="299">
        <v>0</v>
      </c>
    </row>
    <row r="93" spans="1:8" ht="63">
      <c r="A93" s="116" t="s">
        <v>303</v>
      </c>
      <c r="B93" s="297" t="s">
        <v>197</v>
      </c>
      <c r="C93" s="298"/>
      <c r="D93" s="298"/>
      <c r="E93" s="352"/>
      <c r="F93" s="299"/>
      <c r="G93" s="299">
        <f>G94</f>
        <v>0</v>
      </c>
      <c r="H93" s="299">
        <f>H94</f>
        <v>500</v>
      </c>
    </row>
    <row r="94" spans="1:8" ht="15.75">
      <c r="A94" s="116" t="s">
        <v>262</v>
      </c>
      <c r="B94" s="297" t="s">
        <v>198</v>
      </c>
      <c r="C94" s="298"/>
      <c r="D94" s="298"/>
      <c r="E94" s="352"/>
      <c r="F94" s="299"/>
      <c r="G94" s="299">
        <f>G95</f>
        <v>0</v>
      </c>
      <c r="H94" s="299">
        <f>H95</f>
        <v>500</v>
      </c>
    </row>
    <row r="95" spans="1:8" ht="47.25">
      <c r="A95" s="116" t="s">
        <v>712</v>
      </c>
      <c r="B95" s="297" t="s">
        <v>198</v>
      </c>
      <c r="C95" s="298" t="s">
        <v>722</v>
      </c>
      <c r="D95" s="298" t="s">
        <v>395</v>
      </c>
      <c r="E95" s="352">
        <v>240</v>
      </c>
      <c r="F95" s="299"/>
      <c r="G95" s="299">
        <f>'Приложение 10'!Q210</f>
        <v>0</v>
      </c>
      <c r="H95" s="299">
        <f>'Приложение 10'!R210</f>
        <v>500</v>
      </c>
    </row>
    <row r="96" spans="1:8" ht="63">
      <c r="A96" s="296" t="s">
        <v>119</v>
      </c>
      <c r="B96" s="297" t="s">
        <v>192</v>
      </c>
      <c r="C96" s="298"/>
      <c r="D96" s="298"/>
      <c r="E96" s="297"/>
      <c r="F96" s="299"/>
      <c r="G96" s="299">
        <f>G97</f>
        <v>43341.3</v>
      </c>
      <c r="H96" s="299">
        <f>H97</f>
        <v>0</v>
      </c>
    </row>
    <row r="97" spans="1:8" ht="47.25">
      <c r="A97" s="288" t="s">
        <v>657</v>
      </c>
      <c r="B97" s="297" t="s">
        <v>193</v>
      </c>
      <c r="C97" s="275"/>
      <c r="D97" s="275"/>
      <c r="E97" s="270"/>
      <c r="F97" s="276">
        <f>F98</f>
        <v>16859.199999999997</v>
      </c>
      <c r="G97" s="276">
        <f>G98</f>
        <v>43341.3</v>
      </c>
      <c r="H97" s="276">
        <f>H98</f>
        <v>0</v>
      </c>
    </row>
    <row r="98" spans="1:8" ht="47.25">
      <c r="A98" s="288" t="s">
        <v>712</v>
      </c>
      <c r="B98" s="297" t="s">
        <v>193</v>
      </c>
      <c r="C98" s="275" t="s">
        <v>722</v>
      </c>
      <c r="D98" s="275" t="s">
        <v>394</v>
      </c>
      <c r="E98" s="270">
        <v>240</v>
      </c>
      <c r="F98" s="276">
        <f>'Приложение 9'!Q65</f>
        <v>16859.199999999997</v>
      </c>
      <c r="G98" s="276">
        <f>'Приложение 10'!Q186</f>
        <v>43341.3</v>
      </c>
      <c r="H98" s="276">
        <f>'Приложение 10'!R186</f>
        <v>0</v>
      </c>
    </row>
    <row r="99" spans="1:8" s="282" customFormat="1" ht="78.75">
      <c r="A99" s="287" t="s">
        <v>700</v>
      </c>
      <c r="B99" s="273" t="s">
        <v>432</v>
      </c>
      <c r="C99" s="274"/>
      <c r="D99" s="274"/>
      <c r="E99" s="273"/>
      <c r="F99" s="277"/>
      <c r="G99" s="277">
        <f>G100+G104+G113</f>
        <v>37991</v>
      </c>
      <c r="H99" s="277">
        <f>H100+H104+H113</f>
        <v>38084</v>
      </c>
    </row>
    <row r="100" spans="1:8" ht="63">
      <c r="A100" s="296" t="s">
        <v>377</v>
      </c>
      <c r="B100" s="297" t="s">
        <v>433</v>
      </c>
      <c r="C100" s="298"/>
      <c r="D100" s="298"/>
      <c r="E100" s="297"/>
      <c r="F100" s="299"/>
      <c r="G100" s="299">
        <f aca="true" t="shared" si="2" ref="G100:H102">G101</f>
        <v>50</v>
      </c>
      <c r="H100" s="299">
        <f t="shared" si="2"/>
        <v>50</v>
      </c>
    </row>
    <row r="101" spans="1:8" ht="78.75">
      <c r="A101" s="296" t="s">
        <v>37</v>
      </c>
      <c r="B101" s="297" t="s">
        <v>434</v>
      </c>
      <c r="C101" s="298"/>
      <c r="D101" s="298"/>
      <c r="E101" s="297"/>
      <c r="F101" s="299"/>
      <c r="G101" s="299">
        <f t="shared" si="2"/>
        <v>50</v>
      </c>
      <c r="H101" s="299">
        <f t="shared" si="2"/>
        <v>50</v>
      </c>
    </row>
    <row r="102" spans="1:8" ht="31.5">
      <c r="A102" s="296" t="s">
        <v>335</v>
      </c>
      <c r="B102" s="297" t="s">
        <v>435</v>
      </c>
      <c r="C102" s="298"/>
      <c r="D102" s="298"/>
      <c r="E102" s="297"/>
      <c r="F102" s="299"/>
      <c r="G102" s="299">
        <f t="shared" si="2"/>
        <v>50</v>
      </c>
      <c r="H102" s="299">
        <f t="shared" si="2"/>
        <v>50</v>
      </c>
    </row>
    <row r="103" spans="1:8" ht="47.25">
      <c r="A103" s="296" t="s">
        <v>712</v>
      </c>
      <c r="B103" s="297" t="s">
        <v>435</v>
      </c>
      <c r="C103" s="298" t="s">
        <v>397</v>
      </c>
      <c r="D103" s="298" t="s">
        <v>396</v>
      </c>
      <c r="E103" s="297">
        <v>240</v>
      </c>
      <c r="F103" s="299"/>
      <c r="G103" s="299">
        <f>'Приложение 10'!Q351</f>
        <v>50</v>
      </c>
      <c r="H103" s="299">
        <f>'Приложение 10'!R351</f>
        <v>50</v>
      </c>
    </row>
    <row r="104" spans="1:8" ht="78.75">
      <c r="A104" s="296" t="s">
        <v>706</v>
      </c>
      <c r="B104" s="297" t="s">
        <v>436</v>
      </c>
      <c r="C104" s="298"/>
      <c r="D104" s="298"/>
      <c r="E104" s="297"/>
      <c r="F104" s="299"/>
      <c r="G104" s="299">
        <f>G105+G110</f>
        <v>17823.8</v>
      </c>
      <c r="H104" s="299">
        <f>H105+H110</f>
        <v>17916.8</v>
      </c>
    </row>
    <row r="105" spans="1:8" ht="47.25">
      <c r="A105" s="296" t="s">
        <v>41</v>
      </c>
      <c r="B105" s="297" t="s">
        <v>437</v>
      </c>
      <c r="C105" s="298"/>
      <c r="D105" s="298"/>
      <c r="E105" s="297"/>
      <c r="F105" s="299"/>
      <c r="G105" s="299">
        <f>G106+G108</f>
        <v>5252.3</v>
      </c>
      <c r="H105" s="299">
        <f>H106+H108</f>
        <v>5735.7</v>
      </c>
    </row>
    <row r="106" spans="1:8" ht="141.75">
      <c r="A106" s="296" t="s">
        <v>487</v>
      </c>
      <c r="B106" s="297" t="s">
        <v>438</v>
      </c>
      <c r="C106" s="298"/>
      <c r="D106" s="298"/>
      <c r="E106" s="297"/>
      <c r="F106" s="299"/>
      <c r="G106" s="299">
        <f>G107</f>
        <v>2747.9</v>
      </c>
      <c r="H106" s="299">
        <f>H107</f>
        <v>2974.6</v>
      </c>
    </row>
    <row r="107" spans="1:8" ht="15.75">
      <c r="A107" s="296" t="s">
        <v>718</v>
      </c>
      <c r="B107" s="297" t="s">
        <v>438</v>
      </c>
      <c r="C107" s="298" t="s">
        <v>397</v>
      </c>
      <c r="D107" s="298" t="s">
        <v>398</v>
      </c>
      <c r="E107" s="297">
        <v>510</v>
      </c>
      <c r="F107" s="299"/>
      <c r="G107" s="299">
        <f>'Приложение 10'!Q388</f>
        <v>2747.9</v>
      </c>
      <c r="H107" s="299">
        <f>'Приложение 10'!R388</f>
        <v>2974.6</v>
      </c>
    </row>
    <row r="108" spans="1:8" ht="31.5">
      <c r="A108" s="296" t="s">
        <v>55</v>
      </c>
      <c r="B108" s="297" t="s">
        <v>89</v>
      </c>
      <c r="C108" s="298"/>
      <c r="D108" s="298"/>
      <c r="E108" s="297"/>
      <c r="F108" s="299"/>
      <c r="G108" s="299">
        <f>G109</f>
        <v>2504.4</v>
      </c>
      <c r="H108" s="299">
        <f>H109</f>
        <v>2761.1</v>
      </c>
    </row>
    <row r="109" spans="1:8" ht="15.75">
      <c r="A109" s="296" t="s">
        <v>718</v>
      </c>
      <c r="B109" s="297" t="s">
        <v>89</v>
      </c>
      <c r="C109" s="298" t="s">
        <v>397</v>
      </c>
      <c r="D109" s="298" t="s">
        <v>398</v>
      </c>
      <c r="E109" s="297">
        <v>510</v>
      </c>
      <c r="F109" s="299"/>
      <c r="G109" s="299">
        <f>'Приложение 10'!Q390</f>
        <v>2504.4</v>
      </c>
      <c r="H109" s="299">
        <f>'Приложение 10'!R390</f>
        <v>2761.1</v>
      </c>
    </row>
    <row r="110" spans="1:8" ht="47.25">
      <c r="A110" s="296" t="s">
        <v>44</v>
      </c>
      <c r="B110" s="297" t="s">
        <v>439</v>
      </c>
      <c r="C110" s="298"/>
      <c r="D110" s="298"/>
      <c r="E110" s="297"/>
      <c r="F110" s="299"/>
      <c r="G110" s="299">
        <f>G111</f>
        <v>12571.5</v>
      </c>
      <c r="H110" s="299">
        <f>H111</f>
        <v>12181.1</v>
      </c>
    </row>
    <row r="111" spans="1:8" ht="35.25" customHeight="1">
      <c r="A111" s="296" t="s">
        <v>42</v>
      </c>
      <c r="B111" s="297" t="s">
        <v>90</v>
      </c>
      <c r="C111" s="298"/>
      <c r="D111" s="298"/>
      <c r="E111" s="297"/>
      <c r="F111" s="299"/>
      <c r="G111" s="299">
        <f>G112</f>
        <v>12571.5</v>
      </c>
      <c r="H111" s="299">
        <f>H112</f>
        <v>12181.1</v>
      </c>
    </row>
    <row r="112" spans="1:8" ht="15.75">
      <c r="A112" s="296" t="s">
        <v>718</v>
      </c>
      <c r="B112" s="297" t="s">
        <v>90</v>
      </c>
      <c r="C112" s="298" t="s">
        <v>397</v>
      </c>
      <c r="D112" s="298" t="s">
        <v>399</v>
      </c>
      <c r="E112" s="297">
        <v>510</v>
      </c>
      <c r="F112" s="299"/>
      <c r="G112" s="299">
        <f>'Приложение 10'!Q396</f>
        <v>12571.5</v>
      </c>
      <c r="H112" s="299">
        <f>'Приложение 10'!R396</f>
        <v>12181.1</v>
      </c>
    </row>
    <row r="113" spans="1:8" ht="78.75">
      <c r="A113" s="296" t="s">
        <v>707</v>
      </c>
      <c r="B113" s="297" t="s">
        <v>440</v>
      </c>
      <c r="C113" s="298"/>
      <c r="D113" s="298"/>
      <c r="E113" s="297"/>
      <c r="F113" s="299"/>
      <c r="G113" s="299">
        <f>G114+G119</f>
        <v>20117.2</v>
      </c>
      <c r="H113" s="299">
        <f>H114+H119</f>
        <v>20117.2</v>
      </c>
    </row>
    <row r="114" spans="1:8" ht="126">
      <c r="A114" s="296" t="s">
        <v>693</v>
      </c>
      <c r="B114" s="297" t="s">
        <v>441</v>
      </c>
      <c r="C114" s="298"/>
      <c r="D114" s="298"/>
      <c r="E114" s="297"/>
      <c r="F114" s="299"/>
      <c r="G114" s="299">
        <f>G115</f>
        <v>6721.8</v>
      </c>
      <c r="H114" s="299">
        <f>H115</f>
        <v>6721.8</v>
      </c>
    </row>
    <row r="115" spans="1:8" ht="31.5">
      <c r="A115" s="296" t="s">
        <v>335</v>
      </c>
      <c r="B115" s="297" t="s">
        <v>442</v>
      </c>
      <c r="C115" s="298"/>
      <c r="D115" s="298"/>
      <c r="E115" s="297"/>
      <c r="F115" s="299"/>
      <c r="G115" s="299">
        <f>SUM(G116:G118)</f>
        <v>6721.8</v>
      </c>
      <c r="H115" s="299">
        <f>SUM(H116:H118)</f>
        <v>6721.8</v>
      </c>
    </row>
    <row r="116" spans="1:8" ht="37.5" customHeight="1">
      <c r="A116" s="296" t="s">
        <v>526</v>
      </c>
      <c r="B116" s="297" t="s">
        <v>442</v>
      </c>
      <c r="C116" s="298" t="s">
        <v>397</v>
      </c>
      <c r="D116" s="298" t="s">
        <v>396</v>
      </c>
      <c r="E116" s="297">
        <v>120</v>
      </c>
      <c r="F116" s="299"/>
      <c r="G116" s="299">
        <f>'Приложение 10'!Q355</f>
        <v>4742.8</v>
      </c>
      <c r="H116" s="299">
        <f>'Приложение 10'!R355</f>
        <v>4742.8</v>
      </c>
    </row>
    <row r="117" spans="1:8" ht="47.25">
      <c r="A117" s="296" t="s">
        <v>712</v>
      </c>
      <c r="B117" s="297" t="s">
        <v>442</v>
      </c>
      <c r="C117" s="298" t="s">
        <v>397</v>
      </c>
      <c r="D117" s="298" t="s">
        <v>396</v>
      </c>
      <c r="E117" s="297">
        <v>240</v>
      </c>
      <c r="F117" s="299"/>
      <c r="G117" s="299">
        <f>'Приложение 10'!Q356</f>
        <v>1955.9999999999998</v>
      </c>
      <c r="H117" s="299">
        <f>'Приложение 10'!R356</f>
        <v>1955.9999999999998</v>
      </c>
    </row>
    <row r="118" spans="1:8" ht="15.75">
      <c r="A118" s="296" t="s">
        <v>713</v>
      </c>
      <c r="B118" s="297" t="s">
        <v>442</v>
      </c>
      <c r="C118" s="298" t="s">
        <v>397</v>
      </c>
      <c r="D118" s="298" t="s">
        <v>396</v>
      </c>
      <c r="E118" s="297">
        <v>850</v>
      </c>
      <c r="F118" s="299"/>
      <c r="G118" s="299">
        <f>'Приложение 10'!Q357</f>
        <v>23</v>
      </c>
      <c r="H118" s="299">
        <f>'Приложение 10'!R357</f>
        <v>23</v>
      </c>
    </row>
    <row r="119" spans="1:8" ht="63">
      <c r="A119" s="296" t="s">
        <v>708</v>
      </c>
      <c r="B119" s="297" t="s">
        <v>443</v>
      </c>
      <c r="C119" s="298"/>
      <c r="D119" s="298"/>
      <c r="E119" s="297"/>
      <c r="F119" s="299"/>
      <c r="G119" s="299">
        <f>G120</f>
        <v>13395.400000000001</v>
      </c>
      <c r="H119" s="299">
        <f>H120</f>
        <v>13395.400000000001</v>
      </c>
    </row>
    <row r="120" spans="1:8" ht="47.25">
      <c r="A120" s="296" t="s">
        <v>337</v>
      </c>
      <c r="B120" s="297" t="s">
        <v>444</v>
      </c>
      <c r="C120" s="298"/>
      <c r="D120" s="298"/>
      <c r="E120" s="297"/>
      <c r="F120" s="299"/>
      <c r="G120" s="299">
        <f>SUM(G121:G123)</f>
        <v>13395.400000000001</v>
      </c>
      <c r="H120" s="299">
        <f>SUM(H121:H123)</f>
        <v>13395.400000000001</v>
      </c>
    </row>
    <row r="121" spans="1:8" ht="31.5">
      <c r="A121" s="296" t="s">
        <v>715</v>
      </c>
      <c r="B121" s="297" t="s">
        <v>444</v>
      </c>
      <c r="C121" s="298" t="s">
        <v>397</v>
      </c>
      <c r="D121" s="298" t="s">
        <v>383</v>
      </c>
      <c r="E121" s="297">
        <v>110</v>
      </c>
      <c r="F121" s="299"/>
      <c r="G121" s="299">
        <f>'Приложение 10'!Q369</f>
        <v>11244.7</v>
      </c>
      <c r="H121" s="299">
        <f>'Приложение 10'!R369</f>
        <v>11244.7</v>
      </c>
    </row>
    <row r="122" spans="1:8" ht="47.25">
      <c r="A122" s="296" t="s">
        <v>712</v>
      </c>
      <c r="B122" s="297" t="s">
        <v>444</v>
      </c>
      <c r="C122" s="298" t="s">
        <v>397</v>
      </c>
      <c r="D122" s="298" t="s">
        <v>383</v>
      </c>
      <c r="E122" s="297">
        <v>240</v>
      </c>
      <c r="F122" s="299"/>
      <c r="G122" s="299">
        <f>'Приложение 10'!Q370</f>
        <v>2149.7</v>
      </c>
      <c r="H122" s="299">
        <f>'Приложение 10'!R370</f>
        <v>2149.7</v>
      </c>
    </row>
    <row r="123" spans="1:8" ht="15.75">
      <c r="A123" s="296" t="s">
        <v>713</v>
      </c>
      <c r="B123" s="297" t="s">
        <v>444</v>
      </c>
      <c r="C123" s="298" t="s">
        <v>397</v>
      </c>
      <c r="D123" s="298" t="s">
        <v>383</v>
      </c>
      <c r="E123" s="297">
        <v>850</v>
      </c>
      <c r="F123" s="299"/>
      <c r="G123" s="299">
        <f>'Приложение 10'!Q371</f>
        <v>1</v>
      </c>
      <c r="H123" s="299">
        <f>'Приложение 10'!R371</f>
        <v>1</v>
      </c>
    </row>
    <row r="124" spans="1:8" s="282" customFormat="1" ht="63">
      <c r="A124" s="125" t="s">
        <v>658</v>
      </c>
      <c r="B124" s="273" t="s">
        <v>474</v>
      </c>
      <c r="C124" s="274"/>
      <c r="D124" s="274"/>
      <c r="E124" s="273"/>
      <c r="F124" s="277" t="e">
        <f>F125+F134+#REF!+F139</f>
        <v>#REF!</v>
      </c>
      <c r="G124" s="277">
        <f>G125+G134+G139</f>
        <v>36683.5</v>
      </c>
      <c r="H124" s="277">
        <f>H125+H134+H139</f>
        <v>34972.6</v>
      </c>
    </row>
    <row r="125" spans="1:8" ht="63">
      <c r="A125" s="24" t="s">
        <v>294</v>
      </c>
      <c r="B125" s="297" t="s">
        <v>475</v>
      </c>
      <c r="C125" s="298"/>
      <c r="D125" s="298"/>
      <c r="E125" s="297"/>
      <c r="F125" s="299">
        <f>F126+F130+F132</f>
        <v>11908.1</v>
      </c>
      <c r="G125" s="299">
        <f>G126+G130+G132+G128</f>
        <v>14682.6</v>
      </c>
      <c r="H125" s="299">
        <f>H126+H130+H132+H128</f>
        <v>14521.6</v>
      </c>
    </row>
    <row r="126" spans="1:8" ht="15.75">
      <c r="A126" s="24" t="s">
        <v>296</v>
      </c>
      <c r="B126" s="297" t="s">
        <v>476</v>
      </c>
      <c r="C126" s="298"/>
      <c r="D126" s="298"/>
      <c r="E126" s="297"/>
      <c r="F126" s="299">
        <f>F127</f>
        <v>9865.6</v>
      </c>
      <c r="G126" s="299">
        <f>G127</f>
        <v>10261.7</v>
      </c>
      <c r="H126" s="299">
        <f>H127</f>
        <v>9638.6</v>
      </c>
    </row>
    <row r="127" spans="1:8" ht="15.75">
      <c r="A127" s="296" t="s">
        <v>714</v>
      </c>
      <c r="B127" s="297" t="s">
        <v>476</v>
      </c>
      <c r="C127" s="298" t="s">
        <v>722</v>
      </c>
      <c r="D127" s="298" t="s">
        <v>477</v>
      </c>
      <c r="E127" s="297">
        <v>610</v>
      </c>
      <c r="F127" s="299">
        <f>'Приложение 9'!Q269</f>
        <v>9865.6</v>
      </c>
      <c r="G127" s="299">
        <f>'Приложение 10'!Q237</f>
        <v>10261.7</v>
      </c>
      <c r="H127" s="299">
        <f>'Приложение 10'!R237</f>
        <v>9638.6</v>
      </c>
    </row>
    <row r="128" spans="1:8" ht="78.75">
      <c r="A128" s="257" t="s">
        <v>61</v>
      </c>
      <c r="B128" s="297" t="s">
        <v>65</v>
      </c>
      <c r="C128" s="275"/>
      <c r="D128" s="275"/>
      <c r="E128" s="270"/>
      <c r="F128" s="299"/>
      <c r="G128" s="299">
        <f>G129</f>
        <v>1656.9</v>
      </c>
      <c r="H128" s="299">
        <f>H129</f>
        <v>2119</v>
      </c>
    </row>
    <row r="129" spans="1:8" ht="15.75">
      <c r="A129" s="257" t="s">
        <v>714</v>
      </c>
      <c r="B129" s="297" t="s">
        <v>65</v>
      </c>
      <c r="C129" s="298" t="s">
        <v>722</v>
      </c>
      <c r="D129" s="298" t="s">
        <v>477</v>
      </c>
      <c r="E129" s="270">
        <v>610</v>
      </c>
      <c r="F129" s="299"/>
      <c r="G129" s="299">
        <f>'Приложение 10'!Q239</f>
        <v>1656.9</v>
      </c>
      <c r="H129" s="299">
        <f>'Приложение 10'!R239</f>
        <v>2119</v>
      </c>
    </row>
    <row r="130" spans="1:8" ht="47.25">
      <c r="A130" s="5" t="s">
        <v>805</v>
      </c>
      <c r="B130" s="297" t="s">
        <v>478</v>
      </c>
      <c r="C130" s="298"/>
      <c r="D130" s="298"/>
      <c r="E130" s="297"/>
      <c r="F130" s="299">
        <f>F131</f>
        <v>340</v>
      </c>
      <c r="G130" s="299">
        <f>G131</f>
        <v>340</v>
      </c>
      <c r="H130" s="299">
        <f>H131</f>
        <v>340</v>
      </c>
    </row>
    <row r="131" spans="1:8" ht="15.75">
      <c r="A131" s="296" t="s">
        <v>714</v>
      </c>
      <c r="B131" s="297" t="s">
        <v>478</v>
      </c>
      <c r="C131" s="298" t="s">
        <v>722</v>
      </c>
      <c r="D131" s="298" t="s">
        <v>477</v>
      </c>
      <c r="E131" s="297">
        <v>610</v>
      </c>
      <c r="F131" s="299">
        <f>'Приложение 9'!Q275</f>
        <v>340</v>
      </c>
      <c r="G131" s="299">
        <f>'Приложение 10'!Q241</f>
        <v>340</v>
      </c>
      <c r="H131" s="299">
        <f>'Приложение 10'!R241</f>
        <v>340</v>
      </c>
    </row>
    <row r="132" spans="1:8" ht="47.25">
      <c r="A132" s="5" t="s">
        <v>668</v>
      </c>
      <c r="B132" s="297" t="s">
        <v>479</v>
      </c>
      <c r="C132" s="298"/>
      <c r="D132" s="298"/>
      <c r="E132" s="297"/>
      <c r="F132" s="299">
        <f>F133</f>
        <v>1702.5</v>
      </c>
      <c r="G132" s="299">
        <f>G133</f>
        <v>2424</v>
      </c>
      <c r="H132" s="299">
        <f>H133</f>
        <v>2424</v>
      </c>
    </row>
    <row r="133" spans="1:8" ht="15.75">
      <c r="A133" s="296" t="s">
        <v>714</v>
      </c>
      <c r="B133" s="297" t="s">
        <v>479</v>
      </c>
      <c r="C133" s="298" t="s">
        <v>722</v>
      </c>
      <c r="D133" s="298" t="s">
        <v>477</v>
      </c>
      <c r="E133" s="297">
        <v>610</v>
      </c>
      <c r="F133" s="299">
        <f>'Приложение 9'!Q277</f>
        <v>1702.5</v>
      </c>
      <c r="G133" s="299">
        <f>'Приложение 10'!Q243</f>
        <v>2424</v>
      </c>
      <c r="H133" s="299">
        <f>'Приложение 10'!R243</f>
        <v>2424</v>
      </c>
    </row>
    <row r="134" spans="1:8" ht="63">
      <c r="A134" s="5" t="s">
        <v>669</v>
      </c>
      <c r="B134" s="297" t="s">
        <v>480</v>
      </c>
      <c r="C134" s="298"/>
      <c r="D134" s="298"/>
      <c r="E134" s="297"/>
      <c r="F134" s="299">
        <f aca="true" t="shared" si="3" ref="F134:H135">F135</f>
        <v>9469.6</v>
      </c>
      <c r="G134" s="299">
        <f>G135+G137</f>
        <v>14000.900000000001</v>
      </c>
      <c r="H134" s="299">
        <f>H135+H137</f>
        <v>12451</v>
      </c>
    </row>
    <row r="135" spans="1:8" ht="15.75">
      <c r="A135" s="5" t="s">
        <v>255</v>
      </c>
      <c r="B135" s="297" t="s">
        <v>481</v>
      </c>
      <c r="C135" s="298"/>
      <c r="D135" s="298"/>
      <c r="E135" s="297"/>
      <c r="F135" s="299">
        <f t="shared" si="3"/>
        <v>9469.6</v>
      </c>
      <c r="G135" s="299">
        <f t="shared" si="3"/>
        <v>10383.2</v>
      </c>
      <c r="H135" s="299">
        <f t="shared" si="3"/>
        <v>7824.2</v>
      </c>
    </row>
    <row r="136" spans="1:8" ht="15.75">
      <c r="A136" s="296" t="s">
        <v>714</v>
      </c>
      <c r="B136" s="297" t="s">
        <v>481</v>
      </c>
      <c r="C136" s="298" t="s">
        <v>722</v>
      </c>
      <c r="D136" s="298" t="s">
        <v>477</v>
      </c>
      <c r="E136" s="297">
        <v>610</v>
      </c>
      <c r="F136" s="299">
        <f>'Приложение 9'!Q280</f>
        <v>9469.6</v>
      </c>
      <c r="G136" s="299">
        <f>'Приложение 10'!Q246</f>
        <v>10383.2</v>
      </c>
      <c r="H136" s="299">
        <f>'Приложение 10'!R246</f>
        <v>7824.2</v>
      </c>
    </row>
    <row r="137" spans="1:8" ht="78.75">
      <c r="A137" s="5" t="s">
        <v>61</v>
      </c>
      <c r="B137" s="297" t="s">
        <v>66</v>
      </c>
      <c r="C137" s="298"/>
      <c r="D137" s="298"/>
      <c r="E137" s="297"/>
      <c r="F137" s="299"/>
      <c r="G137" s="299">
        <f>G138</f>
        <v>3617.7</v>
      </c>
      <c r="H137" s="299">
        <f>H138</f>
        <v>4626.8</v>
      </c>
    </row>
    <row r="138" spans="1:8" ht="15.75">
      <c r="A138" s="5" t="s">
        <v>714</v>
      </c>
      <c r="B138" s="297" t="s">
        <v>66</v>
      </c>
      <c r="C138" s="298" t="s">
        <v>722</v>
      </c>
      <c r="D138" s="298" t="s">
        <v>477</v>
      </c>
      <c r="E138" s="297">
        <v>610</v>
      </c>
      <c r="F138" s="299"/>
      <c r="G138" s="299">
        <f>'Приложение 10'!Q248</f>
        <v>3617.7</v>
      </c>
      <c r="H138" s="299">
        <f>'Приложение 10'!R248</f>
        <v>4626.8</v>
      </c>
    </row>
    <row r="139" spans="1:8" ht="78.75">
      <c r="A139" s="29" t="s">
        <v>660</v>
      </c>
      <c r="B139" s="297" t="s">
        <v>485</v>
      </c>
      <c r="C139" s="298"/>
      <c r="D139" s="298"/>
      <c r="E139" s="297"/>
      <c r="F139" s="299">
        <f aca="true" t="shared" si="4" ref="F139:H140">F140</f>
        <v>5758.1</v>
      </c>
      <c r="G139" s="299">
        <f>G140+G142</f>
        <v>8000</v>
      </c>
      <c r="H139" s="299">
        <f>H140+H142</f>
        <v>8000</v>
      </c>
    </row>
    <row r="140" spans="1:8" ht="31.5">
      <c r="A140" s="29" t="s">
        <v>328</v>
      </c>
      <c r="B140" s="297" t="s">
        <v>486</v>
      </c>
      <c r="C140" s="298"/>
      <c r="D140" s="298"/>
      <c r="E140" s="297"/>
      <c r="F140" s="299">
        <f t="shared" si="4"/>
        <v>5758.1</v>
      </c>
      <c r="G140" s="299">
        <f t="shared" si="4"/>
        <v>6506.6</v>
      </c>
      <c r="H140" s="299">
        <f t="shared" si="4"/>
        <v>6179.4</v>
      </c>
    </row>
    <row r="141" spans="1:8" ht="15.75">
      <c r="A141" s="296" t="s">
        <v>714</v>
      </c>
      <c r="B141" s="297" t="s">
        <v>486</v>
      </c>
      <c r="C141" s="298" t="s">
        <v>722</v>
      </c>
      <c r="D141" s="298" t="s">
        <v>392</v>
      </c>
      <c r="E141" s="297">
        <v>610</v>
      </c>
      <c r="F141" s="299">
        <f>'Приложение 9'!Q246</f>
        <v>5758.1</v>
      </c>
      <c r="G141" s="299">
        <f>'Приложение 10'!Q216</f>
        <v>6506.6</v>
      </c>
      <c r="H141" s="299">
        <f>'Приложение 10'!R216</f>
        <v>6179.4</v>
      </c>
    </row>
    <row r="142" spans="1:8" ht="78.75">
      <c r="A142" s="257" t="s">
        <v>61</v>
      </c>
      <c r="B142" s="297" t="s">
        <v>64</v>
      </c>
      <c r="C142" s="298"/>
      <c r="D142" s="298"/>
      <c r="E142" s="297"/>
      <c r="F142" s="299"/>
      <c r="G142" s="299">
        <f>G143</f>
        <v>1493.4</v>
      </c>
      <c r="H142" s="299">
        <f>H143</f>
        <v>1820.6</v>
      </c>
    </row>
    <row r="143" spans="1:8" ht="15.75">
      <c r="A143" s="257" t="s">
        <v>714</v>
      </c>
      <c r="B143" s="297" t="s">
        <v>64</v>
      </c>
      <c r="C143" s="298" t="s">
        <v>722</v>
      </c>
      <c r="D143" s="298" t="s">
        <v>392</v>
      </c>
      <c r="E143" s="297">
        <v>610</v>
      </c>
      <c r="F143" s="299"/>
      <c r="G143" s="299">
        <f>'Приложение 10'!Q218</f>
        <v>1493.4</v>
      </c>
      <c r="H143" s="299">
        <f>'Приложение 10'!R218</f>
        <v>1820.6</v>
      </c>
    </row>
    <row r="144" spans="1:8" s="282" customFormat="1" ht="47.25">
      <c r="A144" s="287" t="s">
        <v>662</v>
      </c>
      <c r="B144" s="273" t="s">
        <v>445</v>
      </c>
      <c r="C144" s="274"/>
      <c r="D144" s="274"/>
      <c r="E144" s="273"/>
      <c r="F144" s="277" t="e">
        <f>F145+F148+F151+F154</f>
        <v>#REF!</v>
      </c>
      <c r="G144" s="277">
        <f>G145+G148+G151+G154</f>
        <v>720.5</v>
      </c>
      <c r="H144" s="277">
        <f>H145+H148+H151+H154</f>
        <v>719.9</v>
      </c>
    </row>
    <row r="145" spans="1:8" ht="78.75">
      <c r="A145" s="296" t="s">
        <v>664</v>
      </c>
      <c r="B145" s="297" t="s">
        <v>446</v>
      </c>
      <c r="C145" s="298"/>
      <c r="D145" s="298"/>
      <c r="E145" s="297"/>
      <c r="F145" s="299" t="e">
        <f>F146+#REF!</f>
        <v>#REF!</v>
      </c>
      <c r="G145" s="299">
        <f>G146</f>
        <v>200</v>
      </c>
      <c r="H145" s="299">
        <f>H146</f>
        <v>200</v>
      </c>
    </row>
    <row r="146" spans="1:8" ht="15.75">
      <c r="A146" s="296" t="s">
        <v>255</v>
      </c>
      <c r="B146" s="297" t="s">
        <v>447</v>
      </c>
      <c r="C146" s="298"/>
      <c r="D146" s="298"/>
      <c r="E146" s="297"/>
      <c r="F146" s="299">
        <f>F147</f>
        <v>22.700000000000003</v>
      </c>
      <c r="G146" s="299">
        <f>G147</f>
        <v>200</v>
      </c>
      <c r="H146" s="299">
        <f>H147</f>
        <v>200</v>
      </c>
    </row>
    <row r="147" spans="1:8" ht="15.75">
      <c r="A147" s="296" t="s">
        <v>714</v>
      </c>
      <c r="B147" s="297" t="s">
        <v>447</v>
      </c>
      <c r="C147" s="298" t="s">
        <v>722</v>
      </c>
      <c r="D147" s="298" t="s">
        <v>448</v>
      </c>
      <c r="E147" s="297">
        <v>610</v>
      </c>
      <c r="F147" s="299">
        <f>'Приложение 9'!Q253</f>
        <v>22.700000000000003</v>
      </c>
      <c r="G147" s="299">
        <f>'Приложение 10'!Q223</f>
        <v>200</v>
      </c>
      <c r="H147" s="299">
        <f>'Приложение 10'!R223</f>
        <v>200</v>
      </c>
    </row>
    <row r="148" spans="1:8" ht="94.5">
      <c r="A148" s="296" t="s">
        <v>665</v>
      </c>
      <c r="B148" s="297" t="s">
        <v>450</v>
      </c>
      <c r="C148" s="298"/>
      <c r="D148" s="298"/>
      <c r="E148" s="297"/>
      <c r="F148" s="299">
        <f aca="true" t="shared" si="5" ref="F148:H149">F149</f>
        <v>12.5</v>
      </c>
      <c r="G148" s="299">
        <f t="shared" si="5"/>
        <v>200</v>
      </c>
      <c r="H148" s="299">
        <f t="shared" si="5"/>
        <v>200</v>
      </c>
    </row>
    <row r="149" spans="1:8" ht="15.75">
      <c r="A149" s="296" t="s">
        <v>255</v>
      </c>
      <c r="B149" s="297" t="s">
        <v>451</v>
      </c>
      <c r="C149" s="298"/>
      <c r="D149" s="298"/>
      <c r="E149" s="297"/>
      <c r="F149" s="299">
        <f t="shared" si="5"/>
        <v>12.5</v>
      </c>
      <c r="G149" s="299">
        <f t="shared" si="5"/>
        <v>200</v>
      </c>
      <c r="H149" s="299">
        <f t="shared" si="5"/>
        <v>200</v>
      </c>
    </row>
    <row r="150" spans="1:8" ht="15.75">
      <c r="A150" s="296" t="s">
        <v>714</v>
      </c>
      <c r="B150" s="297" t="s">
        <v>451</v>
      </c>
      <c r="C150" s="298" t="s">
        <v>722</v>
      </c>
      <c r="D150" s="298" t="s">
        <v>448</v>
      </c>
      <c r="E150" s="297">
        <v>610</v>
      </c>
      <c r="F150" s="299">
        <f>'Приложение 9'!Q260</f>
        <v>12.5</v>
      </c>
      <c r="G150" s="299">
        <f>'Приложение 10'!Q228</f>
        <v>200</v>
      </c>
      <c r="H150" s="299">
        <f>'Приложение 10'!R228</f>
        <v>200</v>
      </c>
    </row>
    <row r="151" spans="1:8" ht="63">
      <c r="A151" s="296" t="s">
        <v>666</v>
      </c>
      <c r="B151" s="297" t="s">
        <v>452</v>
      </c>
      <c r="C151" s="298"/>
      <c r="D151" s="298"/>
      <c r="E151" s="297"/>
      <c r="F151" s="299">
        <f aca="true" t="shared" si="6" ref="F151:H152">F152</f>
        <v>9.5</v>
      </c>
      <c r="G151" s="299">
        <f t="shared" si="6"/>
        <v>150</v>
      </c>
      <c r="H151" s="299">
        <f t="shared" si="6"/>
        <v>150</v>
      </c>
    </row>
    <row r="152" spans="1:8" ht="15.75">
      <c r="A152" s="296" t="s">
        <v>255</v>
      </c>
      <c r="B152" s="297" t="s">
        <v>453</v>
      </c>
      <c r="C152" s="298"/>
      <c r="D152" s="298"/>
      <c r="E152" s="297"/>
      <c r="F152" s="299">
        <f t="shared" si="6"/>
        <v>9.5</v>
      </c>
      <c r="G152" s="299">
        <f t="shared" si="6"/>
        <v>150</v>
      </c>
      <c r="H152" s="299">
        <f t="shared" si="6"/>
        <v>150</v>
      </c>
    </row>
    <row r="153" spans="1:8" ht="15.75">
      <c r="A153" s="296" t="s">
        <v>714</v>
      </c>
      <c r="B153" s="297" t="s">
        <v>453</v>
      </c>
      <c r="C153" s="298" t="s">
        <v>722</v>
      </c>
      <c r="D153" s="298" t="s">
        <v>448</v>
      </c>
      <c r="E153" s="297">
        <v>610</v>
      </c>
      <c r="F153" s="299">
        <f>'Приложение 9'!Q263</f>
        <v>9.5</v>
      </c>
      <c r="G153" s="299">
        <f>'Приложение 10'!Q231</f>
        <v>150</v>
      </c>
      <c r="H153" s="299">
        <f>'Приложение 10'!R231</f>
        <v>150</v>
      </c>
    </row>
    <row r="154" spans="1:8" ht="31.5">
      <c r="A154" s="296" t="s">
        <v>671</v>
      </c>
      <c r="B154" s="297" t="s">
        <v>454</v>
      </c>
      <c r="C154" s="298"/>
      <c r="D154" s="298"/>
      <c r="E154" s="297"/>
      <c r="F154" s="299">
        <f aca="true" t="shared" si="7" ref="F154:H155">F155</f>
        <v>1021.8</v>
      </c>
      <c r="G154" s="299">
        <f t="shared" si="7"/>
        <v>170.5</v>
      </c>
      <c r="H154" s="299">
        <f t="shared" si="7"/>
        <v>169.9</v>
      </c>
    </row>
    <row r="155" spans="1:8" ht="31.5">
      <c r="A155" s="296" t="s">
        <v>672</v>
      </c>
      <c r="B155" s="297" t="s">
        <v>455</v>
      </c>
      <c r="C155" s="298"/>
      <c r="D155" s="298"/>
      <c r="E155" s="297"/>
      <c r="F155" s="299">
        <f t="shared" si="7"/>
        <v>1021.8</v>
      </c>
      <c r="G155" s="299">
        <f t="shared" si="7"/>
        <v>170.5</v>
      </c>
      <c r="H155" s="299">
        <f t="shared" si="7"/>
        <v>169.9</v>
      </c>
    </row>
    <row r="156" spans="1:8" ht="47.25">
      <c r="A156" s="296" t="s">
        <v>717</v>
      </c>
      <c r="B156" s="297" t="s">
        <v>455</v>
      </c>
      <c r="C156" s="298" t="s">
        <v>722</v>
      </c>
      <c r="D156" s="298" t="s">
        <v>385</v>
      </c>
      <c r="E156" s="297">
        <v>320</v>
      </c>
      <c r="F156" s="299">
        <f>'Приложение 9'!Q306</f>
        <v>1021.8</v>
      </c>
      <c r="G156" s="299">
        <f>'Приложение 10'!Q268</f>
        <v>170.5</v>
      </c>
      <c r="H156" s="299">
        <f>'Приложение 10'!R268</f>
        <v>169.9</v>
      </c>
    </row>
    <row r="157" spans="1:8" s="282" customFormat="1" ht="78.75">
      <c r="A157" s="287" t="s">
        <v>792</v>
      </c>
      <c r="B157" s="273" t="s">
        <v>794</v>
      </c>
      <c r="C157" s="274"/>
      <c r="D157" s="274"/>
      <c r="E157" s="273"/>
      <c r="F157" s="277">
        <f>F159</f>
        <v>282.99999999999994</v>
      </c>
      <c r="G157" s="277">
        <f aca="true" t="shared" si="8" ref="G157:H159">G158</f>
        <v>284.3</v>
      </c>
      <c r="H157" s="277">
        <f t="shared" si="8"/>
        <v>225.7</v>
      </c>
    </row>
    <row r="158" spans="1:8" ht="78.75">
      <c r="A158" s="296" t="s">
        <v>120</v>
      </c>
      <c r="B158" s="297" t="s">
        <v>121</v>
      </c>
      <c r="C158" s="298"/>
      <c r="D158" s="298"/>
      <c r="E158" s="297"/>
      <c r="F158" s="299"/>
      <c r="G158" s="299">
        <f t="shared" si="8"/>
        <v>284.3</v>
      </c>
      <c r="H158" s="299">
        <f t="shared" si="8"/>
        <v>225.7</v>
      </c>
    </row>
    <row r="159" spans="1:8" ht="31.5">
      <c r="A159" s="296" t="s">
        <v>791</v>
      </c>
      <c r="B159" s="297" t="s">
        <v>456</v>
      </c>
      <c r="C159" s="298"/>
      <c r="D159" s="298"/>
      <c r="E159" s="297"/>
      <c r="F159" s="299">
        <f>F160</f>
        <v>282.99999999999994</v>
      </c>
      <c r="G159" s="299">
        <f t="shared" si="8"/>
        <v>284.3</v>
      </c>
      <c r="H159" s="299">
        <f t="shared" si="8"/>
        <v>225.7</v>
      </c>
    </row>
    <row r="160" spans="1:8" ht="47.25">
      <c r="A160" s="296" t="s">
        <v>712</v>
      </c>
      <c r="B160" s="297" t="s">
        <v>456</v>
      </c>
      <c r="C160" s="298" t="s">
        <v>722</v>
      </c>
      <c r="D160" s="298" t="s">
        <v>457</v>
      </c>
      <c r="E160" s="297">
        <v>240</v>
      </c>
      <c r="F160" s="299">
        <f>'Приложение 9'!Q217</f>
        <v>282.99999999999994</v>
      </c>
      <c r="G160" s="299">
        <f>'Приложение 10'!Q191</f>
        <v>284.3</v>
      </c>
      <c r="H160" s="299">
        <f>'Приложение 10'!R191</f>
        <v>225.7</v>
      </c>
    </row>
    <row r="161" spans="1:8" s="282" customFormat="1" ht="94.5">
      <c r="A161" s="287" t="s">
        <v>380</v>
      </c>
      <c r="B161" s="273" t="s">
        <v>458</v>
      </c>
      <c r="C161" s="274"/>
      <c r="D161" s="274"/>
      <c r="E161" s="273"/>
      <c r="F161" s="277">
        <f>F162+F165+F168+F171</f>
        <v>0</v>
      </c>
      <c r="G161" s="277">
        <v>0</v>
      </c>
      <c r="H161" s="277">
        <f>H162+H165+H168+H171</f>
        <v>13445.7</v>
      </c>
    </row>
    <row r="162" spans="1:8" ht="31.5">
      <c r="A162" s="296" t="s">
        <v>654</v>
      </c>
      <c r="B162" s="297" t="s">
        <v>459</v>
      </c>
      <c r="C162" s="298"/>
      <c r="D162" s="298"/>
      <c r="E162" s="297"/>
      <c r="F162" s="299">
        <f>F163</f>
        <v>0</v>
      </c>
      <c r="G162" s="299">
        <v>0</v>
      </c>
      <c r="H162" s="299">
        <f>H163</f>
        <v>1428</v>
      </c>
    </row>
    <row r="163" spans="1:8" ht="47.25">
      <c r="A163" s="296" t="s">
        <v>732</v>
      </c>
      <c r="B163" s="297" t="s">
        <v>460</v>
      </c>
      <c r="C163" s="298"/>
      <c r="D163" s="298"/>
      <c r="E163" s="297"/>
      <c r="F163" s="299">
        <f>F164</f>
        <v>0</v>
      </c>
      <c r="G163" s="299">
        <v>0</v>
      </c>
      <c r="H163" s="299">
        <f>H164</f>
        <v>1428</v>
      </c>
    </row>
    <row r="164" spans="1:8" ht="47.25">
      <c r="A164" s="296" t="s">
        <v>712</v>
      </c>
      <c r="B164" s="297" t="s">
        <v>460</v>
      </c>
      <c r="C164" s="298" t="s">
        <v>722</v>
      </c>
      <c r="D164" s="298" t="s">
        <v>386</v>
      </c>
      <c r="E164" s="297">
        <v>240</v>
      </c>
      <c r="F164" s="299"/>
      <c r="G164" s="299">
        <v>0</v>
      </c>
      <c r="H164" s="299">
        <f>'Приложение 10'!R114</f>
        <v>1428</v>
      </c>
    </row>
    <row r="165" spans="1:8" ht="29.25" customHeight="1">
      <c r="A165" s="296" t="s">
        <v>249</v>
      </c>
      <c r="B165" s="297" t="s">
        <v>461</v>
      </c>
      <c r="C165" s="298"/>
      <c r="D165" s="298"/>
      <c r="E165" s="297"/>
      <c r="F165" s="299">
        <f>F166</f>
        <v>0</v>
      </c>
      <c r="G165" s="299">
        <v>0</v>
      </c>
      <c r="H165" s="299">
        <f>H166</f>
        <v>10916</v>
      </c>
    </row>
    <row r="166" spans="1:8" ht="31.5">
      <c r="A166" s="296" t="s">
        <v>754</v>
      </c>
      <c r="B166" s="297" t="s">
        <v>462</v>
      </c>
      <c r="C166" s="298"/>
      <c r="D166" s="298"/>
      <c r="E166" s="297"/>
      <c r="F166" s="299">
        <f>F167</f>
        <v>0</v>
      </c>
      <c r="G166" s="299">
        <v>0</v>
      </c>
      <c r="H166" s="299">
        <f>H167</f>
        <v>10916</v>
      </c>
    </row>
    <row r="167" spans="1:8" ht="47.25">
      <c r="A167" s="296" t="s">
        <v>712</v>
      </c>
      <c r="B167" s="297" t="s">
        <v>462</v>
      </c>
      <c r="C167" s="298" t="s">
        <v>722</v>
      </c>
      <c r="D167" s="298" t="s">
        <v>386</v>
      </c>
      <c r="E167" s="297">
        <v>240</v>
      </c>
      <c r="F167" s="299"/>
      <c r="G167" s="299">
        <v>0</v>
      </c>
      <c r="H167" s="299">
        <f>'Приложение 10'!R121</f>
        <v>10916</v>
      </c>
    </row>
    <row r="168" spans="1:8" ht="47.25">
      <c r="A168" s="296" t="s">
        <v>768</v>
      </c>
      <c r="B168" s="297" t="s">
        <v>463</v>
      </c>
      <c r="C168" s="298"/>
      <c r="D168" s="298"/>
      <c r="E168" s="297"/>
      <c r="F168" s="299">
        <f>F169</f>
        <v>0</v>
      </c>
      <c r="G168" s="299">
        <v>0</v>
      </c>
      <c r="H168" s="299">
        <f>H169</f>
        <v>200</v>
      </c>
    </row>
    <row r="169" spans="1:8" ht="31.5">
      <c r="A169" s="296" t="s">
        <v>754</v>
      </c>
      <c r="B169" s="297" t="s">
        <v>464</v>
      </c>
      <c r="C169" s="298"/>
      <c r="D169" s="298"/>
      <c r="E169" s="297"/>
      <c r="F169" s="299">
        <f>F170</f>
        <v>0</v>
      </c>
      <c r="G169" s="299">
        <v>0</v>
      </c>
      <c r="H169" s="299">
        <f>H170</f>
        <v>200</v>
      </c>
    </row>
    <row r="170" spans="1:8" ht="47.25">
      <c r="A170" s="296" t="s">
        <v>712</v>
      </c>
      <c r="B170" s="297" t="s">
        <v>464</v>
      </c>
      <c r="C170" s="298" t="s">
        <v>387</v>
      </c>
      <c r="D170" s="298" t="s">
        <v>386</v>
      </c>
      <c r="E170" s="297">
        <v>240</v>
      </c>
      <c r="F170" s="299"/>
      <c r="G170" s="299">
        <v>0</v>
      </c>
      <c r="H170" s="299">
        <f>'Приложение 10'!R578</f>
        <v>200</v>
      </c>
    </row>
    <row r="171" spans="1:8" ht="63">
      <c r="A171" s="296" t="s">
        <v>161</v>
      </c>
      <c r="B171" s="297" t="s">
        <v>465</v>
      </c>
      <c r="C171" s="298"/>
      <c r="D171" s="298"/>
      <c r="E171" s="297"/>
      <c r="F171" s="299">
        <f>F172</f>
        <v>0</v>
      </c>
      <c r="G171" s="299">
        <v>0</v>
      </c>
      <c r="H171" s="299">
        <f>H172</f>
        <v>901.7</v>
      </c>
    </row>
    <row r="172" spans="1:8" ht="94.5">
      <c r="A172" s="296" t="s">
        <v>267</v>
      </c>
      <c r="B172" s="297" t="s">
        <v>466</v>
      </c>
      <c r="C172" s="298"/>
      <c r="D172" s="298"/>
      <c r="E172" s="297"/>
      <c r="F172" s="299">
        <f>F173</f>
        <v>0</v>
      </c>
      <c r="G172" s="299">
        <v>0</v>
      </c>
      <c r="H172" s="299">
        <f>H173</f>
        <v>901.7</v>
      </c>
    </row>
    <row r="173" spans="1:8" ht="53.25" customHeight="1">
      <c r="A173" s="296" t="s">
        <v>712</v>
      </c>
      <c r="B173" s="297" t="s">
        <v>466</v>
      </c>
      <c r="C173" s="298" t="s">
        <v>722</v>
      </c>
      <c r="D173" s="298" t="s">
        <v>386</v>
      </c>
      <c r="E173" s="297">
        <v>240</v>
      </c>
      <c r="F173" s="299"/>
      <c r="G173" s="299">
        <v>0</v>
      </c>
      <c r="H173" s="299">
        <f>'Приложение 10'!R124</f>
        <v>901.7</v>
      </c>
    </row>
    <row r="174" spans="1:8" ht="80.25" customHeight="1">
      <c r="A174" s="287" t="s">
        <v>138</v>
      </c>
      <c r="B174" s="273" t="s">
        <v>147</v>
      </c>
      <c r="C174" s="274"/>
      <c r="D174" s="274"/>
      <c r="E174" s="273"/>
      <c r="F174" s="277" t="e">
        <f>F175+F178+F181+F185+F191</f>
        <v>#REF!</v>
      </c>
      <c r="G174" s="277">
        <f>G175+G178+G181+G185+G191</f>
        <v>9665.3</v>
      </c>
      <c r="H174" s="277">
        <f>H175+H178+H181+H185+H191</f>
        <v>10665.3</v>
      </c>
    </row>
    <row r="175" spans="1:8" ht="53.25" customHeight="1">
      <c r="A175" s="11" t="s">
        <v>140</v>
      </c>
      <c r="B175" s="297" t="s">
        <v>148</v>
      </c>
      <c r="C175" s="275"/>
      <c r="D175" s="275"/>
      <c r="E175" s="270"/>
      <c r="F175" s="276">
        <f aca="true" t="shared" si="9" ref="F175:H176">F176</f>
        <v>0</v>
      </c>
      <c r="G175" s="299">
        <f t="shared" si="9"/>
        <v>470</v>
      </c>
      <c r="H175" s="299">
        <f t="shared" si="9"/>
        <v>470</v>
      </c>
    </row>
    <row r="176" spans="1:8" ht="36" customHeight="1">
      <c r="A176" s="11" t="s">
        <v>362</v>
      </c>
      <c r="B176" s="297" t="s">
        <v>149</v>
      </c>
      <c r="C176" s="275"/>
      <c r="D176" s="275"/>
      <c r="E176" s="270"/>
      <c r="F176" s="276">
        <f t="shared" si="9"/>
        <v>0</v>
      </c>
      <c r="G176" s="299">
        <f t="shared" si="9"/>
        <v>470</v>
      </c>
      <c r="H176" s="299">
        <f t="shared" si="9"/>
        <v>470</v>
      </c>
    </row>
    <row r="177" spans="1:8" ht="53.25" customHeight="1">
      <c r="A177" s="11" t="s">
        <v>712</v>
      </c>
      <c r="B177" s="297" t="s">
        <v>149</v>
      </c>
      <c r="C177" s="298" t="s">
        <v>387</v>
      </c>
      <c r="D177" s="298" t="s">
        <v>383</v>
      </c>
      <c r="E177" s="270">
        <v>240</v>
      </c>
      <c r="F177" s="276">
        <f>'Приложение 9'!Q498</f>
        <v>0</v>
      </c>
      <c r="G177" s="299">
        <f>'Приложение 10'!Q552</f>
        <v>470</v>
      </c>
      <c r="H177" s="299">
        <f>'Приложение 10'!R552</f>
        <v>470</v>
      </c>
    </row>
    <row r="178" spans="1:8" ht="53.25" customHeight="1">
      <c r="A178" s="11" t="s">
        <v>141</v>
      </c>
      <c r="B178" s="297" t="s">
        <v>150</v>
      </c>
      <c r="C178" s="275"/>
      <c r="D178" s="275"/>
      <c r="E178" s="270"/>
      <c r="F178" s="276">
        <f aca="true" t="shared" si="10" ref="F178:H179">F179</f>
        <v>184184.59999999998</v>
      </c>
      <c r="G178" s="299">
        <f t="shared" si="10"/>
        <v>100</v>
      </c>
      <c r="H178" s="299">
        <f t="shared" si="10"/>
        <v>100</v>
      </c>
    </row>
    <row r="179" spans="1:8" ht="53.25" customHeight="1">
      <c r="A179" s="11" t="s">
        <v>142</v>
      </c>
      <c r="B179" s="297" t="s">
        <v>151</v>
      </c>
      <c r="C179" s="275"/>
      <c r="D179" s="275"/>
      <c r="E179" s="270"/>
      <c r="F179" s="276">
        <f t="shared" si="10"/>
        <v>184184.59999999998</v>
      </c>
      <c r="G179" s="299">
        <f t="shared" si="10"/>
        <v>100</v>
      </c>
      <c r="H179" s="299">
        <f t="shared" si="10"/>
        <v>100</v>
      </c>
    </row>
    <row r="180" spans="1:8" ht="53.25" customHeight="1">
      <c r="A180" s="11" t="s">
        <v>712</v>
      </c>
      <c r="B180" s="297" t="s">
        <v>151</v>
      </c>
      <c r="C180" s="298" t="s">
        <v>387</v>
      </c>
      <c r="D180" s="298" t="s">
        <v>383</v>
      </c>
      <c r="E180" s="270">
        <v>240</v>
      </c>
      <c r="F180" s="276">
        <f>'Приложение 9'!Q501</f>
        <v>184184.59999999998</v>
      </c>
      <c r="G180" s="299">
        <f>'Приложение 10'!Q555</f>
        <v>100</v>
      </c>
      <c r="H180" s="299">
        <f>'Приложение 10'!R555</f>
        <v>100</v>
      </c>
    </row>
    <row r="181" spans="1:8" ht="53.25" customHeight="1">
      <c r="A181" s="11" t="s">
        <v>143</v>
      </c>
      <c r="B181" s="297" t="s">
        <v>152</v>
      </c>
      <c r="C181" s="275"/>
      <c r="D181" s="275"/>
      <c r="E181" s="270"/>
      <c r="F181" s="276">
        <f>F182</f>
        <v>185</v>
      </c>
      <c r="G181" s="299">
        <f>G182</f>
        <v>185.6</v>
      </c>
      <c r="H181" s="299">
        <f>H182</f>
        <v>185.6</v>
      </c>
    </row>
    <row r="182" spans="1:8" ht="53.25" customHeight="1">
      <c r="A182" s="11" t="s">
        <v>273</v>
      </c>
      <c r="B182" s="297" t="s">
        <v>153</v>
      </c>
      <c r="C182" s="275"/>
      <c r="D182" s="275"/>
      <c r="E182" s="270"/>
      <c r="F182" s="276">
        <f>F183+F184</f>
        <v>185</v>
      </c>
      <c r="G182" s="299">
        <f>G183+G184</f>
        <v>185.6</v>
      </c>
      <c r="H182" s="299">
        <f>H183+H184</f>
        <v>185.6</v>
      </c>
    </row>
    <row r="183" spans="1:8" ht="53.25" customHeight="1">
      <c r="A183" s="11" t="s">
        <v>712</v>
      </c>
      <c r="B183" s="297" t="s">
        <v>153</v>
      </c>
      <c r="C183" s="298" t="s">
        <v>387</v>
      </c>
      <c r="D183" s="298" t="s">
        <v>383</v>
      </c>
      <c r="E183" s="270">
        <v>240</v>
      </c>
      <c r="F183" s="276">
        <f>'Приложение 9'!Q504</f>
        <v>92.5</v>
      </c>
      <c r="G183" s="299">
        <f>'Приложение 10'!Q558</f>
        <v>150</v>
      </c>
      <c r="H183" s="299">
        <f>'Приложение 10'!R558</f>
        <v>150</v>
      </c>
    </row>
    <row r="184" spans="1:8" ht="24" customHeight="1">
      <c r="A184" s="5" t="s">
        <v>713</v>
      </c>
      <c r="B184" s="297" t="s">
        <v>153</v>
      </c>
      <c r="C184" s="298" t="s">
        <v>387</v>
      </c>
      <c r="D184" s="298" t="s">
        <v>383</v>
      </c>
      <c r="E184" s="270">
        <v>850</v>
      </c>
      <c r="F184" s="276">
        <f>'Приложение 9'!Q505</f>
        <v>92.5</v>
      </c>
      <c r="G184" s="299">
        <f>'Приложение 10'!Q559</f>
        <v>35.6</v>
      </c>
      <c r="H184" s="299">
        <f>'Приложение 10'!R559</f>
        <v>35.6</v>
      </c>
    </row>
    <row r="185" spans="1:8" ht="53.25" customHeight="1">
      <c r="A185" s="11" t="s">
        <v>144</v>
      </c>
      <c r="B185" s="297" t="s">
        <v>154</v>
      </c>
      <c r="C185" s="275"/>
      <c r="D185" s="275"/>
      <c r="E185" s="270"/>
      <c r="F185" s="276" t="e">
        <f>F186+#REF!+#REF!+#REF!</f>
        <v>#REF!</v>
      </c>
      <c r="G185" s="299">
        <f>G186</f>
        <v>3921.2</v>
      </c>
      <c r="H185" s="299">
        <f>H186</f>
        <v>4921.2</v>
      </c>
    </row>
    <row r="186" spans="1:8" ht="41.25" customHeight="1">
      <c r="A186" s="11" t="s">
        <v>335</v>
      </c>
      <c r="B186" s="297" t="s">
        <v>155</v>
      </c>
      <c r="C186" s="275"/>
      <c r="D186" s="275"/>
      <c r="E186" s="270"/>
      <c r="F186" s="276">
        <f>F187+F188+F189+F190</f>
        <v>57230.70000000001</v>
      </c>
      <c r="G186" s="299">
        <f>G187+G188+G189+G190</f>
        <v>3921.2</v>
      </c>
      <c r="H186" s="299">
        <f>H187+H188+H189+H190</f>
        <v>4921.2</v>
      </c>
    </row>
    <row r="187" spans="1:8" ht="46.5" customHeight="1">
      <c r="A187" s="11" t="s">
        <v>526</v>
      </c>
      <c r="B187" s="297" t="s">
        <v>155</v>
      </c>
      <c r="C187" s="298" t="s">
        <v>387</v>
      </c>
      <c r="D187" s="298" t="s">
        <v>383</v>
      </c>
      <c r="E187" s="270">
        <v>120</v>
      </c>
      <c r="F187" s="276">
        <f>'Приложение 9'!Q508</f>
        <v>0</v>
      </c>
      <c r="G187" s="299">
        <f>'Приложение 10'!Q562</f>
        <v>3383.1</v>
      </c>
      <c r="H187" s="299">
        <f>'Приложение 10'!R562</f>
        <v>3383.1</v>
      </c>
    </row>
    <row r="188" spans="1:8" ht="53.25" customHeight="1">
      <c r="A188" s="11" t="s">
        <v>712</v>
      </c>
      <c r="B188" s="297" t="s">
        <v>155</v>
      </c>
      <c r="C188" s="298" t="s">
        <v>387</v>
      </c>
      <c r="D188" s="298" t="s">
        <v>383</v>
      </c>
      <c r="E188" s="270">
        <v>240</v>
      </c>
      <c r="F188" s="276">
        <f>'Приложение 9'!Q509</f>
        <v>36332.90000000001</v>
      </c>
      <c r="G188" s="299">
        <f>'Приложение 10'!Q563</f>
        <v>518.1</v>
      </c>
      <c r="H188" s="299">
        <f>'Приложение 10'!R563</f>
        <v>1518.1</v>
      </c>
    </row>
    <row r="189" spans="1:8" ht="23.25" customHeight="1">
      <c r="A189" s="5" t="s">
        <v>720</v>
      </c>
      <c r="B189" s="297" t="s">
        <v>155</v>
      </c>
      <c r="C189" s="298" t="s">
        <v>387</v>
      </c>
      <c r="D189" s="298" t="s">
        <v>383</v>
      </c>
      <c r="E189" s="270">
        <v>830</v>
      </c>
      <c r="F189" s="276">
        <f>'Приложение 9'!Q512</f>
        <v>10448.9</v>
      </c>
      <c r="G189" s="299">
        <f>'Приложение 10'!Q564</f>
        <v>10</v>
      </c>
      <c r="H189" s="299">
        <f>'Приложение 10'!R564</f>
        <v>10</v>
      </c>
    </row>
    <row r="190" spans="1:8" ht="22.5" customHeight="1">
      <c r="A190" s="5" t="s">
        <v>713</v>
      </c>
      <c r="B190" s="297" t="s">
        <v>155</v>
      </c>
      <c r="C190" s="298" t="s">
        <v>387</v>
      </c>
      <c r="D190" s="298" t="s">
        <v>383</v>
      </c>
      <c r="E190" s="270">
        <v>850</v>
      </c>
      <c r="F190" s="276">
        <f>'Приложение 9'!Q513</f>
        <v>10448.9</v>
      </c>
      <c r="G190" s="299">
        <f>'Приложение 10'!Q565</f>
        <v>10</v>
      </c>
      <c r="H190" s="299">
        <f>'Приложение 10'!R565</f>
        <v>10</v>
      </c>
    </row>
    <row r="191" spans="1:8" ht="53.25" customHeight="1">
      <c r="A191" s="11" t="s">
        <v>137</v>
      </c>
      <c r="B191" s="297" t="s">
        <v>160</v>
      </c>
      <c r="C191" s="298"/>
      <c r="D191" s="298"/>
      <c r="E191" s="270"/>
      <c r="F191" s="276">
        <f>F192</f>
        <v>0</v>
      </c>
      <c r="G191" s="299">
        <f>G192</f>
        <v>4988.5</v>
      </c>
      <c r="H191" s="299">
        <f>H192</f>
        <v>4988.5</v>
      </c>
    </row>
    <row r="192" spans="1:8" ht="53.25" customHeight="1">
      <c r="A192" s="11" t="s">
        <v>291</v>
      </c>
      <c r="B192" s="297" t="s">
        <v>159</v>
      </c>
      <c r="C192" s="298"/>
      <c r="D192" s="298"/>
      <c r="E192" s="270"/>
      <c r="F192" s="276">
        <f>F193+F194</f>
        <v>0</v>
      </c>
      <c r="G192" s="299">
        <f>G193+G194</f>
        <v>4988.5</v>
      </c>
      <c r="H192" s="299">
        <f>H193+H194</f>
        <v>4988.5</v>
      </c>
    </row>
    <row r="193" spans="1:8" ht="53.25" customHeight="1">
      <c r="A193" s="11" t="s">
        <v>712</v>
      </c>
      <c r="B193" s="297" t="s">
        <v>159</v>
      </c>
      <c r="C193" s="298" t="s">
        <v>387</v>
      </c>
      <c r="D193" s="298" t="s">
        <v>383</v>
      </c>
      <c r="E193" s="270">
        <v>240</v>
      </c>
      <c r="F193" s="276">
        <f>'Приложение 9'!Q533</f>
        <v>0</v>
      </c>
      <c r="G193" s="299">
        <f>'Приложение 10'!Q568</f>
        <v>73.7</v>
      </c>
      <c r="H193" s="299">
        <f>'Приложение 10'!R568</f>
        <v>73.7</v>
      </c>
    </row>
    <row r="194" spans="1:8" ht="53.25" customHeight="1">
      <c r="A194" s="11" t="s">
        <v>717</v>
      </c>
      <c r="B194" s="297" t="s">
        <v>159</v>
      </c>
      <c r="C194" s="298" t="s">
        <v>387</v>
      </c>
      <c r="D194" s="298" t="s">
        <v>385</v>
      </c>
      <c r="E194" s="270">
        <v>320</v>
      </c>
      <c r="F194" s="276">
        <f>'Приложение 9'!Q545</f>
        <v>0</v>
      </c>
      <c r="G194" s="299">
        <f>'Приложение 10'!Q584</f>
        <v>4914.8</v>
      </c>
      <c r="H194" s="299">
        <f>'Приложение 10'!R584</f>
        <v>4914.8</v>
      </c>
    </row>
    <row r="195" spans="1:8" s="282" customFormat="1" ht="14.25">
      <c r="A195" s="397" t="s">
        <v>473</v>
      </c>
      <c r="B195" s="398"/>
      <c r="C195" s="398"/>
      <c r="D195" s="398"/>
      <c r="E195" s="399"/>
      <c r="F195" s="289" t="e">
        <f>#REF!+F17+#REF!+#REF!+#REF!+#REF!+#REF!+#REF!+#REF!+F34+F40+F67+F75+F99+F144+F157+F161+F124</f>
        <v>#REF!</v>
      </c>
      <c r="G195" s="289">
        <f>G17+G34+G40+G67+G75+G99+G144+G157+G161+G124+G30+G87+G174</f>
        <v>183613.3</v>
      </c>
      <c r="H195" s="289">
        <f>H17+H34+H40+H67+H75+H99+H144+H157+H161+H124+H30+H87+H174</f>
        <v>117512.7</v>
      </c>
    </row>
    <row r="196" ht="15">
      <c r="H196" s="339" t="s">
        <v>521</v>
      </c>
    </row>
  </sheetData>
  <sheetProtection/>
  <mergeCells count="18">
    <mergeCell ref="F14:H14"/>
    <mergeCell ref="A11:H11"/>
    <mergeCell ref="A195:E195"/>
    <mergeCell ref="A14:A15"/>
    <mergeCell ref="B14:B15"/>
    <mergeCell ref="C14:C15"/>
    <mergeCell ref="D14:D15"/>
    <mergeCell ref="E14:E15"/>
    <mergeCell ref="A10:H10"/>
    <mergeCell ref="A12:H12"/>
    <mergeCell ref="G13:H13"/>
    <mergeCell ref="B5:I5"/>
    <mergeCell ref="B1:H1"/>
    <mergeCell ref="B2:H2"/>
    <mergeCell ref="B3:H3"/>
    <mergeCell ref="B4:E4"/>
    <mergeCell ref="B6:I6"/>
    <mergeCell ref="B7:I7"/>
  </mergeCells>
  <printOptions/>
  <pageMargins left="0.31496062992125984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Блинова</dc:creator>
  <cp:keywords/>
  <dc:description/>
  <cp:lastModifiedBy>Кокоянина</cp:lastModifiedBy>
  <cp:lastPrinted>2020-12-17T12:38:57Z</cp:lastPrinted>
  <dcterms:created xsi:type="dcterms:W3CDTF">2012-10-30T08:30:04Z</dcterms:created>
  <dcterms:modified xsi:type="dcterms:W3CDTF">2020-12-22T14:21:59Z</dcterms:modified>
  <cp:category/>
  <cp:version/>
  <cp:contentType/>
  <cp:contentStatus/>
</cp:coreProperties>
</file>