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0" windowWidth="15210" windowHeight="8220" tabRatio="641" activeTab="0"/>
  </bookViews>
  <sheets>
    <sheet name="Приложение 4" sheetId="1" r:id="rId1"/>
    <sheet name="Приложение 5" sheetId="2" r:id="rId2"/>
    <sheet name="Приложение 13" sheetId="3" state="hidden" r:id="rId3"/>
  </sheets>
  <definedNames>
    <definedName name="_xlnm.Print_Titles" localSheetId="0">'Приложение 4'!$9:$10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<sst xmlns="http://schemas.openxmlformats.org/spreadsheetml/2006/main" count="4913" uniqueCount="794">
  <si>
    <t>2022 год</t>
  </si>
  <si>
    <t>период 2021 и 2022 годов"</t>
  </si>
  <si>
    <t>90270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</si>
  <si>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</si>
  <si>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</si>
  <si>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</si>
  <si>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</si>
  <si>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</si>
  <si>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</si>
  <si>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</si>
  <si>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06 0 06 00190</t>
  </si>
  <si>
    <t>03 0 03 20210</t>
  </si>
  <si>
    <t>03 0 03 00000</t>
  </si>
  <si>
    <t>Муниципальная программа развития туризма в Белозерском муниципальном районе  «Белозерск – Былинный город» на 2018-2020 годы</t>
  </si>
  <si>
    <t>20 0 00 00000</t>
  </si>
  <si>
    <t>20 0 01 00000</t>
  </si>
  <si>
    <t>20 0 01 20450</t>
  </si>
  <si>
    <t>20 0 02 00000</t>
  </si>
  <si>
    <t>20 0 02 20460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</si>
  <si>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</si>
  <si>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</si>
  <si>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Муниципальная  программа основных направлений кадровой  политики в Белозерском муниципальном районе на 2018 – 2020 годы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</si>
  <si>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</si>
  <si>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</si>
  <si>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Муниципальная   программа «Экономическое развитие Белозерского муниципального района на 2018 – 2020 годы»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</si>
  <si>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</si>
  <si>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2018-2020 годы"</t>
  </si>
  <si>
    <t>Муниципальная программа «Управление муниципальными финансами Белозерского муниципального района на 2018-2020 годы»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</si>
  <si>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</si>
  <si>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</si>
  <si>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</si>
  <si>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</si>
  <si>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</si>
  <si>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</si>
  <si>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Подпрограмма "Поддержание устойчивого исполнения местных бюджетов и повышение качества управления муниципальными финансами на 2018-2020 годы"</t>
  </si>
  <si>
    <t>Основное мероприятие "Поддержка мер по обеспечению сбалансированности бюджетов поселений"</t>
  </si>
  <si>
    <t>20</t>
  </si>
  <si>
    <t>11 1 00 00000</t>
  </si>
  <si>
    <t>11 1 01 00000</t>
  </si>
  <si>
    <t>11 1 01 00190</t>
  </si>
  <si>
    <t>11 2 00 00000</t>
  </si>
  <si>
    <t>11 2 01 00000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</si>
  <si>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</si>
  <si>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</si>
  <si>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</si>
  <si>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</si>
  <si>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</si>
  <si>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</si>
  <si>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</si>
  <si>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</si>
  <si>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</si>
  <si>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07 0 05 70030</t>
  </si>
  <si>
    <t>31 0 05 70030</t>
  </si>
  <si>
    <t>34 0 04 70030</t>
  </si>
  <si>
    <t>34 0 01 70030</t>
  </si>
  <si>
    <t>34 0 02 70030</t>
  </si>
  <si>
    <t>29 0 02 70030</t>
  </si>
  <si>
    <t>06 0 01 70030</t>
  </si>
  <si>
    <t>06 0 02 70030</t>
  </si>
  <si>
    <t>06 0 03 70030</t>
  </si>
  <si>
    <t>51690</t>
  </si>
  <si>
    <t>06 0 E1 51690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</si>
  <si>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</si>
  <si>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91  </t>
  </si>
  <si>
    <t>90280</t>
  </si>
  <si>
    <t>E2</t>
  </si>
  <si>
    <t>54910</t>
  </si>
  <si>
    <t>06 0 E2 54910</t>
  </si>
  <si>
    <t>08 0 00 00000</t>
  </si>
  <si>
    <t>08 0 02 00000</t>
  </si>
  <si>
    <t>08 0 02 S1600</t>
  </si>
  <si>
    <t>70010</t>
  </si>
  <si>
    <t>70020</t>
  </si>
  <si>
    <t>11 2 01 70010</t>
  </si>
  <si>
    <t>11 2 02 70020</t>
  </si>
  <si>
    <t>33 2 01 70010</t>
  </si>
  <si>
    <t>33 2 02 70020</t>
  </si>
  <si>
    <t>11 2 02 70030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</si>
  <si>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</si>
  <si>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</si>
  <si>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</si>
  <si>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</si>
  <si>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</si>
  <si>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</si>
  <si>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06 0 06 70030</t>
  </si>
  <si>
    <t>11 4 01 70030</t>
  </si>
  <si>
    <t>от _______________ № ________</t>
  </si>
  <si>
    <t>от 23.12.2019 № 104</t>
  </si>
  <si>
    <t>"Приложение 13</t>
  </si>
  <si>
    <t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t>
  </si>
  <si>
    <t>09 0 02 00000</t>
  </si>
  <si>
    <t>09 0 02 20440</t>
  </si>
  <si>
    <t>20030</t>
  </si>
  <si>
    <t>Расходы на содержание и организацию деятельности аварийно-спасательной службы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</si>
  <si>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</si>
  <si>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</si>
  <si>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</si>
  <si>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</si>
  <si>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</si>
  <si>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</si>
  <si>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</si>
  <si>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</si>
  <si>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06 0 E2 00000</t>
  </si>
  <si>
    <t>Основное мероприятие "Реализация регионального проекта "Современная школа"</t>
  </si>
  <si>
    <t>06 0 E1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</si>
  <si>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</si>
  <si>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08 0 02 20130</t>
  </si>
  <si>
    <t>Основное мероприятие "Расширение внешних связей"</t>
  </si>
  <si>
    <t>07 0 02 00000</t>
  </si>
  <si>
    <t>07 0 02 01590</t>
  </si>
  <si>
    <t>06 0 02 14590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</si>
  <si>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</si>
  <si>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</si>
  <si>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</si>
  <si>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</si>
  <si>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</si>
  <si>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</si>
  <si>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</si>
  <si>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</si>
  <si>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</si>
  <si>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</si>
  <si>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</si>
  <si>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</si>
  <si>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</si>
  <si>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</si>
  <si>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</si>
  <si>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</si>
  <si>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</si>
  <si>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</si>
  <si>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</si>
  <si>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</si>
  <si>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</si>
  <si>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</si>
  <si>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</si>
  <si>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</si>
  <si>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</si>
  <si>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</si>
  <si>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</si>
  <si>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Основное мероприятие "Разработка комплексной схемы организации дорожного движения"</t>
  </si>
  <si>
    <t>04 0 07 00000</t>
  </si>
  <si>
    <t>04 0 07 20300</t>
  </si>
  <si>
    <t>23060</t>
  </si>
  <si>
    <t>Иные выплаты населению</t>
  </si>
  <si>
    <t>Основное мероприятие "Предупреждение экстремизма и терроризма"</t>
  </si>
  <si>
    <t>Реализация мероприятий, направленных на предупреждение экстремизма и терроризма</t>
  </si>
  <si>
    <t>Основное мероприятие "Правовое информирование граждан"</t>
  </si>
  <si>
    <t>Мероприятия, направленные на правовое информирование граждан</t>
  </si>
  <si>
    <t>Подпрограмма "Безопасность дорожного движения"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</si>
  <si>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</si>
  <si>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13 1 00 00000</t>
  </si>
  <si>
    <t>13 1 02 00000</t>
  </si>
  <si>
    <t>13 1 02 20440</t>
  </si>
  <si>
    <t>13 2 03 00000</t>
  </si>
  <si>
    <t>13 2 03 23060</t>
  </si>
  <si>
    <t>13 2 07 00000</t>
  </si>
  <si>
    <t>13 2 07 20450</t>
  </si>
  <si>
    <t>26 0 F3 67483</t>
  </si>
  <si>
    <t>Основное мероприятие "Сохранение и популяризация объектов культурного наследия"</t>
  </si>
  <si>
    <t>07 0 03 00000</t>
  </si>
  <si>
    <t>41010</t>
  </si>
  <si>
    <t xml:space="preserve"> Разработка проектно-сметной документации</t>
  </si>
  <si>
    <t>07 0 03 41010</t>
  </si>
  <si>
    <t>20590</t>
  </si>
  <si>
    <t>Проведение мероприятий для детей и молодежи</t>
  </si>
  <si>
    <t>36 0 01 20590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</si>
  <si>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</si>
  <si>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</si>
  <si>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</si>
  <si>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</si>
  <si>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</si>
  <si>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</si>
  <si>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</si>
  <si>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</si>
  <si>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</si>
  <si>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</si>
  <si>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23280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</si>
  <si>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</si>
  <si>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</si>
  <si>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29 0 03 00000</t>
  </si>
  <si>
    <t>29 0 03 23280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</si>
  <si>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</si>
  <si>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</si>
  <si>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</si>
  <si>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06 0 05 S1330</t>
  </si>
  <si>
    <t>Основное мероприятие «Разработка ПКРТИ»</t>
  </si>
  <si>
    <t>04 0 08 00000</t>
  </si>
  <si>
    <t>04 0 08 20300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</si>
  <si>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</si>
  <si>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</si>
  <si>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S1120</t>
  </si>
  <si>
    <t>S3280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</si>
  <si>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</si>
  <si>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</si>
  <si>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S1120</t>
  </si>
  <si>
    <t>29 0 03 S3280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</si>
  <si>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</si>
  <si>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</si>
  <si>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06 0 02 53031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</si>
  <si>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</si>
  <si>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S1420</t>
  </si>
  <si>
    <t>Создание в муниципальных общеобразовательных организациях кружков по развитию предпринимательства</t>
  </si>
  <si>
    <t>06 0 03 S1420</t>
  </si>
  <si>
    <t>11 4 02 70030</t>
  </si>
  <si>
    <t>20140</t>
  </si>
  <si>
    <t>Основное мероприятие "Строительство фельдерско-акушерских пунктов и офисов врача общей практики"</t>
  </si>
  <si>
    <t>Мероприятия по строительству ФАПов</t>
  </si>
  <si>
    <t>08 0 03 00000</t>
  </si>
  <si>
    <t>08 0 03 20140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</si>
  <si>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</si>
  <si>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</si>
  <si>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</si>
  <si>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Осуществление переданных полномочий в области внешнего финансового контроля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</si>
  <si>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</si>
  <si>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</si>
  <si>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</si>
  <si>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</si>
  <si>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</si>
  <si>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</si>
  <si>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</si>
  <si>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</si>
  <si>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Муниципальная программа "Обеспечение законности, правопорядка и общественной безопасности в Белозерском районе на 2014 -2020 годы"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</si>
  <si>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</si>
  <si>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</si>
  <si>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</si>
  <si>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</si>
  <si>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</si>
  <si>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</si>
  <si>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</si>
  <si>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</si>
  <si>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</si>
  <si>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</si>
  <si>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</si>
  <si>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</si>
  <si>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</si>
  <si>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</si>
  <si>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</si>
  <si>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</si>
  <si>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</si>
  <si>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</si>
  <si>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Муниципальная программа "Развитие системы образования Белозерского муниципального района на 2018-2020 годы"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</si>
  <si>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</si>
  <si>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</si>
  <si>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</si>
  <si>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</si>
  <si>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20 0 01 S1250</t>
  </si>
  <si>
    <t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</si>
  <si>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</si>
  <si>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</si>
  <si>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</si>
  <si>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</si>
  <si>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</si>
  <si>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</si>
  <si>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</si>
  <si>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</si>
  <si>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</si>
  <si>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07 0 07 00000</t>
  </si>
  <si>
    <t>07 0 07 01590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</si>
  <si>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</si>
  <si>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</si>
  <si>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</si>
  <si>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</si>
  <si>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</si>
  <si>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</si>
  <si>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</si>
  <si>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</si>
  <si>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</si>
  <si>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</si>
  <si>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</si>
  <si>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</si>
  <si>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</si>
  <si>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</si>
  <si>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</si>
  <si>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</si>
  <si>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</si>
  <si>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</si>
  <si>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</si>
  <si>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</si>
  <si>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10 0 02 00000</t>
  </si>
  <si>
    <t>Основное мероприятие "Мероприятия по предотвращению загрязнения природной среды отходами производства и потребления"</t>
  </si>
  <si>
    <t>10 0 02 20110</t>
  </si>
  <si>
    <t>06 0 04 14590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</si>
  <si>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</si>
  <si>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</si>
  <si>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</si>
  <si>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</si>
  <si>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</si>
  <si>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</si>
  <si>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</si>
  <si>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</si>
  <si>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</si>
  <si>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</si>
  <si>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</si>
  <si>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</si>
  <si>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</si>
  <si>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</si>
  <si>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</si>
  <si>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Основное мероприятие «Организационное и информационно-методическое обеспечение отдыха и оздоровления детей в каникулярное время»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</si>
  <si>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</si>
  <si>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</si>
  <si>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</si>
  <si>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</si>
  <si>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</si>
  <si>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</si>
  <si>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</si>
  <si>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</si>
  <si>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</si>
  <si>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</si>
  <si>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</si>
  <si>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Обеспечение деятельности органов местного самоуравления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</si>
  <si>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</si>
  <si>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</si>
  <si>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</si>
  <si>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</si>
  <si>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</si>
  <si>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</si>
  <si>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</si>
  <si>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</si>
  <si>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>S1060</t>
  </si>
  <si>
    <t>Транспорт</t>
  </si>
  <si>
    <t>Резервные фонды местных администраций</t>
  </si>
  <si>
    <t>02000</t>
  </si>
  <si>
    <t>07 0 00 00000</t>
  </si>
  <si>
    <t>09 0 00 00000</t>
  </si>
  <si>
    <t>09 0 01 00000</t>
  </si>
  <si>
    <t>10 0 00 00000</t>
  </si>
  <si>
    <t>10 0 01 00000</t>
  </si>
  <si>
    <t>10 0 01 20110</t>
  </si>
  <si>
    <t>11 0 00 00000</t>
  </si>
  <si>
    <t>13 0 00 00000</t>
  </si>
  <si>
    <t>13 2 00 00000</t>
  </si>
  <si>
    <t>13 2 04 S1060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</si>
  <si>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</si>
  <si>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</si>
  <si>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</si>
  <si>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</si>
  <si>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</si>
  <si>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</si>
  <si>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</si>
  <si>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</si>
  <si>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</si>
  <si>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</si>
  <si>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</si>
  <si>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</si>
  <si>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</si>
  <si>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</si>
  <si>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</si>
  <si>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Подпрограмма "Обеспечение сбалансированности районного бюджета и повышение эффективности бюджетных расходов на 2018-2020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</si>
  <si>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</si>
  <si>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</si>
  <si>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028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</si>
  <si>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</si>
  <si>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</si>
  <si>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</si>
  <si>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</si>
  <si>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</si>
  <si>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</si>
  <si>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</si>
  <si>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</si>
  <si>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</si>
  <si>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</si>
  <si>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</si>
  <si>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</si>
  <si>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</si>
  <si>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</si>
  <si>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</si>
  <si>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</si>
  <si>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</si>
  <si>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</si>
  <si>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</si>
  <si>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</si>
  <si>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</si>
  <si>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</si>
  <si>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</si>
  <si>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</si>
  <si>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</si>
  <si>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</si>
  <si>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</si>
  <si>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</si>
  <si>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</si>
  <si>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</si>
  <si>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</si>
  <si>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</si>
  <si>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</si>
  <si>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</si>
  <si>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</si>
  <si>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</si>
  <si>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</si>
  <si>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</si>
  <si>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</si>
  <si>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</si>
  <si>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</si>
  <si>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</si>
  <si>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</si>
  <si>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</si>
  <si>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</si>
  <si>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</si>
  <si>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</si>
  <si>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</si>
  <si>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</si>
  <si>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</si>
  <si>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</si>
  <si>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</si>
  <si>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</si>
  <si>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</si>
  <si>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</si>
  <si>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</si>
  <si>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</si>
  <si>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</si>
  <si>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</si>
  <si>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</si>
  <si>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</si>
  <si>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</si>
  <si>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</si>
  <si>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</si>
  <si>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</si>
  <si>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</si>
  <si>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</si>
  <si>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</si>
  <si>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</si>
  <si>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</si>
  <si>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</si>
  <si>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</si>
  <si>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</si>
  <si>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</si>
  <si>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</si>
  <si>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</si>
  <si>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</si>
  <si>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</si>
  <si>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</si>
  <si>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</si>
  <si>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</si>
  <si>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</si>
  <si>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</si>
  <si>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</si>
  <si>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Основное мероприятие «Организация подготовки кадров, повышения их профессионального уровня»</t>
  </si>
  <si>
    <t>Основное мероприятие "Комплекс стимулирующих мер по закреплению кадров в районе"</t>
  </si>
  <si>
    <t>Обслуживание муниципального долга</t>
  </si>
  <si>
    <t>Муниципальная программа «Обеспечение законности, правопорядка и общественной безопасности в Белозерском районе на 2014 -2020 годы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</si>
  <si>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</si>
  <si>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</si>
  <si>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</si>
  <si>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</si>
  <si>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</si>
  <si>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</si>
  <si>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</si>
  <si>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</si>
  <si>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</si>
  <si>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</si>
  <si>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</si>
  <si>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</si>
  <si>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</si>
  <si>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</si>
  <si>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</si>
  <si>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</si>
  <si>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</si>
  <si>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</si>
  <si>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</si>
  <si>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</si>
  <si>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</si>
  <si>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</si>
  <si>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</si>
  <si>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</si>
  <si>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</si>
  <si>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</si>
  <si>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</si>
  <si>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</si>
  <si>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</si>
  <si>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</si>
  <si>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</si>
  <si>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</si>
  <si>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</si>
  <si>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</si>
  <si>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</si>
  <si>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</si>
  <si>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</si>
  <si>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</si>
  <si>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</si>
  <si>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работу"</t>
  </si>
  <si>
    <t>07 0 01 00000</t>
  </si>
  <si>
    <t>07 0 01 01590</t>
  </si>
  <si>
    <t>07 0 05 00000</t>
  </si>
  <si>
    <t>07 0 05 01590</t>
  </si>
  <si>
    <t>13 2 04 00000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</si>
  <si>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</si>
  <si>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</si>
  <si>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</si>
  <si>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</si>
  <si>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</si>
  <si>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</si>
  <si>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</si>
  <si>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</si>
  <si>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</si>
  <si>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</si>
  <si>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</si>
  <si>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</si>
  <si>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</si>
  <si>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</si>
  <si>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</si>
  <si>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</si>
  <si>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</si>
  <si>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</si>
  <si>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</si>
  <si>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</si>
  <si>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</si>
  <si>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</si>
  <si>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</si>
  <si>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</si>
  <si>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</si>
  <si>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</si>
  <si>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</si>
  <si>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</si>
  <si>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</si>
  <si>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</si>
  <si>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</si>
  <si>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</si>
  <si>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</si>
  <si>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</t>
  </si>
  <si>
    <t>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</si>
  <si>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</si>
  <si>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</si>
  <si>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</si>
  <si>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</si>
  <si>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</si>
  <si>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</si>
  <si>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</si>
  <si>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</si>
  <si>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11 2 01 72220</t>
  </si>
  <si>
    <t>11 2 02 00000</t>
  </si>
  <si>
    <t>11 3 00 00000</t>
  </si>
  <si>
    <t>11 3 01 00000</t>
  </si>
  <si>
    <t>11 3 01 20990</t>
  </si>
  <si>
    <t>11 4 00 00000</t>
  </si>
  <si>
    <t>11 4 01 00000</t>
  </si>
  <si>
    <t>11 4 01 90120</t>
  </si>
  <si>
    <t>11 4 01 90140</t>
  </si>
  <si>
    <t>11 4 01 00190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</si>
  <si>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</si>
  <si>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</si>
  <si>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</si>
  <si>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</si>
  <si>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</si>
  <si>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99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</si>
  <si>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</si>
  <si>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</si>
  <si>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</si>
  <si>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02</t>
  </si>
  <si>
    <t>03</t>
  </si>
  <si>
    <t>06</t>
  </si>
  <si>
    <t>11</t>
  </si>
  <si>
    <t>13</t>
  </si>
  <si>
    <t>Стипендии</t>
  </si>
  <si>
    <t xml:space="preserve">Обслуживание  мунципального  долга </t>
  </si>
  <si>
    <t>Судебная система</t>
  </si>
  <si>
    <t>Жилищно-коммунальное хозяйство</t>
  </si>
  <si>
    <t>Жилищное хозяйство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</si>
  <si>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</si>
  <si>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00000</t>
  </si>
  <si>
    <t xml:space="preserve"> </t>
  </si>
  <si>
    <t>Здравоохранение</t>
  </si>
  <si>
    <t>06 0 00 00000</t>
  </si>
  <si>
    <t>06 0 01 00000</t>
  </si>
  <si>
    <t>06 0 01 72010</t>
  </si>
  <si>
    <t>06 0 01 72020</t>
  </si>
  <si>
    <t>06 0 01 12590</t>
  </si>
  <si>
    <t>06 0 05 00000</t>
  </si>
  <si>
    <t>06 0 05 12590</t>
  </si>
  <si>
    <t>06 0 01 13590</t>
  </si>
  <si>
    <t>06 0 02 00000</t>
  </si>
  <si>
    <t>06 0 02 13590</t>
  </si>
  <si>
    <t>06 0 02 72010</t>
  </si>
  <si>
    <t>06 0 02 72020</t>
  </si>
  <si>
    <t>06 0 03 00000</t>
  </si>
  <si>
    <t>06 0 03 13590</t>
  </si>
  <si>
    <t>06 0 04 00000</t>
  </si>
  <si>
    <t>06 0 03 15590</t>
  </si>
  <si>
    <t>06 0 01 00190</t>
  </si>
  <si>
    <t>06 0 02 00190</t>
  </si>
  <si>
    <t>06 0 04 00190</t>
  </si>
  <si>
    <t>06 0 06 00000</t>
  </si>
  <si>
    <t>06 0 06 14590</t>
  </si>
  <si>
    <t>Муниципальная программа охраны окружающей среды и рационального использования природных ресурсов на 2015-2020 годы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</si>
  <si>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</si>
  <si>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</si>
  <si>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</si>
  <si>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</si>
  <si>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</si>
  <si>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</si>
  <si>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</si>
  <si>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</si>
  <si>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</si>
  <si>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</si>
  <si>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</si>
  <si>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</si>
  <si>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</si>
  <si>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</si>
  <si>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</si>
  <si>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</si>
  <si>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</si>
  <si>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 аннулирования таких наименований, размещение информации в государственном адресном реестре</t>
  </si>
  <si>
    <t>Строительство и реконструкция (модернизация) объектов питьевого водоснабжения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</si>
  <si>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</si>
  <si>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</si>
  <si>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</si>
  <si>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</si>
  <si>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</si>
  <si>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</si>
  <si>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</si>
  <si>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</si>
  <si>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</si>
  <si>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</si>
  <si>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</si>
  <si>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</si>
  <si>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</si>
  <si>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</si>
  <si>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</si>
  <si>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</si>
  <si>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</si>
  <si>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</si>
  <si>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</si>
  <si>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</si>
  <si>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</si>
  <si>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</si>
  <si>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</si>
  <si>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</si>
  <si>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S1690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</si>
  <si>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</si>
  <si>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E4</t>
  </si>
  <si>
    <t>S2100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</si>
  <si>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</si>
  <si>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</si>
  <si>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</si>
  <si>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</si>
  <si>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</si>
  <si>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</si>
  <si>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</si>
  <si>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</si>
  <si>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</si>
  <si>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</si>
  <si>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</si>
  <si>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</si>
  <si>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</si>
  <si>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</si>
  <si>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</si>
  <si>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62020</t>
  </si>
  <si>
    <t>Исполнение судебных актов</t>
  </si>
  <si>
    <t>03 0 00 00000</t>
  </si>
  <si>
    <t>027</t>
  </si>
  <si>
    <t>663</t>
  </si>
  <si>
    <t>03 0 01 00000</t>
  </si>
  <si>
    <t>03 0 01 20210</t>
  </si>
  <si>
    <t>04 0 00 00000</t>
  </si>
  <si>
    <t>04 0 02 00000</t>
  </si>
  <si>
    <t>04 0 03 00000</t>
  </si>
  <si>
    <t>04 0 04 00000</t>
  </si>
  <si>
    <t>06 0 05 13590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</si>
  <si>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</si>
  <si>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</si>
  <si>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</si>
  <si>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</si>
  <si>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03 0 02 00000</t>
  </si>
  <si>
    <t>03 0 02 20210</t>
  </si>
  <si>
    <t>Муниципальная поддержка транспортных организаций</t>
  </si>
  <si>
    <t>S2270</t>
  </si>
  <si>
    <t>Софинансирование на реализацию мероприятий проекта "Народный бюджет"</t>
  </si>
  <si>
    <t>06 0 03 14590</t>
  </si>
  <si>
    <t>90190</t>
  </si>
  <si>
    <t>90200</t>
  </si>
  <si>
    <t>06 0 03 00190</t>
  </si>
  <si>
    <t>90210</t>
  </si>
  <si>
    <t>90220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</si>
  <si>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</si>
  <si>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</si>
  <si>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</si>
  <si>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</si>
  <si>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</si>
  <si>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</si>
  <si>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</si>
  <si>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</si>
  <si>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</si>
  <si>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</si>
  <si>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</si>
  <si>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</si>
  <si>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</si>
  <si>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</si>
  <si>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</si>
  <si>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Реализация мероприятий по строительству объектов инженерной инфраструктуры</t>
  </si>
  <si>
    <t>S1600</t>
  </si>
  <si>
    <t>06 0 05 S1220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</si>
  <si>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</si>
  <si>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</si>
  <si>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</si>
  <si>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</si>
  <si>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</si>
  <si>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</si>
  <si>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</si>
  <si>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</si>
  <si>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</si>
  <si>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</si>
  <si>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</si>
  <si>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</si>
  <si>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>20120</t>
  </si>
  <si>
    <t>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</si>
  <si>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 xml:space="preserve"> Расходы на выплаты персоналу казенных учреждений</t>
  </si>
  <si>
    <t>Основное мероприятие "Строительство объектов инженерной инфраструктуры связи"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</si>
  <si>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</si>
  <si>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</si>
  <si>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</si>
  <si>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20130</t>
  </si>
  <si>
    <t>Мероприятия по строительству объектов инженерной инфраструктуры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</si>
  <si>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</si>
  <si>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</si>
  <si>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</si>
  <si>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</si>
  <si>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</si>
  <si>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Основное мероприятие "Благоустройство дворовых территорий многоквартирных домов, территорий общего пользования"</t>
  </si>
  <si>
    <t>46 0 00 00000</t>
  </si>
  <si>
    <t>11 4 02 00000</t>
  </si>
  <si>
    <t>11 4 02 00590</t>
  </si>
  <si>
    <t>11 4 02 90230</t>
  </si>
  <si>
    <t>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</si>
  <si>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</si>
  <si>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20 0 01 S1050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</si>
  <si>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</si>
  <si>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</si>
  <si>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</si>
  <si>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</si>
  <si>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</si>
  <si>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</si>
  <si>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</si>
  <si>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</si>
  <si>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</si>
  <si>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</si>
  <si>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</si>
  <si>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</si>
  <si>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</si>
  <si>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</si>
  <si>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</si>
  <si>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</si>
  <si>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</si>
  <si>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Основное мероприятие "Ремонт улицы Галаничева г.Белозерска"</t>
  </si>
  <si>
    <t>04 0 09 00000</t>
  </si>
  <si>
    <t>04 0 09 S1350</t>
  </si>
  <si>
    <t>Основное мероприятие "Ямочный ремонт асфальтового покрытия улиц г.Белозерска"</t>
  </si>
  <si>
    <t>04 0 10 00000</t>
  </si>
  <si>
    <t>04 0 10 20300</t>
  </si>
  <si>
    <t>Мероприятия по благоустройству</t>
  </si>
  <si>
    <t>23050</t>
  </si>
  <si>
    <t>46 0 01 00000</t>
  </si>
  <si>
    <t>46 0 01 23050</t>
  </si>
  <si>
    <t>61660</t>
  </si>
  <si>
    <t>Гранты в сфере культуры в соответствии с законом области от 27.02.2009 года № 1968-ОЗ "О государственных грантах Вологодской области в сфере культуры"</t>
  </si>
  <si>
    <t>07 0 07 61660</t>
  </si>
  <si>
    <t>L5192</t>
  </si>
  <si>
    <t>Проведение мероприятий по подключению муниципальных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</si>
  <si>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34 0 01 L5192</t>
  </si>
  <si>
    <t>Осуществление переданных полномочий в области внешнего муниципального финансового контроля</t>
  </si>
  <si>
    <t xml:space="preserve"> Муниципальная  программа «Организация отдыха и занятости детей Белозерского муниципального района в каникулярное время на 2020-2025 годы»</t>
  </si>
  <si>
    <t xml:space="preserve"> 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</si>
  <si>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 Субсидии бюджетным учреждениям</t>
  </si>
  <si>
    <t>27 0 05 01590</t>
  </si>
  <si>
    <t>S1070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</si>
  <si>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</si>
  <si>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06 0 05 S1070</t>
  </si>
  <si>
    <t>Премии и гранты</t>
  </si>
  <si>
    <t>L3041</t>
  </si>
  <si>
    <t>06 0 02 L3041</t>
  </si>
  <si>
    <t>Основное мероприятие «Содержание автомобильных дорог общего пользования местного значения»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</si>
  <si>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</si>
  <si>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</si>
  <si>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32 0 01 S3040</t>
  </si>
  <si>
    <t>10 0 01 S3040</t>
  </si>
  <si>
    <t>06 0 05 15590</t>
  </si>
  <si>
    <t>Приложение 11</t>
  </si>
  <si>
    <t>Расходы по охране и комплексному использованию водных ресурсов, обеспечение населения качественной питьевой водой</t>
  </si>
  <si>
    <t>5549F</t>
  </si>
  <si>
    <t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t>
  </si>
  <si>
    <t>48 0 04 5549F</t>
  </si>
  <si>
    <t>06 0 06 5549F</t>
  </si>
  <si>
    <t>11 4 01 5549F</t>
  </si>
  <si>
    <t>04 0 11 00000</t>
  </si>
  <si>
    <t>04 0 11 20300</t>
  </si>
  <si>
    <t>Основное мероприятие "Разработка ПСД"</t>
  </si>
  <si>
    <t>Утверждены</t>
  </si>
  <si>
    <t>решением Представительного Собрания района</t>
  </si>
  <si>
    <t>(Приложение  4)</t>
  </si>
  <si>
    <t>Утверждено на год</t>
  </si>
  <si>
    <t>Исполнено</t>
  </si>
  <si>
    <t>8</t>
  </si>
  <si>
    <t>Расходы районного бюджета за 2020 год по разделам, подразделам, целевым статьям и видам расходов в ведомственной структуре расходов</t>
  </si>
  <si>
    <t>(Приложение 5)</t>
  </si>
  <si>
    <t>РАСХОДЫ</t>
  </si>
  <si>
    <t>муниципальных целевых программ, финансируемых из районного бюджета  в 2020  году</t>
  </si>
  <si>
    <t>% исполнения</t>
  </si>
  <si>
    <t>от ___________ № 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</si>
</sst>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  <numFmt numFmtId="186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3.5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0" fontId="13" fillId="0" borderId="17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center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6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11" fillId="0" borderId="27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right" vertical="top"/>
      <protection/>
    </xf>
    <xf numFmtId="183" fontId="25" fillId="0" borderId="0" xfId="0" applyNumberFormat="1" applyFont="1" applyAlignment="1">
      <alignment horizontal="right"/>
    </xf>
    <xf numFmtId="0" fontId="11" fillId="33" borderId="0" xfId="53" applyNumberFormat="1" applyFont="1" applyFill="1" applyBorder="1" applyAlignment="1" applyProtection="1">
      <alignment vertical="top" wrapText="1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11" fillId="33" borderId="16" xfId="53" applyNumberFormat="1" applyFont="1" applyFill="1" applyBorder="1" applyAlignment="1" applyProtection="1">
      <alignment horizontal="center" vertical="top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2" fillId="0" borderId="0" xfId="53">
      <alignment/>
      <protection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53" applyFont="1" applyFill="1" applyProtection="1">
      <alignment/>
      <protection hidden="1"/>
    </xf>
    <xf numFmtId="0" fontId="0" fillId="0" borderId="0" xfId="0" applyAlignment="1">
      <alignment vertical="top"/>
    </xf>
    <xf numFmtId="0" fontId="3" fillId="0" borderId="0" xfId="53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/>
    </xf>
    <xf numFmtId="183" fontId="11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183" fontId="15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/>
    </xf>
    <xf numFmtId="49" fontId="0" fillId="0" borderId="0" xfId="0" applyNumberFormat="1" applyAlignment="1">
      <alignment/>
    </xf>
    <xf numFmtId="183" fontId="15" fillId="0" borderId="0" xfId="0" applyNumberFormat="1" applyFont="1" applyAlignment="1">
      <alignment/>
    </xf>
    <xf numFmtId="183" fontId="15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183" fontId="15" fillId="0" borderId="0" xfId="0" applyNumberFormat="1" applyFont="1" applyAlignment="1">
      <alignment vertical="center"/>
    </xf>
    <xf numFmtId="0" fontId="11" fillId="0" borderId="10" xfId="53" applyFont="1" applyFill="1" applyBorder="1" applyAlignment="1">
      <alignment horizontal="center" wrapText="1"/>
      <protection/>
    </xf>
    <xf numFmtId="0" fontId="29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Fill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186" fontId="13" fillId="0" borderId="10" xfId="53" applyNumberFormat="1" applyFont="1" applyFill="1" applyBorder="1" applyAlignment="1">
      <alignment horizontal="center"/>
      <protection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11" xfId="0" applyNumberFormat="1" applyFont="1" applyBorder="1" applyAlignment="1">
      <alignment horizontal="center" vertical="center" wrapText="1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left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8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4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5"/>
  <sheetViews>
    <sheetView showGridLines="0" tabSelected="1" zoomScale="75" zoomScaleNormal="75" zoomScaleSheetLayoutView="100" workbookViewId="0" topLeftCell="H212">
      <selection activeCell="H188" sqref="A188:IV225"/>
    </sheetView>
  </sheetViews>
  <sheetFormatPr defaultColWidth="9.140625" defaultRowHeight="15"/>
  <cols>
    <col min="1" max="7" width="0" style="28" hidden="1" customWidth="1"/>
    <col min="8" max="8" width="113.140625" style="226" customWidth="1"/>
    <col min="9" max="9" width="7.8515625" style="132" customWidth="1"/>
    <col min="10" max="10" width="5.140625" style="132" customWidth="1"/>
    <col min="11" max="11" width="5.00390625" style="132" customWidth="1"/>
    <col min="12" max="12" width="5.7109375" style="227" customWidth="1"/>
    <col min="13" max="14" width="4.28125" style="227" customWidth="1"/>
    <col min="15" max="15" width="10.28125" style="227" customWidth="1"/>
    <col min="16" max="16" width="9.140625" style="132" customWidth="1"/>
    <col min="17" max="17" width="25.28125" style="33" customWidth="1"/>
    <col min="18" max="18" width="24.7109375" style="33" customWidth="1"/>
    <col min="19" max="19" width="12.421875" style="280" hidden="1" customWidth="1"/>
    <col min="20" max="16384" width="9.140625" style="28" customWidth="1"/>
  </cols>
  <sheetData>
    <row r="1" spans="12:19" s="255" customFormat="1" ht="18.75">
      <c r="L1" s="256" t="s">
        <v>782</v>
      </c>
      <c r="S1" s="278"/>
    </row>
    <row r="2" spans="12:19" s="255" customFormat="1" ht="18.75" customHeight="1">
      <c r="L2" s="257" t="s">
        <v>783</v>
      </c>
      <c r="S2" s="278"/>
    </row>
    <row r="3" spans="12:19" s="255" customFormat="1" ht="18.75">
      <c r="L3" s="258" t="s">
        <v>793</v>
      </c>
      <c r="S3" s="278"/>
    </row>
    <row r="4" spans="1:19" s="255" customFormat="1" ht="19.5" customHeight="1">
      <c r="A4" s="259"/>
      <c r="B4" s="259"/>
      <c r="C4" s="259"/>
      <c r="D4" s="259"/>
      <c r="E4" s="259"/>
      <c r="F4" s="259"/>
      <c r="G4" s="259"/>
      <c r="H4" s="259"/>
      <c r="L4" s="257" t="s">
        <v>784</v>
      </c>
      <c r="S4" s="278"/>
    </row>
    <row r="5" spans="1:19" s="255" customFormat="1" ht="19.5" customHeight="1">
      <c r="A5" s="259"/>
      <c r="B5" s="259"/>
      <c r="C5" s="259"/>
      <c r="D5" s="259"/>
      <c r="E5" s="259"/>
      <c r="F5" s="259"/>
      <c r="G5" s="259"/>
      <c r="H5" s="259"/>
      <c r="L5" s="257"/>
      <c r="S5" s="278"/>
    </row>
    <row r="6" spans="1:19" s="255" customFormat="1" ht="19.5" customHeight="1">
      <c r="A6" s="259"/>
      <c r="B6" s="259"/>
      <c r="C6" s="259"/>
      <c r="D6" s="259"/>
      <c r="E6" s="259"/>
      <c r="F6" s="259"/>
      <c r="G6" s="259"/>
      <c r="H6" s="259"/>
      <c r="L6" s="257"/>
      <c r="S6" s="278"/>
    </row>
    <row r="7" spans="1:19" s="10" customFormat="1" ht="26.25" customHeight="1">
      <c r="A7" s="36"/>
      <c r="B7" s="36"/>
      <c r="C7" s="36"/>
      <c r="D7" s="36"/>
      <c r="E7" s="36"/>
      <c r="F7" s="36"/>
      <c r="G7" s="36"/>
      <c r="H7" s="296" t="s">
        <v>788</v>
      </c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79"/>
    </row>
    <row r="8" spans="1:18" ht="18.75" customHeight="1" thickBot="1">
      <c r="A8" s="38"/>
      <c r="B8" s="38"/>
      <c r="C8" s="38"/>
      <c r="D8" s="38"/>
      <c r="E8" s="38"/>
      <c r="F8" s="38"/>
      <c r="G8" s="38"/>
      <c r="H8" s="34"/>
      <c r="I8" s="35"/>
      <c r="J8" s="35"/>
      <c r="K8" s="35"/>
      <c r="L8" s="37"/>
      <c r="M8" s="37"/>
      <c r="N8" s="37"/>
      <c r="O8" s="37"/>
      <c r="P8" s="35"/>
      <c r="Q8" s="187" t="s">
        <v>557</v>
      </c>
      <c r="R8" s="187" t="s">
        <v>8</v>
      </c>
    </row>
    <row r="9" spans="1:19" ht="42.75" customHeight="1">
      <c r="A9" s="39"/>
      <c r="B9" s="39" t="s">
        <v>475</v>
      </c>
      <c r="C9" s="40" t="s">
        <v>474</v>
      </c>
      <c r="D9" s="40" t="s">
        <v>473</v>
      </c>
      <c r="E9" s="40" t="s">
        <v>472</v>
      </c>
      <c r="F9" s="40" t="s">
        <v>471</v>
      </c>
      <c r="G9" s="40" t="s">
        <v>470</v>
      </c>
      <c r="H9" s="41" t="s">
        <v>469</v>
      </c>
      <c r="I9" s="42" t="s">
        <v>468</v>
      </c>
      <c r="J9" s="42" t="s">
        <v>467</v>
      </c>
      <c r="K9" s="41" t="s">
        <v>466</v>
      </c>
      <c r="L9" s="297" t="s">
        <v>465</v>
      </c>
      <c r="M9" s="298"/>
      <c r="N9" s="298"/>
      <c r="O9" s="299"/>
      <c r="P9" s="41" t="s">
        <v>464</v>
      </c>
      <c r="Q9" s="253" t="s">
        <v>785</v>
      </c>
      <c r="R9" s="186" t="s">
        <v>786</v>
      </c>
      <c r="S9" s="277" t="s">
        <v>792</v>
      </c>
    </row>
    <row r="10" spans="1:19" ht="18.75" customHeight="1">
      <c r="A10" s="43"/>
      <c r="B10" s="44"/>
      <c r="C10" s="44"/>
      <c r="D10" s="44"/>
      <c r="E10" s="44"/>
      <c r="F10" s="44"/>
      <c r="G10" s="45"/>
      <c r="H10" s="46">
        <v>1</v>
      </c>
      <c r="I10" s="47">
        <v>2</v>
      </c>
      <c r="J10" s="48">
        <v>3</v>
      </c>
      <c r="K10" s="46">
        <v>4</v>
      </c>
      <c r="L10" s="293">
        <v>5</v>
      </c>
      <c r="M10" s="294"/>
      <c r="N10" s="294"/>
      <c r="O10" s="295"/>
      <c r="P10" s="46">
        <v>6</v>
      </c>
      <c r="Q10" s="49">
        <v>7</v>
      </c>
      <c r="R10" s="49" t="s">
        <v>787</v>
      </c>
      <c r="S10" s="281">
        <v>9</v>
      </c>
    </row>
    <row r="11" spans="1:19" s="232" customFormat="1" ht="18.75" customHeight="1">
      <c r="A11" s="290">
        <v>1</v>
      </c>
      <c r="B11" s="290"/>
      <c r="C11" s="290"/>
      <c r="D11" s="290"/>
      <c r="E11" s="290"/>
      <c r="F11" s="290"/>
      <c r="G11" s="91">
        <v>120</v>
      </c>
      <c r="H11" s="30" t="s">
        <v>476</v>
      </c>
      <c r="I11" s="12">
        <v>27</v>
      </c>
      <c r="J11" s="13" t="s">
        <v>491</v>
      </c>
      <c r="K11" s="13" t="s">
        <v>491</v>
      </c>
      <c r="L11" s="92" t="s">
        <v>491</v>
      </c>
      <c r="M11" s="93" t="s">
        <v>491</v>
      </c>
      <c r="N11" s="93"/>
      <c r="O11" s="93" t="s">
        <v>491</v>
      </c>
      <c r="P11" s="12" t="s">
        <v>491</v>
      </c>
      <c r="Q11" s="148">
        <f>Q12+Q81+Q102+Q188+Q226+Q238+Q261+Q291+Q295+Q320</f>
        <v>298543.9</v>
      </c>
      <c r="R11" s="148">
        <f>R12+R81+R102+R188+R226+R238+R261+R291+R295+R320</f>
        <v>229028</v>
      </c>
      <c r="S11" s="282">
        <f>R11/Q11</f>
        <v>0.7671501578159862</v>
      </c>
    </row>
    <row r="12" spans="1:19" s="135" customFormat="1" ht="18.75" customHeight="1">
      <c r="A12" s="291">
        <v>100</v>
      </c>
      <c r="B12" s="291"/>
      <c r="C12" s="292"/>
      <c r="D12" s="292"/>
      <c r="E12" s="292"/>
      <c r="F12" s="292"/>
      <c r="G12" s="95">
        <v>120</v>
      </c>
      <c r="H12" s="96" t="s">
        <v>493</v>
      </c>
      <c r="I12" s="97">
        <v>27</v>
      </c>
      <c r="J12" s="98">
        <v>1</v>
      </c>
      <c r="K12" s="98" t="s">
        <v>557</v>
      </c>
      <c r="L12" s="99" t="s">
        <v>491</v>
      </c>
      <c r="M12" s="100" t="s">
        <v>491</v>
      </c>
      <c r="N12" s="100"/>
      <c r="O12" s="100" t="s">
        <v>491</v>
      </c>
      <c r="P12" s="97" t="s">
        <v>491</v>
      </c>
      <c r="Q12" s="149">
        <f>Q13+Q35+Q38+Q42</f>
        <v>68772</v>
      </c>
      <c r="R12" s="149">
        <f>R13+R35+R38+R42</f>
        <v>68293.9</v>
      </c>
      <c r="S12" s="282">
        <f aca="true" t="shared" si="0" ref="S12:S75">R12/Q12</f>
        <v>0.9930480428081195</v>
      </c>
    </row>
    <row r="13" spans="1:19" s="135" customFormat="1" ht="45" customHeight="1">
      <c r="A13" s="101"/>
      <c r="B13" s="102"/>
      <c r="C13" s="291">
        <v>104</v>
      </c>
      <c r="D13" s="292"/>
      <c r="E13" s="292"/>
      <c r="F13" s="292"/>
      <c r="G13" s="95">
        <v>120</v>
      </c>
      <c r="H13" s="96" t="s">
        <v>461</v>
      </c>
      <c r="I13" s="97">
        <v>27</v>
      </c>
      <c r="J13" s="98">
        <v>1</v>
      </c>
      <c r="K13" s="98">
        <v>4</v>
      </c>
      <c r="L13" s="99" t="s">
        <v>491</v>
      </c>
      <c r="M13" s="100" t="s">
        <v>491</v>
      </c>
      <c r="N13" s="100" t="s">
        <v>557</v>
      </c>
      <c r="O13" s="100" t="s">
        <v>491</v>
      </c>
      <c r="P13" s="97" t="s">
        <v>491</v>
      </c>
      <c r="Q13" s="149">
        <f>Q14</f>
        <v>20494.5</v>
      </c>
      <c r="R13" s="149">
        <f>R14</f>
        <v>20265.8</v>
      </c>
      <c r="S13" s="282">
        <f t="shared" si="0"/>
        <v>0.9888409085364366</v>
      </c>
    </row>
    <row r="14" spans="1:19" ht="27" customHeight="1">
      <c r="A14" s="61"/>
      <c r="B14" s="60"/>
      <c r="C14" s="59"/>
      <c r="D14" s="56"/>
      <c r="E14" s="56"/>
      <c r="F14" s="56"/>
      <c r="G14" s="51"/>
      <c r="H14" s="9" t="s">
        <v>308</v>
      </c>
      <c r="I14" s="8">
        <v>27</v>
      </c>
      <c r="J14" s="14">
        <v>1</v>
      </c>
      <c r="K14" s="14">
        <v>4</v>
      </c>
      <c r="L14" s="14" t="s">
        <v>536</v>
      </c>
      <c r="M14" s="58" t="s">
        <v>519</v>
      </c>
      <c r="N14" s="58" t="s">
        <v>539</v>
      </c>
      <c r="O14" s="58" t="s">
        <v>556</v>
      </c>
      <c r="P14" s="8"/>
      <c r="Q14" s="150">
        <f>Q15+Q23+Q26+Q28+Q31+Q33+Q21+Q19</f>
        <v>20494.5</v>
      </c>
      <c r="R14" s="150">
        <f>R15+R23+R26+R28+R31+R33+R21+R19</f>
        <v>20265.8</v>
      </c>
      <c r="S14" s="282">
        <f t="shared" si="0"/>
        <v>0.9888409085364366</v>
      </c>
    </row>
    <row r="15" spans="1:19" ht="29.25" customHeight="1">
      <c r="A15" s="61"/>
      <c r="B15" s="60"/>
      <c r="C15" s="59"/>
      <c r="D15" s="283">
        <v>20000</v>
      </c>
      <c r="E15" s="284"/>
      <c r="F15" s="284"/>
      <c r="G15" s="51">
        <v>120</v>
      </c>
      <c r="H15" s="9" t="s">
        <v>309</v>
      </c>
      <c r="I15" s="8">
        <v>27</v>
      </c>
      <c r="J15" s="14">
        <v>1</v>
      </c>
      <c r="K15" s="14">
        <v>4</v>
      </c>
      <c r="L15" s="14" t="s">
        <v>536</v>
      </c>
      <c r="M15" s="58" t="s">
        <v>519</v>
      </c>
      <c r="N15" s="58" t="s">
        <v>539</v>
      </c>
      <c r="O15" s="58" t="s">
        <v>584</v>
      </c>
      <c r="P15" s="8" t="s">
        <v>491</v>
      </c>
      <c r="Q15" s="150">
        <f>SUM(Q16:Q18)</f>
        <v>16012.800000000001</v>
      </c>
      <c r="R15" s="150">
        <f>SUM(R16:R18)</f>
        <v>15801.9</v>
      </c>
      <c r="S15" s="282">
        <f t="shared" si="0"/>
        <v>0.9868292865707433</v>
      </c>
    </row>
    <row r="16" spans="1:19" ht="29.25" customHeight="1">
      <c r="A16" s="61"/>
      <c r="B16" s="60"/>
      <c r="C16" s="59"/>
      <c r="D16" s="63"/>
      <c r="E16" s="64"/>
      <c r="F16" s="64"/>
      <c r="G16" s="51"/>
      <c r="H16" s="9" t="s">
        <v>490</v>
      </c>
      <c r="I16" s="4">
        <v>27</v>
      </c>
      <c r="J16" s="14">
        <v>1</v>
      </c>
      <c r="K16" s="14">
        <v>4</v>
      </c>
      <c r="L16" s="14">
        <v>91</v>
      </c>
      <c r="M16" s="58" t="s">
        <v>519</v>
      </c>
      <c r="N16" s="58" t="s">
        <v>539</v>
      </c>
      <c r="O16" s="58" t="s">
        <v>584</v>
      </c>
      <c r="P16" s="8">
        <v>120</v>
      </c>
      <c r="Q16" s="150">
        <f>14355.1+114.6-30-500</f>
        <v>13939.7</v>
      </c>
      <c r="R16" s="150">
        <v>13930.1</v>
      </c>
      <c r="S16" s="282">
        <f t="shared" si="0"/>
        <v>0.9993113194688551</v>
      </c>
    </row>
    <row r="17" spans="1:19" ht="26.25" customHeight="1">
      <c r="A17" s="61"/>
      <c r="B17" s="60"/>
      <c r="C17" s="65"/>
      <c r="D17" s="63"/>
      <c r="E17" s="66"/>
      <c r="F17" s="66"/>
      <c r="G17" s="67"/>
      <c r="H17" s="3" t="s">
        <v>636</v>
      </c>
      <c r="I17" s="6">
        <v>27</v>
      </c>
      <c r="J17" s="14">
        <v>1</v>
      </c>
      <c r="K17" s="14">
        <v>4</v>
      </c>
      <c r="L17" s="14">
        <v>91</v>
      </c>
      <c r="M17" s="58" t="s">
        <v>519</v>
      </c>
      <c r="N17" s="58" t="s">
        <v>539</v>
      </c>
      <c r="O17" s="58" t="s">
        <v>584</v>
      </c>
      <c r="P17" s="4">
        <v>240</v>
      </c>
      <c r="Q17" s="150">
        <f>4891.8-2182.3-341.4+341.4-14.7-136.9-592.4-353-195-60.1-50.4</f>
        <v>1307</v>
      </c>
      <c r="R17" s="150">
        <v>1116.5</v>
      </c>
      <c r="S17" s="282">
        <f t="shared" si="0"/>
        <v>0.8542463657230298</v>
      </c>
    </row>
    <row r="18" spans="1:19" ht="20.25" customHeight="1">
      <c r="A18" s="61"/>
      <c r="B18" s="60"/>
      <c r="C18" s="68"/>
      <c r="D18" s="69"/>
      <c r="E18" s="66"/>
      <c r="F18" s="66"/>
      <c r="G18" s="51"/>
      <c r="H18" s="70" t="s">
        <v>637</v>
      </c>
      <c r="I18" s="6">
        <v>27</v>
      </c>
      <c r="J18" s="14">
        <v>1</v>
      </c>
      <c r="K18" s="14">
        <v>4</v>
      </c>
      <c r="L18" s="14">
        <v>91</v>
      </c>
      <c r="M18" s="58" t="s">
        <v>519</v>
      </c>
      <c r="N18" s="58" t="s">
        <v>539</v>
      </c>
      <c r="O18" s="58" t="s">
        <v>584</v>
      </c>
      <c r="P18" s="4">
        <v>850</v>
      </c>
      <c r="Q18" s="150">
        <f>750-2.7-27+45.8</f>
        <v>766.0999999999999</v>
      </c>
      <c r="R18" s="150">
        <v>755.3</v>
      </c>
      <c r="S18" s="282">
        <f t="shared" si="0"/>
        <v>0.985902623678371</v>
      </c>
    </row>
    <row r="19" spans="1:19" ht="51" customHeight="1">
      <c r="A19" s="61"/>
      <c r="B19" s="60"/>
      <c r="C19" s="68"/>
      <c r="D19" s="69"/>
      <c r="E19" s="66"/>
      <c r="F19" s="66"/>
      <c r="G19" s="51"/>
      <c r="H19" s="70" t="s">
        <v>775</v>
      </c>
      <c r="I19" s="11">
        <v>27</v>
      </c>
      <c r="J19" s="14">
        <v>1</v>
      </c>
      <c r="K19" s="14">
        <v>4</v>
      </c>
      <c r="L19" s="14">
        <v>91</v>
      </c>
      <c r="M19" s="58" t="s">
        <v>519</v>
      </c>
      <c r="N19" s="58" t="s">
        <v>539</v>
      </c>
      <c r="O19" s="58" t="s">
        <v>774</v>
      </c>
      <c r="P19" s="8"/>
      <c r="Q19" s="150">
        <f>Q20</f>
        <v>179.7</v>
      </c>
      <c r="R19" s="150">
        <f>R20</f>
        <v>179.7</v>
      </c>
      <c r="S19" s="282">
        <f t="shared" si="0"/>
        <v>1</v>
      </c>
    </row>
    <row r="20" spans="1:19" ht="20.25" customHeight="1">
      <c r="A20" s="61"/>
      <c r="B20" s="60"/>
      <c r="C20" s="68"/>
      <c r="D20" s="69"/>
      <c r="E20" s="66"/>
      <c r="F20" s="66"/>
      <c r="G20" s="51"/>
      <c r="H20" s="9" t="s">
        <v>490</v>
      </c>
      <c r="I20" s="4">
        <v>27</v>
      </c>
      <c r="J20" s="14">
        <v>1</v>
      </c>
      <c r="K20" s="14">
        <v>4</v>
      </c>
      <c r="L20" s="14">
        <v>91</v>
      </c>
      <c r="M20" s="58" t="s">
        <v>519</v>
      </c>
      <c r="N20" s="58" t="s">
        <v>539</v>
      </c>
      <c r="O20" s="58" t="s">
        <v>774</v>
      </c>
      <c r="P20" s="8">
        <v>120</v>
      </c>
      <c r="Q20" s="150">
        <v>179.7</v>
      </c>
      <c r="R20" s="150">
        <v>179.7</v>
      </c>
      <c r="S20" s="282">
        <f t="shared" si="0"/>
        <v>1</v>
      </c>
    </row>
    <row r="21" spans="1:19" ht="20.25" customHeight="1">
      <c r="A21" s="61"/>
      <c r="B21" s="60"/>
      <c r="C21" s="68"/>
      <c r="D21" s="69"/>
      <c r="E21" s="66"/>
      <c r="F21" s="66"/>
      <c r="G21" s="51"/>
      <c r="H21" s="70" t="s">
        <v>50</v>
      </c>
      <c r="I21" s="11">
        <v>27</v>
      </c>
      <c r="J21" s="14">
        <v>1</v>
      </c>
      <c r="K21" s="14">
        <v>4</v>
      </c>
      <c r="L21" s="14">
        <v>91</v>
      </c>
      <c r="M21" s="58" t="s">
        <v>519</v>
      </c>
      <c r="N21" s="58" t="s">
        <v>539</v>
      </c>
      <c r="O21" s="58" t="s">
        <v>49</v>
      </c>
      <c r="P21" s="8"/>
      <c r="Q21" s="150">
        <f>Q22</f>
        <v>2785.9</v>
      </c>
      <c r="R21" s="150">
        <f>R22</f>
        <v>2785.9</v>
      </c>
      <c r="S21" s="282">
        <f t="shared" si="0"/>
        <v>1</v>
      </c>
    </row>
    <row r="22" spans="1:19" ht="20.25" customHeight="1">
      <c r="A22" s="61"/>
      <c r="B22" s="60"/>
      <c r="C22" s="68"/>
      <c r="D22" s="69"/>
      <c r="E22" s="66"/>
      <c r="F22" s="66"/>
      <c r="G22" s="51"/>
      <c r="H22" s="3" t="s">
        <v>490</v>
      </c>
      <c r="I22" s="11">
        <v>27</v>
      </c>
      <c r="J22" s="14">
        <v>1</v>
      </c>
      <c r="K22" s="14">
        <v>4</v>
      </c>
      <c r="L22" s="14">
        <v>91</v>
      </c>
      <c r="M22" s="58" t="s">
        <v>519</v>
      </c>
      <c r="N22" s="58" t="s">
        <v>539</v>
      </c>
      <c r="O22" s="58" t="s">
        <v>49</v>
      </c>
      <c r="P22" s="8">
        <v>120</v>
      </c>
      <c r="Q22" s="150">
        <f>7619.4-7619.4+2111.9+674</f>
        <v>2785.9</v>
      </c>
      <c r="R22" s="150">
        <f>7619.4-7619.4+2111.9+674</f>
        <v>2785.9</v>
      </c>
      <c r="S22" s="282">
        <f t="shared" si="0"/>
        <v>1</v>
      </c>
    </row>
    <row r="23" spans="1:19" ht="36" customHeight="1">
      <c r="A23" s="61"/>
      <c r="B23" s="60"/>
      <c r="C23" s="68"/>
      <c r="D23" s="69"/>
      <c r="E23" s="66"/>
      <c r="F23" s="66"/>
      <c r="G23" s="51"/>
      <c r="H23" s="9" t="s">
        <v>47</v>
      </c>
      <c r="I23" s="8">
        <v>27</v>
      </c>
      <c r="J23" s="14">
        <v>1</v>
      </c>
      <c r="K23" s="14">
        <v>4</v>
      </c>
      <c r="L23" s="14">
        <v>91</v>
      </c>
      <c r="M23" s="58" t="s">
        <v>519</v>
      </c>
      <c r="N23" s="58" t="s">
        <v>539</v>
      </c>
      <c r="O23" s="58" t="s">
        <v>46</v>
      </c>
      <c r="P23" s="8"/>
      <c r="Q23" s="150">
        <f>SUM(Q24:Q25)</f>
        <v>812.4</v>
      </c>
      <c r="R23" s="150">
        <f>SUM(R24:R25)</f>
        <v>808.9</v>
      </c>
      <c r="S23" s="282">
        <f t="shared" si="0"/>
        <v>0.9956917774495323</v>
      </c>
    </row>
    <row r="24" spans="1:19" ht="18" customHeight="1">
      <c r="A24" s="61"/>
      <c r="B24" s="60"/>
      <c r="C24" s="68"/>
      <c r="D24" s="69"/>
      <c r="E24" s="66"/>
      <c r="F24" s="66"/>
      <c r="G24" s="51"/>
      <c r="H24" s="9" t="s">
        <v>490</v>
      </c>
      <c r="I24" s="8">
        <v>27</v>
      </c>
      <c r="J24" s="14">
        <v>1</v>
      </c>
      <c r="K24" s="14">
        <v>4</v>
      </c>
      <c r="L24" s="14">
        <v>91</v>
      </c>
      <c r="M24" s="58" t="s">
        <v>519</v>
      </c>
      <c r="N24" s="58" t="s">
        <v>539</v>
      </c>
      <c r="O24" s="58" t="s">
        <v>46</v>
      </c>
      <c r="P24" s="8">
        <v>120</v>
      </c>
      <c r="Q24" s="150">
        <f>652.1+107.5+37.8</f>
        <v>797.4</v>
      </c>
      <c r="R24" s="150">
        <v>793.9</v>
      </c>
      <c r="S24" s="282">
        <f t="shared" si="0"/>
        <v>0.9956107348883872</v>
      </c>
    </row>
    <row r="25" spans="1:19" ht="17.25" customHeight="1">
      <c r="A25" s="61"/>
      <c r="B25" s="60"/>
      <c r="C25" s="68"/>
      <c r="D25" s="69"/>
      <c r="E25" s="66"/>
      <c r="F25" s="66"/>
      <c r="G25" s="51"/>
      <c r="H25" s="9" t="s">
        <v>636</v>
      </c>
      <c r="I25" s="8">
        <v>27</v>
      </c>
      <c r="J25" s="14">
        <v>1</v>
      </c>
      <c r="K25" s="14">
        <v>4</v>
      </c>
      <c r="L25" s="14">
        <v>91</v>
      </c>
      <c r="M25" s="58" t="s">
        <v>519</v>
      </c>
      <c r="N25" s="58" t="s">
        <v>539</v>
      </c>
      <c r="O25" s="58" t="s">
        <v>46</v>
      </c>
      <c r="P25" s="8">
        <v>240</v>
      </c>
      <c r="Q25" s="150">
        <f>5+10</f>
        <v>15</v>
      </c>
      <c r="R25" s="150">
        <f>5+10</f>
        <v>15</v>
      </c>
      <c r="S25" s="282">
        <f t="shared" si="0"/>
        <v>1</v>
      </c>
    </row>
    <row r="26" spans="1:19" ht="56.25" customHeight="1">
      <c r="A26" s="61"/>
      <c r="B26" s="60"/>
      <c r="C26" s="68"/>
      <c r="D26" s="69"/>
      <c r="E26" s="66"/>
      <c r="F26" s="66"/>
      <c r="G26" s="51"/>
      <c r="H26" s="9" t="s">
        <v>208</v>
      </c>
      <c r="I26" s="8">
        <v>27</v>
      </c>
      <c r="J26" s="14">
        <v>1</v>
      </c>
      <c r="K26" s="14">
        <v>4</v>
      </c>
      <c r="L26" s="14">
        <v>91</v>
      </c>
      <c r="M26" s="58" t="s">
        <v>519</v>
      </c>
      <c r="N26" s="58" t="s">
        <v>539</v>
      </c>
      <c r="O26" s="58" t="s">
        <v>48</v>
      </c>
      <c r="P26" s="8"/>
      <c r="Q26" s="150">
        <f>Q27</f>
        <v>95.6</v>
      </c>
      <c r="R26" s="150">
        <f>R27</f>
        <v>87.5</v>
      </c>
      <c r="S26" s="282">
        <f t="shared" si="0"/>
        <v>0.9152719665271967</v>
      </c>
    </row>
    <row r="27" spans="1:19" ht="27.75" customHeight="1">
      <c r="A27" s="61"/>
      <c r="B27" s="60"/>
      <c r="C27" s="68"/>
      <c r="D27" s="69"/>
      <c r="E27" s="66"/>
      <c r="F27" s="66"/>
      <c r="G27" s="51"/>
      <c r="H27" s="9" t="s">
        <v>490</v>
      </c>
      <c r="I27" s="8">
        <v>27</v>
      </c>
      <c r="J27" s="14">
        <v>1</v>
      </c>
      <c r="K27" s="14">
        <v>4</v>
      </c>
      <c r="L27" s="14">
        <v>91</v>
      </c>
      <c r="M27" s="58" t="s">
        <v>519</v>
      </c>
      <c r="N27" s="58" t="s">
        <v>539</v>
      </c>
      <c r="O27" s="58" t="s">
        <v>48</v>
      </c>
      <c r="P27" s="8">
        <v>120</v>
      </c>
      <c r="Q27" s="150">
        <f>84+11.6</f>
        <v>95.6</v>
      </c>
      <c r="R27" s="150">
        <v>87.5</v>
      </c>
      <c r="S27" s="282">
        <f t="shared" si="0"/>
        <v>0.9152719665271967</v>
      </c>
    </row>
    <row r="28" spans="1:19" ht="66" customHeight="1">
      <c r="A28" s="61"/>
      <c r="B28" s="60"/>
      <c r="C28" s="68"/>
      <c r="D28" s="69"/>
      <c r="E28" s="66"/>
      <c r="F28" s="66"/>
      <c r="G28" s="51"/>
      <c r="H28" s="9" t="s">
        <v>670</v>
      </c>
      <c r="I28" s="8">
        <v>27</v>
      </c>
      <c r="J28" s="14">
        <v>1</v>
      </c>
      <c r="K28" s="14">
        <v>4</v>
      </c>
      <c r="L28" s="14">
        <v>91</v>
      </c>
      <c r="M28" s="58" t="s">
        <v>519</v>
      </c>
      <c r="N28" s="58" t="s">
        <v>539</v>
      </c>
      <c r="O28" s="58" t="s">
        <v>668</v>
      </c>
      <c r="P28" s="8"/>
      <c r="Q28" s="150">
        <f>SUM(Q29:Q30)</f>
        <v>448.50000000000006</v>
      </c>
      <c r="R28" s="150">
        <f>SUM(R29:R30)</f>
        <v>442.8</v>
      </c>
      <c r="S28" s="282">
        <f t="shared" si="0"/>
        <v>0.9872909698996655</v>
      </c>
    </row>
    <row r="29" spans="1:19" ht="26.25" customHeight="1">
      <c r="A29" s="61"/>
      <c r="B29" s="60"/>
      <c r="C29" s="68"/>
      <c r="D29" s="69"/>
      <c r="E29" s="66"/>
      <c r="F29" s="66"/>
      <c r="G29" s="51"/>
      <c r="H29" s="9" t="s">
        <v>490</v>
      </c>
      <c r="I29" s="8">
        <v>27</v>
      </c>
      <c r="J29" s="14">
        <v>1</v>
      </c>
      <c r="K29" s="14">
        <v>4</v>
      </c>
      <c r="L29" s="14">
        <v>91</v>
      </c>
      <c r="M29" s="58" t="s">
        <v>519</v>
      </c>
      <c r="N29" s="58" t="s">
        <v>539</v>
      </c>
      <c r="O29" s="58" t="s">
        <v>668</v>
      </c>
      <c r="P29" s="8">
        <v>120</v>
      </c>
      <c r="Q29" s="150">
        <f>348.1+4.1+87.8</f>
        <v>440.00000000000006</v>
      </c>
      <c r="R29" s="150">
        <v>434.3</v>
      </c>
      <c r="S29" s="282">
        <f t="shared" si="0"/>
        <v>0.9870454545454544</v>
      </c>
    </row>
    <row r="30" spans="1:19" ht="30" customHeight="1">
      <c r="A30" s="61"/>
      <c r="B30" s="60"/>
      <c r="C30" s="68"/>
      <c r="D30" s="69"/>
      <c r="E30" s="66"/>
      <c r="F30" s="66"/>
      <c r="G30" s="51"/>
      <c r="H30" s="9" t="s">
        <v>636</v>
      </c>
      <c r="I30" s="8">
        <v>27</v>
      </c>
      <c r="J30" s="14">
        <v>1</v>
      </c>
      <c r="K30" s="14">
        <v>4</v>
      </c>
      <c r="L30" s="14">
        <v>91</v>
      </c>
      <c r="M30" s="58" t="s">
        <v>519</v>
      </c>
      <c r="N30" s="58" t="s">
        <v>539</v>
      </c>
      <c r="O30" s="58" t="s">
        <v>668</v>
      </c>
      <c r="P30" s="8">
        <v>240</v>
      </c>
      <c r="Q30" s="150">
        <f>5+3.5</f>
        <v>8.5</v>
      </c>
      <c r="R30" s="150">
        <f>5+3.5</f>
        <v>8.5</v>
      </c>
      <c r="S30" s="282">
        <f t="shared" si="0"/>
        <v>1</v>
      </c>
    </row>
    <row r="31" spans="1:19" ht="27" customHeight="1">
      <c r="A31" s="61"/>
      <c r="B31" s="60"/>
      <c r="C31" s="68"/>
      <c r="D31" s="69"/>
      <c r="E31" s="66"/>
      <c r="F31" s="66"/>
      <c r="G31" s="51"/>
      <c r="H31" s="9" t="s">
        <v>671</v>
      </c>
      <c r="I31" s="8">
        <v>27</v>
      </c>
      <c r="J31" s="14">
        <v>1</v>
      </c>
      <c r="K31" s="14">
        <v>4</v>
      </c>
      <c r="L31" s="14">
        <v>91</v>
      </c>
      <c r="M31" s="58" t="s">
        <v>519</v>
      </c>
      <c r="N31" s="58" t="s">
        <v>539</v>
      </c>
      <c r="O31" s="58" t="s">
        <v>669</v>
      </c>
      <c r="P31" s="8"/>
      <c r="Q31" s="150">
        <f>Q32</f>
        <v>159.1</v>
      </c>
      <c r="R31" s="150">
        <f>R32</f>
        <v>159.1</v>
      </c>
      <c r="S31" s="282">
        <f t="shared" si="0"/>
        <v>1</v>
      </c>
    </row>
    <row r="32" spans="1:19" ht="24" customHeight="1">
      <c r="A32" s="61"/>
      <c r="B32" s="60"/>
      <c r="C32" s="68"/>
      <c r="D32" s="69"/>
      <c r="E32" s="66"/>
      <c r="F32" s="66"/>
      <c r="G32" s="51"/>
      <c r="H32" s="9" t="s">
        <v>490</v>
      </c>
      <c r="I32" s="8">
        <v>27</v>
      </c>
      <c r="J32" s="14">
        <v>1</v>
      </c>
      <c r="K32" s="14">
        <v>4</v>
      </c>
      <c r="L32" s="14">
        <v>91</v>
      </c>
      <c r="M32" s="58" t="s">
        <v>519</v>
      </c>
      <c r="N32" s="58" t="s">
        <v>539</v>
      </c>
      <c r="O32" s="58" t="s">
        <v>669</v>
      </c>
      <c r="P32" s="8">
        <v>120</v>
      </c>
      <c r="Q32" s="150">
        <f>124.2+4.4+30.5</f>
        <v>159.1</v>
      </c>
      <c r="R32" s="150">
        <f>124.2+4.4+30.5</f>
        <v>159.1</v>
      </c>
      <c r="S32" s="282">
        <f t="shared" si="0"/>
        <v>1</v>
      </c>
    </row>
    <row r="33" spans="1:19" ht="67.5" customHeight="1">
      <c r="A33" s="61"/>
      <c r="B33" s="60"/>
      <c r="C33" s="68"/>
      <c r="D33" s="69"/>
      <c r="E33" s="66"/>
      <c r="F33" s="66"/>
      <c r="G33" s="51"/>
      <c r="H33" s="9" t="s">
        <v>598</v>
      </c>
      <c r="I33" s="8">
        <v>27</v>
      </c>
      <c r="J33" s="14">
        <v>1</v>
      </c>
      <c r="K33" s="14">
        <v>4</v>
      </c>
      <c r="L33" s="14">
        <v>91</v>
      </c>
      <c r="M33" s="58" t="s">
        <v>519</v>
      </c>
      <c r="N33" s="58" t="s">
        <v>539</v>
      </c>
      <c r="O33" s="58" t="s">
        <v>2</v>
      </c>
      <c r="P33" s="8"/>
      <c r="Q33" s="150">
        <f>Q34</f>
        <v>0.5</v>
      </c>
      <c r="R33" s="150">
        <f>R34</f>
        <v>0</v>
      </c>
      <c r="S33" s="282">
        <f t="shared" si="0"/>
        <v>0</v>
      </c>
    </row>
    <row r="34" spans="1:19" ht="24" customHeight="1">
      <c r="A34" s="61"/>
      <c r="B34" s="60"/>
      <c r="C34" s="68"/>
      <c r="D34" s="69"/>
      <c r="E34" s="66"/>
      <c r="F34" s="66"/>
      <c r="G34" s="51"/>
      <c r="H34" s="9" t="s">
        <v>636</v>
      </c>
      <c r="I34" s="8">
        <v>27</v>
      </c>
      <c r="J34" s="14">
        <v>1</v>
      </c>
      <c r="K34" s="14">
        <v>4</v>
      </c>
      <c r="L34" s="14">
        <v>91</v>
      </c>
      <c r="M34" s="58" t="s">
        <v>519</v>
      </c>
      <c r="N34" s="58" t="s">
        <v>539</v>
      </c>
      <c r="O34" s="58" t="s">
        <v>2</v>
      </c>
      <c r="P34" s="8">
        <v>240</v>
      </c>
      <c r="Q34" s="150">
        <v>0.5</v>
      </c>
      <c r="R34" s="150">
        <v>0</v>
      </c>
      <c r="S34" s="282">
        <f t="shared" si="0"/>
        <v>0</v>
      </c>
    </row>
    <row r="35" spans="1:19" s="135" customFormat="1" ht="27.75" customHeight="1">
      <c r="A35" s="101"/>
      <c r="B35" s="102"/>
      <c r="C35" s="116"/>
      <c r="D35" s="129"/>
      <c r="E35" s="104"/>
      <c r="F35" s="104"/>
      <c r="G35" s="95"/>
      <c r="H35" s="96" t="s">
        <v>552</v>
      </c>
      <c r="I35" s="97">
        <v>27</v>
      </c>
      <c r="J35" s="98">
        <v>1</v>
      </c>
      <c r="K35" s="98">
        <v>5</v>
      </c>
      <c r="L35" s="98"/>
      <c r="M35" s="100"/>
      <c r="N35" s="100"/>
      <c r="O35" s="100"/>
      <c r="P35" s="97"/>
      <c r="Q35" s="149">
        <f>Q36</f>
        <v>9.4</v>
      </c>
      <c r="R35" s="149">
        <f>R36</f>
        <v>9.4</v>
      </c>
      <c r="S35" s="282">
        <f t="shared" si="0"/>
        <v>1</v>
      </c>
    </row>
    <row r="36" spans="1:19" ht="36.75" customHeight="1">
      <c r="A36" s="61"/>
      <c r="B36" s="60"/>
      <c r="C36" s="68"/>
      <c r="D36" s="69"/>
      <c r="E36" s="66"/>
      <c r="F36" s="66"/>
      <c r="G36" s="51"/>
      <c r="H36" s="9" t="s">
        <v>679</v>
      </c>
      <c r="I36" s="8">
        <v>27</v>
      </c>
      <c r="J36" s="14">
        <v>1</v>
      </c>
      <c r="K36" s="14">
        <v>5</v>
      </c>
      <c r="L36" s="14">
        <v>91</v>
      </c>
      <c r="M36" s="58" t="s">
        <v>519</v>
      </c>
      <c r="N36" s="58" t="s">
        <v>539</v>
      </c>
      <c r="O36" s="58" t="s">
        <v>678</v>
      </c>
      <c r="P36" s="8"/>
      <c r="Q36" s="150">
        <f>Q37</f>
        <v>9.4</v>
      </c>
      <c r="R36" s="150">
        <f>R37</f>
        <v>9.4</v>
      </c>
      <c r="S36" s="282">
        <f t="shared" si="0"/>
        <v>1</v>
      </c>
    </row>
    <row r="37" spans="1:19" ht="27.75" customHeight="1">
      <c r="A37" s="61"/>
      <c r="B37" s="60"/>
      <c r="C37" s="68"/>
      <c r="D37" s="69"/>
      <c r="E37" s="66"/>
      <c r="F37" s="66"/>
      <c r="G37" s="51"/>
      <c r="H37" s="9" t="s">
        <v>636</v>
      </c>
      <c r="I37" s="8">
        <v>27</v>
      </c>
      <c r="J37" s="14">
        <v>1</v>
      </c>
      <c r="K37" s="14">
        <v>5</v>
      </c>
      <c r="L37" s="14">
        <v>91</v>
      </c>
      <c r="M37" s="58" t="s">
        <v>519</v>
      </c>
      <c r="N37" s="58" t="s">
        <v>539</v>
      </c>
      <c r="O37" s="58" t="s">
        <v>678</v>
      </c>
      <c r="P37" s="8">
        <v>240</v>
      </c>
      <c r="Q37" s="150">
        <v>9.4</v>
      </c>
      <c r="R37" s="150">
        <v>9.4</v>
      </c>
      <c r="S37" s="282">
        <f t="shared" si="0"/>
        <v>1</v>
      </c>
    </row>
    <row r="38" spans="1:19" s="135" customFormat="1" ht="18.75" customHeight="1" hidden="1">
      <c r="A38" s="291">
        <v>1200</v>
      </c>
      <c r="B38" s="291"/>
      <c r="C38" s="292"/>
      <c r="D38" s="292"/>
      <c r="E38" s="292"/>
      <c r="F38" s="292"/>
      <c r="G38" s="95">
        <v>622</v>
      </c>
      <c r="H38" s="96" t="s">
        <v>333</v>
      </c>
      <c r="I38" s="97">
        <v>27</v>
      </c>
      <c r="J38" s="98">
        <v>1</v>
      </c>
      <c r="K38" s="98">
        <v>11</v>
      </c>
      <c r="L38" s="99" t="s">
        <v>491</v>
      </c>
      <c r="M38" s="100" t="s">
        <v>491</v>
      </c>
      <c r="N38" s="100"/>
      <c r="O38" s="100" t="s">
        <v>491</v>
      </c>
      <c r="P38" s="97" t="s">
        <v>491</v>
      </c>
      <c r="Q38" s="149">
        <f aca="true" t="shared" si="1" ref="Q38:R40">Q39</f>
        <v>0</v>
      </c>
      <c r="R38" s="149">
        <f t="shared" si="1"/>
        <v>0</v>
      </c>
      <c r="S38" s="282" t="e">
        <f t="shared" si="0"/>
        <v>#DIV/0!</v>
      </c>
    </row>
    <row r="39" spans="1:19" ht="23.25" customHeight="1" hidden="1">
      <c r="A39" s="61"/>
      <c r="B39" s="60"/>
      <c r="C39" s="300">
        <v>1204</v>
      </c>
      <c r="D39" s="301"/>
      <c r="E39" s="301"/>
      <c r="F39" s="301"/>
      <c r="G39" s="51">
        <v>622</v>
      </c>
      <c r="H39" s="9" t="s">
        <v>333</v>
      </c>
      <c r="I39" s="8">
        <v>27</v>
      </c>
      <c r="J39" s="14">
        <v>1</v>
      </c>
      <c r="K39" s="14">
        <v>11</v>
      </c>
      <c r="L39" s="57">
        <v>70</v>
      </c>
      <c r="M39" s="58">
        <v>0</v>
      </c>
      <c r="N39" s="58" t="s">
        <v>539</v>
      </c>
      <c r="O39" s="58" t="s">
        <v>556</v>
      </c>
      <c r="P39" s="8" t="s">
        <v>491</v>
      </c>
      <c r="Q39" s="150">
        <f t="shared" si="1"/>
        <v>0</v>
      </c>
      <c r="R39" s="150">
        <f t="shared" si="1"/>
        <v>0</v>
      </c>
      <c r="S39" s="282" t="e">
        <f t="shared" si="0"/>
        <v>#DIV/0!</v>
      </c>
    </row>
    <row r="40" spans="1:19" ht="21" customHeight="1" hidden="1">
      <c r="A40" s="61"/>
      <c r="B40" s="60"/>
      <c r="C40" s="59"/>
      <c r="D40" s="283">
        <v>4440000</v>
      </c>
      <c r="E40" s="283"/>
      <c r="F40" s="283"/>
      <c r="G40" s="51">
        <v>621</v>
      </c>
      <c r="H40" s="9" t="s">
        <v>319</v>
      </c>
      <c r="I40" s="8">
        <v>27</v>
      </c>
      <c r="J40" s="14">
        <v>1</v>
      </c>
      <c r="K40" s="14">
        <v>11</v>
      </c>
      <c r="L40" s="57" t="s">
        <v>310</v>
      </c>
      <c r="M40" s="58" t="s">
        <v>542</v>
      </c>
      <c r="N40" s="58" t="s">
        <v>539</v>
      </c>
      <c r="O40" s="58" t="s">
        <v>556</v>
      </c>
      <c r="P40" s="8" t="s">
        <v>491</v>
      </c>
      <c r="Q40" s="150">
        <f t="shared" si="1"/>
        <v>0</v>
      </c>
      <c r="R40" s="150">
        <f t="shared" si="1"/>
        <v>0</v>
      </c>
      <c r="S40" s="282" t="e">
        <f t="shared" si="0"/>
        <v>#DIV/0!</v>
      </c>
    </row>
    <row r="41" spans="1:19" ht="23.25" customHeight="1" hidden="1">
      <c r="A41" s="61"/>
      <c r="B41" s="60"/>
      <c r="C41" s="65"/>
      <c r="D41" s="71"/>
      <c r="E41" s="66"/>
      <c r="F41" s="66"/>
      <c r="G41" s="67">
        <v>621</v>
      </c>
      <c r="H41" s="3" t="s">
        <v>508</v>
      </c>
      <c r="I41" s="6">
        <v>27</v>
      </c>
      <c r="J41" s="18">
        <v>1</v>
      </c>
      <c r="K41" s="14">
        <v>11</v>
      </c>
      <c r="L41" s="57" t="s">
        <v>310</v>
      </c>
      <c r="M41" s="58" t="s">
        <v>542</v>
      </c>
      <c r="N41" s="58" t="s">
        <v>539</v>
      </c>
      <c r="O41" s="58" t="s">
        <v>556</v>
      </c>
      <c r="P41" s="4">
        <v>870</v>
      </c>
      <c r="Q41" s="151">
        <f>500+8900-9400</f>
        <v>0</v>
      </c>
      <c r="R41" s="151">
        <f>500+8900-9400</f>
        <v>0</v>
      </c>
      <c r="S41" s="282" t="e">
        <f t="shared" si="0"/>
        <v>#DIV/0!</v>
      </c>
    </row>
    <row r="42" spans="1:19" s="135" customFormat="1" ht="23.25" customHeight="1">
      <c r="A42" s="101"/>
      <c r="B42" s="102"/>
      <c r="C42" s="101"/>
      <c r="D42" s="103"/>
      <c r="E42" s="104"/>
      <c r="F42" s="104"/>
      <c r="G42" s="95"/>
      <c r="H42" s="96" t="s">
        <v>492</v>
      </c>
      <c r="I42" s="105">
        <v>27</v>
      </c>
      <c r="J42" s="106">
        <v>1</v>
      </c>
      <c r="K42" s="98">
        <v>13</v>
      </c>
      <c r="L42" s="99"/>
      <c r="M42" s="100"/>
      <c r="N42" s="100"/>
      <c r="O42" s="100"/>
      <c r="P42" s="105"/>
      <c r="Q42" s="152">
        <f>Q43+Q56+Q54</f>
        <v>48268.1</v>
      </c>
      <c r="R42" s="152">
        <f>R43+R56+R54</f>
        <v>48018.7</v>
      </c>
      <c r="S42" s="282">
        <f t="shared" si="0"/>
        <v>0.9948330263673109</v>
      </c>
    </row>
    <row r="43" spans="1:19" s="135" customFormat="1" ht="41.25" customHeight="1">
      <c r="A43" s="101"/>
      <c r="B43" s="102"/>
      <c r="C43" s="101"/>
      <c r="D43" s="103"/>
      <c r="E43" s="104"/>
      <c r="F43" s="104"/>
      <c r="G43" s="95"/>
      <c r="H43" s="9" t="s">
        <v>555</v>
      </c>
      <c r="I43" s="4">
        <v>27</v>
      </c>
      <c r="J43" s="16">
        <v>1</v>
      </c>
      <c r="K43" s="14">
        <v>13</v>
      </c>
      <c r="L43" s="57" t="s">
        <v>518</v>
      </c>
      <c r="M43" s="58" t="s">
        <v>519</v>
      </c>
      <c r="N43" s="58" t="s">
        <v>539</v>
      </c>
      <c r="O43" s="58" t="s">
        <v>556</v>
      </c>
      <c r="P43" s="4"/>
      <c r="Q43" s="151">
        <f>Q44+Q51</f>
        <v>5180.6</v>
      </c>
      <c r="R43" s="151">
        <f>R44+R51</f>
        <v>5180.6</v>
      </c>
      <c r="S43" s="282">
        <f t="shared" si="0"/>
        <v>1</v>
      </c>
    </row>
    <row r="44" spans="1:19" s="135" customFormat="1" ht="23.25" customHeight="1">
      <c r="A44" s="101"/>
      <c r="B44" s="102"/>
      <c r="C44" s="101"/>
      <c r="D44" s="103"/>
      <c r="E44" s="104"/>
      <c r="F44" s="104"/>
      <c r="G44" s="95"/>
      <c r="H44" s="9" t="s">
        <v>703</v>
      </c>
      <c r="I44" s="4">
        <v>27</v>
      </c>
      <c r="J44" s="16">
        <v>1</v>
      </c>
      <c r="K44" s="14">
        <v>13</v>
      </c>
      <c r="L44" s="57" t="s">
        <v>518</v>
      </c>
      <c r="M44" s="58" t="s">
        <v>519</v>
      </c>
      <c r="N44" s="58" t="s">
        <v>545</v>
      </c>
      <c r="O44" s="58" t="s">
        <v>556</v>
      </c>
      <c r="P44" s="4"/>
      <c r="Q44" s="151">
        <f>Q45+Q47+Q49</f>
        <v>5013.6</v>
      </c>
      <c r="R44" s="151">
        <f>R45+R47+R49</f>
        <v>5013.6</v>
      </c>
      <c r="S44" s="282">
        <f t="shared" si="0"/>
        <v>1</v>
      </c>
    </row>
    <row r="45" spans="1:19" s="135" customFormat="1" ht="41.25" customHeight="1" hidden="1">
      <c r="A45" s="101"/>
      <c r="B45" s="102"/>
      <c r="C45" s="101"/>
      <c r="D45" s="103"/>
      <c r="E45" s="104"/>
      <c r="F45" s="104"/>
      <c r="G45" s="95"/>
      <c r="H45" s="9" t="s">
        <v>701</v>
      </c>
      <c r="I45" s="4">
        <v>27</v>
      </c>
      <c r="J45" s="16">
        <v>1</v>
      </c>
      <c r="K45" s="14">
        <v>13</v>
      </c>
      <c r="L45" s="57" t="s">
        <v>518</v>
      </c>
      <c r="M45" s="58" t="s">
        <v>519</v>
      </c>
      <c r="N45" s="58" t="s">
        <v>545</v>
      </c>
      <c r="O45" s="58" t="s">
        <v>700</v>
      </c>
      <c r="P45" s="4"/>
      <c r="Q45" s="151">
        <f>Q46</f>
        <v>0</v>
      </c>
      <c r="R45" s="151">
        <f>R46</f>
        <v>0</v>
      </c>
      <c r="S45" s="282" t="e">
        <f t="shared" si="0"/>
        <v>#DIV/0!</v>
      </c>
    </row>
    <row r="46" spans="1:19" s="135" customFormat="1" ht="23.25" customHeight="1" hidden="1">
      <c r="A46" s="101"/>
      <c r="B46" s="102"/>
      <c r="C46" s="101"/>
      <c r="D46" s="103"/>
      <c r="E46" s="104"/>
      <c r="F46" s="104"/>
      <c r="G46" s="95"/>
      <c r="H46" s="9" t="s">
        <v>583</v>
      </c>
      <c r="I46" s="4">
        <v>27</v>
      </c>
      <c r="J46" s="16">
        <v>1</v>
      </c>
      <c r="K46" s="14">
        <v>13</v>
      </c>
      <c r="L46" s="57" t="s">
        <v>518</v>
      </c>
      <c r="M46" s="58" t="s">
        <v>519</v>
      </c>
      <c r="N46" s="58" t="s">
        <v>545</v>
      </c>
      <c r="O46" s="58" t="s">
        <v>700</v>
      </c>
      <c r="P46" s="4">
        <v>540</v>
      </c>
      <c r="Q46" s="151">
        <v>0</v>
      </c>
      <c r="R46" s="151">
        <v>0</v>
      </c>
      <c r="S46" s="282" t="e">
        <f t="shared" si="0"/>
        <v>#DIV/0!</v>
      </c>
    </row>
    <row r="47" spans="1:19" s="135" customFormat="1" ht="23.25" customHeight="1">
      <c r="A47" s="101"/>
      <c r="B47" s="102"/>
      <c r="C47" s="101"/>
      <c r="D47" s="103"/>
      <c r="E47" s="104"/>
      <c r="F47" s="104"/>
      <c r="G47" s="95"/>
      <c r="H47" s="9" t="s">
        <v>708</v>
      </c>
      <c r="I47" s="4">
        <v>27</v>
      </c>
      <c r="J47" s="16">
        <v>1</v>
      </c>
      <c r="K47" s="14">
        <v>13</v>
      </c>
      <c r="L47" s="57" t="s">
        <v>518</v>
      </c>
      <c r="M47" s="58" t="s">
        <v>519</v>
      </c>
      <c r="N47" s="58" t="s">
        <v>545</v>
      </c>
      <c r="O47" s="58" t="s">
        <v>707</v>
      </c>
      <c r="P47" s="4"/>
      <c r="Q47" s="151">
        <f>Q48</f>
        <v>582</v>
      </c>
      <c r="R47" s="151">
        <f>R48</f>
        <v>582</v>
      </c>
      <c r="S47" s="282">
        <f t="shared" si="0"/>
        <v>1</v>
      </c>
    </row>
    <row r="48" spans="1:19" s="135" customFormat="1" ht="23.25" customHeight="1">
      <c r="A48" s="101"/>
      <c r="B48" s="102"/>
      <c r="C48" s="101"/>
      <c r="D48" s="103"/>
      <c r="E48" s="104"/>
      <c r="F48" s="104"/>
      <c r="G48" s="95"/>
      <c r="H48" s="9" t="s">
        <v>583</v>
      </c>
      <c r="I48" s="4">
        <v>27</v>
      </c>
      <c r="J48" s="16">
        <v>1</v>
      </c>
      <c r="K48" s="14">
        <v>13</v>
      </c>
      <c r="L48" s="57" t="s">
        <v>518</v>
      </c>
      <c r="M48" s="58" t="s">
        <v>519</v>
      </c>
      <c r="N48" s="58" t="s">
        <v>545</v>
      </c>
      <c r="O48" s="58" t="s">
        <v>707</v>
      </c>
      <c r="P48" s="4">
        <v>540</v>
      </c>
      <c r="Q48" s="151">
        <f>522+60</f>
        <v>582</v>
      </c>
      <c r="R48" s="151">
        <f>522+60</f>
        <v>582</v>
      </c>
      <c r="S48" s="282">
        <f t="shared" si="0"/>
        <v>1</v>
      </c>
    </row>
    <row r="49" spans="1:19" s="135" customFormat="1" ht="23.25" customHeight="1">
      <c r="A49" s="101"/>
      <c r="B49" s="102"/>
      <c r="C49" s="101"/>
      <c r="D49" s="103"/>
      <c r="E49" s="104"/>
      <c r="F49" s="104"/>
      <c r="G49" s="95"/>
      <c r="H49" s="9" t="s">
        <v>685</v>
      </c>
      <c r="I49" s="4">
        <v>27</v>
      </c>
      <c r="J49" s="16">
        <v>1</v>
      </c>
      <c r="K49" s="14">
        <v>13</v>
      </c>
      <c r="L49" s="57" t="s">
        <v>518</v>
      </c>
      <c r="M49" s="58" t="s">
        <v>519</v>
      </c>
      <c r="N49" s="58" t="s">
        <v>545</v>
      </c>
      <c r="O49" s="58" t="s">
        <v>686</v>
      </c>
      <c r="P49" s="4"/>
      <c r="Q49" s="151">
        <f>Q50</f>
        <v>4431.6</v>
      </c>
      <c r="R49" s="151">
        <f>R50</f>
        <v>4431.6</v>
      </c>
      <c r="S49" s="282">
        <f t="shared" si="0"/>
        <v>1</v>
      </c>
    </row>
    <row r="50" spans="1:19" s="135" customFormat="1" ht="23.25" customHeight="1">
      <c r="A50" s="101"/>
      <c r="B50" s="102"/>
      <c r="C50" s="101"/>
      <c r="D50" s="103"/>
      <c r="E50" s="104"/>
      <c r="F50" s="104"/>
      <c r="G50" s="95"/>
      <c r="H50" s="9" t="s">
        <v>583</v>
      </c>
      <c r="I50" s="4">
        <v>27</v>
      </c>
      <c r="J50" s="16">
        <v>1</v>
      </c>
      <c r="K50" s="14">
        <v>13</v>
      </c>
      <c r="L50" s="57" t="s">
        <v>518</v>
      </c>
      <c r="M50" s="58" t="s">
        <v>519</v>
      </c>
      <c r="N50" s="58" t="s">
        <v>545</v>
      </c>
      <c r="O50" s="58" t="s">
        <v>686</v>
      </c>
      <c r="P50" s="4">
        <v>540</v>
      </c>
      <c r="Q50" s="151">
        <f>3850+38.9+14.7+1456-918.7-9.3</f>
        <v>4431.6</v>
      </c>
      <c r="R50" s="151">
        <f>3850+38.9+14.7+1456-918.7-9.3</f>
        <v>4431.6</v>
      </c>
      <c r="S50" s="282">
        <f t="shared" si="0"/>
        <v>1</v>
      </c>
    </row>
    <row r="51" spans="1:19" s="135" customFormat="1" ht="23.25" customHeight="1">
      <c r="A51" s="101"/>
      <c r="B51" s="102"/>
      <c r="C51" s="101"/>
      <c r="D51" s="103"/>
      <c r="E51" s="104"/>
      <c r="F51" s="104"/>
      <c r="G51" s="95"/>
      <c r="H51" s="9" t="s">
        <v>204</v>
      </c>
      <c r="I51" s="4">
        <v>27</v>
      </c>
      <c r="J51" s="16">
        <v>1</v>
      </c>
      <c r="K51" s="14">
        <v>13</v>
      </c>
      <c r="L51" s="57" t="s">
        <v>518</v>
      </c>
      <c r="M51" s="58" t="s">
        <v>519</v>
      </c>
      <c r="N51" s="58" t="s">
        <v>546</v>
      </c>
      <c r="O51" s="58" t="s">
        <v>556</v>
      </c>
      <c r="P51" s="4"/>
      <c r="Q51" s="151">
        <f>Q52</f>
        <v>167</v>
      </c>
      <c r="R51" s="151">
        <f>R52</f>
        <v>167</v>
      </c>
      <c r="S51" s="282">
        <f t="shared" si="0"/>
        <v>1</v>
      </c>
    </row>
    <row r="52" spans="1:19" s="135" customFormat="1" ht="23.25" customHeight="1">
      <c r="A52" s="101"/>
      <c r="B52" s="102"/>
      <c r="C52" s="101"/>
      <c r="D52" s="103"/>
      <c r="E52" s="104"/>
      <c r="F52" s="104"/>
      <c r="G52" s="95"/>
      <c r="H52" s="9" t="s">
        <v>205</v>
      </c>
      <c r="I52" s="4">
        <v>27</v>
      </c>
      <c r="J52" s="16">
        <v>1</v>
      </c>
      <c r="K52" s="14">
        <v>13</v>
      </c>
      <c r="L52" s="57" t="s">
        <v>518</v>
      </c>
      <c r="M52" s="58" t="s">
        <v>519</v>
      </c>
      <c r="N52" s="58" t="s">
        <v>546</v>
      </c>
      <c r="O52" s="58" t="s">
        <v>203</v>
      </c>
      <c r="P52" s="4"/>
      <c r="Q52" s="151">
        <f>Q53</f>
        <v>167</v>
      </c>
      <c r="R52" s="151">
        <f>R53</f>
        <v>167</v>
      </c>
      <c r="S52" s="282">
        <f t="shared" si="0"/>
        <v>1</v>
      </c>
    </row>
    <row r="53" spans="1:19" s="135" customFormat="1" ht="23.25" customHeight="1">
      <c r="A53" s="101"/>
      <c r="B53" s="102"/>
      <c r="C53" s="101"/>
      <c r="D53" s="103"/>
      <c r="E53" s="104"/>
      <c r="F53" s="104"/>
      <c r="G53" s="95"/>
      <c r="H53" s="9" t="s">
        <v>583</v>
      </c>
      <c r="I53" s="4">
        <v>27</v>
      </c>
      <c r="J53" s="16">
        <v>1</v>
      </c>
      <c r="K53" s="14">
        <v>13</v>
      </c>
      <c r="L53" s="57" t="s">
        <v>518</v>
      </c>
      <c r="M53" s="58" t="s">
        <v>519</v>
      </c>
      <c r="N53" s="58" t="s">
        <v>546</v>
      </c>
      <c r="O53" s="58" t="s">
        <v>203</v>
      </c>
      <c r="P53" s="4">
        <v>540</v>
      </c>
      <c r="Q53" s="151">
        <f>250-60-23</f>
        <v>167</v>
      </c>
      <c r="R53" s="151">
        <f>250-60-23</f>
        <v>167</v>
      </c>
      <c r="S53" s="282">
        <f t="shared" si="0"/>
        <v>1</v>
      </c>
    </row>
    <row r="54" spans="1:19" s="135" customFormat="1" ht="23.25" customHeight="1">
      <c r="A54" s="101"/>
      <c r="B54" s="102"/>
      <c r="C54" s="101"/>
      <c r="D54" s="103"/>
      <c r="E54" s="104"/>
      <c r="F54" s="104"/>
      <c r="G54" s="95"/>
      <c r="H54" s="9" t="s">
        <v>319</v>
      </c>
      <c r="I54" s="4">
        <v>27</v>
      </c>
      <c r="J54" s="16">
        <v>1</v>
      </c>
      <c r="K54" s="14">
        <v>13</v>
      </c>
      <c r="L54" s="57" t="s">
        <v>310</v>
      </c>
      <c r="M54" s="58" t="s">
        <v>542</v>
      </c>
      <c r="N54" s="58" t="s">
        <v>539</v>
      </c>
      <c r="O54" s="58" t="s">
        <v>556</v>
      </c>
      <c r="P54" s="4"/>
      <c r="Q54" s="151">
        <f>Q55</f>
        <v>9741.4</v>
      </c>
      <c r="R54" s="151">
        <f>R55</f>
        <v>9741.4</v>
      </c>
      <c r="S54" s="282">
        <f t="shared" si="0"/>
        <v>1</v>
      </c>
    </row>
    <row r="55" spans="1:19" s="135" customFormat="1" ht="23.25" customHeight="1">
      <c r="A55" s="101"/>
      <c r="B55" s="102"/>
      <c r="C55" s="101"/>
      <c r="D55" s="103"/>
      <c r="E55" s="104"/>
      <c r="F55" s="104"/>
      <c r="G55" s="95"/>
      <c r="H55" s="9" t="s">
        <v>636</v>
      </c>
      <c r="I55" s="4">
        <v>27</v>
      </c>
      <c r="J55" s="16">
        <v>1</v>
      </c>
      <c r="K55" s="14">
        <v>13</v>
      </c>
      <c r="L55" s="57" t="s">
        <v>310</v>
      </c>
      <c r="M55" s="58" t="s">
        <v>542</v>
      </c>
      <c r="N55" s="58" t="s">
        <v>539</v>
      </c>
      <c r="O55" s="58" t="s">
        <v>556</v>
      </c>
      <c r="P55" s="4">
        <v>240</v>
      </c>
      <c r="Q55" s="151">
        <v>9741.4</v>
      </c>
      <c r="R55" s="151">
        <v>9741.4</v>
      </c>
      <c r="S55" s="282">
        <f t="shared" si="0"/>
        <v>1</v>
      </c>
    </row>
    <row r="56" spans="1:19" s="135" customFormat="1" ht="23.25" customHeight="1">
      <c r="A56" s="101"/>
      <c r="B56" s="102"/>
      <c r="C56" s="101"/>
      <c r="D56" s="103"/>
      <c r="E56" s="104"/>
      <c r="F56" s="104"/>
      <c r="G56" s="95"/>
      <c r="H56" s="9" t="s">
        <v>267</v>
      </c>
      <c r="I56" s="4">
        <v>27</v>
      </c>
      <c r="J56" s="16">
        <v>1</v>
      </c>
      <c r="K56" s="14">
        <v>13</v>
      </c>
      <c r="L56" s="57" t="s">
        <v>536</v>
      </c>
      <c r="M56" s="58" t="s">
        <v>519</v>
      </c>
      <c r="N56" s="58" t="s">
        <v>539</v>
      </c>
      <c r="O56" s="58" t="s">
        <v>556</v>
      </c>
      <c r="P56" s="4"/>
      <c r="Q56" s="152">
        <f>Q57+Q60+Q67+Q70+Q72+Q75+Q77+Q65+Q79+Q63</f>
        <v>33346.1</v>
      </c>
      <c r="R56" s="152">
        <f>R57+R60+R67+R70+R72+R75+R77+R65+R79+R63</f>
        <v>33096.7</v>
      </c>
      <c r="S56" s="282">
        <f t="shared" si="0"/>
        <v>0.9925208645088931</v>
      </c>
    </row>
    <row r="57" spans="1:19" ht="25.5" customHeight="1">
      <c r="A57" s="61"/>
      <c r="B57" s="60"/>
      <c r="C57" s="65"/>
      <c r="D57" s="63"/>
      <c r="E57" s="285">
        <v>5203500</v>
      </c>
      <c r="F57" s="285"/>
      <c r="G57" s="51">
        <v>521</v>
      </c>
      <c r="H57" s="9" t="s">
        <v>309</v>
      </c>
      <c r="I57" s="8">
        <v>27</v>
      </c>
      <c r="J57" s="14">
        <v>1</v>
      </c>
      <c r="K57" s="14">
        <v>13</v>
      </c>
      <c r="L57" s="57" t="s">
        <v>536</v>
      </c>
      <c r="M57" s="58" t="s">
        <v>519</v>
      </c>
      <c r="N57" s="58" t="s">
        <v>539</v>
      </c>
      <c r="O57" s="58" t="s">
        <v>584</v>
      </c>
      <c r="P57" s="8" t="s">
        <v>491</v>
      </c>
      <c r="Q57" s="150">
        <f>SUM(Q58:Q59)</f>
        <v>865.9000000000001</v>
      </c>
      <c r="R57" s="150">
        <f>SUM(R58:R59)</f>
        <v>699.9</v>
      </c>
      <c r="S57" s="282">
        <f t="shared" si="0"/>
        <v>0.8082919505716595</v>
      </c>
    </row>
    <row r="58" spans="1:19" ht="26.25" customHeight="1">
      <c r="A58" s="72"/>
      <c r="B58" s="73"/>
      <c r="C58" s="68"/>
      <c r="D58" s="69"/>
      <c r="E58" s="66"/>
      <c r="F58" s="66"/>
      <c r="G58" s="51"/>
      <c r="H58" s="9" t="s">
        <v>636</v>
      </c>
      <c r="I58" s="4">
        <v>27</v>
      </c>
      <c r="J58" s="16">
        <v>1</v>
      </c>
      <c r="K58" s="14">
        <v>13</v>
      </c>
      <c r="L58" s="57" t="s">
        <v>536</v>
      </c>
      <c r="M58" s="58" t="s">
        <v>519</v>
      </c>
      <c r="N58" s="58" t="s">
        <v>539</v>
      </c>
      <c r="O58" s="58" t="s">
        <v>584</v>
      </c>
      <c r="P58" s="4">
        <v>240</v>
      </c>
      <c r="Q58" s="151">
        <f>931-86+75+2.7-77.6-45.8-85-0.8-29.8-0.2</f>
        <v>683.5000000000001</v>
      </c>
      <c r="R58" s="151">
        <v>517.5</v>
      </c>
      <c r="S58" s="282">
        <f t="shared" si="0"/>
        <v>0.7571324067300658</v>
      </c>
    </row>
    <row r="59" spans="1:19" ht="20.25" customHeight="1">
      <c r="A59" s="72"/>
      <c r="B59" s="74"/>
      <c r="C59" s="68"/>
      <c r="D59" s="71"/>
      <c r="E59" s="66"/>
      <c r="F59" s="66"/>
      <c r="G59" s="51"/>
      <c r="H59" s="9" t="s">
        <v>637</v>
      </c>
      <c r="I59" s="4">
        <v>27</v>
      </c>
      <c r="J59" s="18">
        <v>1</v>
      </c>
      <c r="K59" s="14">
        <v>13</v>
      </c>
      <c r="L59" s="57" t="s">
        <v>536</v>
      </c>
      <c r="M59" s="58" t="s">
        <v>519</v>
      </c>
      <c r="N59" s="58" t="s">
        <v>539</v>
      </c>
      <c r="O59" s="58" t="s">
        <v>584</v>
      </c>
      <c r="P59" s="4">
        <v>850</v>
      </c>
      <c r="Q59" s="151">
        <f>82.5+45.8+100-45.8-0.1</f>
        <v>182.4</v>
      </c>
      <c r="R59" s="151">
        <f>82.5+45.8+100-45.8-0.1</f>
        <v>182.4</v>
      </c>
      <c r="S59" s="282">
        <f t="shared" si="0"/>
        <v>1</v>
      </c>
    </row>
    <row r="60" spans="1:19" ht="26.25" customHeight="1">
      <c r="A60" s="61"/>
      <c r="B60" s="60"/>
      <c r="C60" s="59"/>
      <c r="D60" s="283">
        <v>5220000</v>
      </c>
      <c r="E60" s="284"/>
      <c r="F60" s="284"/>
      <c r="G60" s="51">
        <v>622</v>
      </c>
      <c r="H60" s="9" t="s">
        <v>311</v>
      </c>
      <c r="I60" s="8">
        <v>27</v>
      </c>
      <c r="J60" s="14">
        <v>1</v>
      </c>
      <c r="K60" s="14">
        <v>13</v>
      </c>
      <c r="L60" s="57" t="s">
        <v>536</v>
      </c>
      <c r="M60" s="58" t="s">
        <v>519</v>
      </c>
      <c r="N60" s="58" t="s">
        <v>539</v>
      </c>
      <c r="O60" s="58" t="s">
        <v>312</v>
      </c>
      <c r="P60" s="8"/>
      <c r="Q60" s="150">
        <f>SUM(Q61:Q62)</f>
        <v>17117.999999999996</v>
      </c>
      <c r="R60" s="150">
        <f>SUM(R61:R62)</f>
        <v>17117.999999999996</v>
      </c>
      <c r="S60" s="282">
        <f t="shared" si="0"/>
        <v>1</v>
      </c>
    </row>
    <row r="61" spans="1:19" ht="26.25" customHeight="1">
      <c r="A61" s="61"/>
      <c r="B61" s="60"/>
      <c r="C61" s="59"/>
      <c r="D61" s="63"/>
      <c r="E61" s="62"/>
      <c r="F61" s="62"/>
      <c r="G61" s="51"/>
      <c r="H61" s="9" t="s">
        <v>638</v>
      </c>
      <c r="I61" s="4">
        <v>27</v>
      </c>
      <c r="J61" s="16">
        <v>1</v>
      </c>
      <c r="K61" s="14">
        <v>13</v>
      </c>
      <c r="L61" s="57" t="s">
        <v>536</v>
      </c>
      <c r="M61" s="58" t="s">
        <v>519</v>
      </c>
      <c r="N61" s="58" t="s">
        <v>539</v>
      </c>
      <c r="O61" s="58" t="s">
        <v>312</v>
      </c>
      <c r="P61" s="8">
        <v>610</v>
      </c>
      <c r="Q61" s="150">
        <v>258.8</v>
      </c>
      <c r="R61" s="150">
        <v>258.8</v>
      </c>
      <c r="S61" s="282">
        <f t="shared" si="0"/>
        <v>1</v>
      </c>
    </row>
    <row r="62" spans="1:19" ht="21" customHeight="1">
      <c r="A62" s="61"/>
      <c r="B62" s="60"/>
      <c r="C62" s="65"/>
      <c r="D62" s="69"/>
      <c r="E62" s="134"/>
      <c r="F62" s="134"/>
      <c r="G62" s="51"/>
      <c r="H62" s="9" t="s">
        <v>672</v>
      </c>
      <c r="I62" s="8">
        <v>27</v>
      </c>
      <c r="J62" s="14">
        <v>1</v>
      </c>
      <c r="K62" s="14">
        <v>13</v>
      </c>
      <c r="L62" s="57" t="s">
        <v>536</v>
      </c>
      <c r="M62" s="58" t="s">
        <v>519</v>
      </c>
      <c r="N62" s="58" t="s">
        <v>539</v>
      </c>
      <c r="O62" s="58" t="s">
        <v>312</v>
      </c>
      <c r="P62" s="8">
        <v>620</v>
      </c>
      <c r="Q62" s="150">
        <f>18474.1-3000+950+200+60.1+175</f>
        <v>16859.199999999997</v>
      </c>
      <c r="R62" s="150">
        <f>18474.1-3000+950+200+60.1+175</f>
        <v>16859.199999999997</v>
      </c>
      <c r="S62" s="282">
        <f t="shared" si="0"/>
        <v>1</v>
      </c>
    </row>
    <row r="63" spans="1:19" ht="21" customHeight="1">
      <c r="A63" s="72"/>
      <c r="B63" s="73"/>
      <c r="C63" s="68"/>
      <c r="D63" s="69"/>
      <c r="E63" s="66"/>
      <c r="F63" s="66"/>
      <c r="G63" s="51"/>
      <c r="H63" s="9" t="s">
        <v>93</v>
      </c>
      <c r="I63" s="8">
        <v>27</v>
      </c>
      <c r="J63" s="14">
        <v>1</v>
      </c>
      <c r="K63" s="14">
        <v>13</v>
      </c>
      <c r="L63" s="57" t="s">
        <v>536</v>
      </c>
      <c r="M63" s="58" t="s">
        <v>519</v>
      </c>
      <c r="N63" s="58" t="s">
        <v>539</v>
      </c>
      <c r="O63" s="58" t="s">
        <v>92</v>
      </c>
      <c r="P63" s="8"/>
      <c r="Q63" s="150">
        <f>Q64</f>
        <v>163.7</v>
      </c>
      <c r="R63" s="150">
        <f>R64</f>
        <v>82.5</v>
      </c>
      <c r="S63" s="282">
        <f t="shared" si="0"/>
        <v>0.5039706780696396</v>
      </c>
    </row>
    <row r="64" spans="1:19" ht="21" customHeight="1">
      <c r="A64" s="72"/>
      <c r="B64" s="73"/>
      <c r="C64" s="68"/>
      <c r="D64" s="69"/>
      <c r="E64" s="66"/>
      <c r="F64" s="66"/>
      <c r="G64" s="51"/>
      <c r="H64" s="9" t="s">
        <v>636</v>
      </c>
      <c r="I64" s="8">
        <v>27</v>
      </c>
      <c r="J64" s="14">
        <v>1</v>
      </c>
      <c r="K64" s="14">
        <v>13</v>
      </c>
      <c r="L64" s="57" t="s">
        <v>536</v>
      </c>
      <c r="M64" s="58" t="s">
        <v>519</v>
      </c>
      <c r="N64" s="58" t="s">
        <v>539</v>
      </c>
      <c r="O64" s="58" t="s">
        <v>92</v>
      </c>
      <c r="P64" s="8">
        <v>240</v>
      </c>
      <c r="Q64" s="150">
        <f>86+77.7</f>
        <v>163.7</v>
      </c>
      <c r="R64" s="150">
        <v>82.5</v>
      </c>
      <c r="S64" s="282">
        <f t="shared" si="0"/>
        <v>0.5039706780696396</v>
      </c>
    </row>
    <row r="65" spans="1:19" ht="34.5" customHeight="1">
      <c r="A65" s="72"/>
      <c r="B65" s="73"/>
      <c r="C65" s="68"/>
      <c r="D65" s="69"/>
      <c r="E65" s="66"/>
      <c r="F65" s="66"/>
      <c r="G65" s="51"/>
      <c r="H65" s="9" t="s">
        <v>50</v>
      </c>
      <c r="I65" s="8">
        <v>27</v>
      </c>
      <c r="J65" s="14">
        <v>1</v>
      </c>
      <c r="K65" s="14">
        <v>13</v>
      </c>
      <c r="L65" s="57" t="s">
        <v>536</v>
      </c>
      <c r="M65" s="58" t="s">
        <v>519</v>
      </c>
      <c r="N65" s="58" t="s">
        <v>539</v>
      </c>
      <c r="O65" s="58" t="s">
        <v>49</v>
      </c>
      <c r="P65" s="4"/>
      <c r="Q65" s="151">
        <f>Q66</f>
        <v>9228.7</v>
      </c>
      <c r="R65" s="151">
        <f>R66</f>
        <v>9228.7</v>
      </c>
      <c r="S65" s="282">
        <f t="shared" si="0"/>
        <v>1</v>
      </c>
    </row>
    <row r="66" spans="1:19" ht="21" customHeight="1">
      <c r="A66" s="72"/>
      <c r="B66" s="73"/>
      <c r="C66" s="68"/>
      <c r="D66" s="69"/>
      <c r="E66" s="66"/>
      <c r="F66" s="66"/>
      <c r="G66" s="51"/>
      <c r="H66" s="9" t="s">
        <v>672</v>
      </c>
      <c r="I66" s="8">
        <v>27</v>
      </c>
      <c r="J66" s="14">
        <v>1</v>
      </c>
      <c r="K66" s="14">
        <v>13</v>
      </c>
      <c r="L66" s="57" t="s">
        <v>536</v>
      </c>
      <c r="M66" s="58" t="s">
        <v>519</v>
      </c>
      <c r="N66" s="58" t="s">
        <v>539</v>
      </c>
      <c r="O66" s="58" t="s">
        <v>49</v>
      </c>
      <c r="P66" s="4">
        <v>620</v>
      </c>
      <c r="Q66" s="151">
        <f>2988.9+6239.8</f>
        <v>9228.7</v>
      </c>
      <c r="R66" s="151">
        <f>2988.9+6239.8</f>
        <v>9228.7</v>
      </c>
      <c r="S66" s="282">
        <f t="shared" si="0"/>
        <v>1</v>
      </c>
    </row>
    <row r="67" spans="1:19" ht="51" customHeight="1">
      <c r="A67" s="72"/>
      <c r="B67" s="74"/>
      <c r="C67" s="68"/>
      <c r="D67" s="71"/>
      <c r="E67" s="66"/>
      <c r="F67" s="66"/>
      <c r="G67" s="51"/>
      <c r="H67" s="31" t="s">
        <v>596</v>
      </c>
      <c r="I67" s="8">
        <v>27</v>
      </c>
      <c r="J67" s="14">
        <v>1</v>
      </c>
      <c r="K67" s="14">
        <v>13</v>
      </c>
      <c r="L67" s="57" t="s">
        <v>536</v>
      </c>
      <c r="M67" s="58" t="s">
        <v>519</v>
      </c>
      <c r="N67" s="58" t="s">
        <v>539</v>
      </c>
      <c r="O67" s="58" t="s">
        <v>591</v>
      </c>
      <c r="P67" s="4"/>
      <c r="Q67" s="151">
        <f>SUM(Q68:Q69)</f>
        <v>430.79999999999995</v>
      </c>
      <c r="R67" s="151">
        <f>SUM(R68:R69)</f>
        <v>430.79999999999995</v>
      </c>
      <c r="S67" s="282">
        <f t="shared" si="0"/>
        <v>1</v>
      </c>
    </row>
    <row r="68" spans="1:19" ht="30" customHeight="1">
      <c r="A68" s="72"/>
      <c r="B68" s="74"/>
      <c r="C68" s="68"/>
      <c r="D68" s="71"/>
      <c r="E68" s="66"/>
      <c r="F68" s="66"/>
      <c r="G68" s="51"/>
      <c r="H68" s="31" t="s">
        <v>490</v>
      </c>
      <c r="I68" s="8">
        <v>27</v>
      </c>
      <c r="J68" s="14">
        <v>1</v>
      </c>
      <c r="K68" s="14">
        <v>13</v>
      </c>
      <c r="L68" s="57" t="s">
        <v>536</v>
      </c>
      <c r="M68" s="58" t="s">
        <v>519</v>
      </c>
      <c r="N68" s="58" t="s">
        <v>539</v>
      </c>
      <c r="O68" s="58" t="s">
        <v>591</v>
      </c>
      <c r="P68" s="8">
        <v>120</v>
      </c>
      <c r="Q68" s="150">
        <v>268.9</v>
      </c>
      <c r="R68" s="150">
        <v>268.9</v>
      </c>
      <c r="S68" s="282">
        <f t="shared" si="0"/>
        <v>1</v>
      </c>
    </row>
    <row r="69" spans="1:19" ht="27" customHeight="1">
      <c r="A69" s="72"/>
      <c r="B69" s="74"/>
      <c r="C69" s="68"/>
      <c r="D69" s="71"/>
      <c r="E69" s="66"/>
      <c r="F69" s="66"/>
      <c r="G69" s="51"/>
      <c r="H69" s="31" t="s">
        <v>636</v>
      </c>
      <c r="I69" s="8">
        <v>27</v>
      </c>
      <c r="J69" s="14">
        <v>1</v>
      </c>
      <c r="K69" s="14">
        <v>13</v>
      </c>
      <c r="L69" s="57" t="s">
        <v>536</v>
      </c>
      <c r="M69" s="58" t="s">
        <v>519</v>
      </c>
      <c r="N69" s="58" t="s">
        <v>539</v>
      </c>
      <c r="O69" s="58" t="s">
        <v>591</v>
      </c>
      <c r="P69" s="8">
        <v>240</v>
      </c>
      <c r="Q69" s="150">
        <f>209.8-47.9</f>
        <v>161.9</v>
      </c>
      <c r="R69" s="150">
        <f>209.8-47.9</f>
        <v>161.9</v>
      </c>
      <c r="S69" s="282">
        <f t="shared" si="0"/>
        <v>1</v>
      </c>
    </row>
    <row r="70" spans="1:19" ht="66" customHeight="1">
      <c r="A70" s="72"/>
      <c r="B70" s="74"/>
      <c r="C70" s="68"/>
      <c r="D70" s="71"/>
      <c r="E70" s="66"/>
      <c r="F70" s="66"/>
      <c r="G70" s="51"/>
      <c r="H70" s="9" t="s">
        <v>313</v>
      </c>
      <c r="I70" s="8">
        <v>27</v>
      </c>
      <c r="J70" s="14">
        <v>1</v>
      </c>
      <c r="K70" s="14">
        <v>13</v>
      </c>
      <c r="L70" s="57" t="s">
        <v>536</v>
      </c>
      <c r="M70" s="58" t="s">
        <v>519</v>
      </c>
      <c r="N70" s="58" t="s">
        <v>539</v>
      </c>
      <c r="O70" s="58" t="s">
        <v>585</v>
      </c>
      <c r="P70" s="4"/>
      <c r="Q70" s="151">
        <f>Q71</f>
        <v>4542.5</v>
      </c>
      <c r="R70" s="151">
        <f>R71</f>
        <v>4542.5</v>
      </c>
      <c r="S70" s="282">
        <f t="shared" si="0"/>
        <v>1</v>
      </c>
    </row>
    <row r="71" spans="1:19" ht="27" customHeight="1">
      <c r="A71" s="61"/>
      <c r="B71" s="60"/>
      <c r="C71" s="65"/>
      <c r="D71" s="63"/>
      <c r="E71" s="75"/>
      <c r="F71" s="75"/>
      <c r="G71" s="67">
        <v>120</v>
      </c>
      <c r="H71" s="9" t="s">
        <v>638</v>
      </c>
      <c r="I71" s="8">
        <v>27</v>
      </c>
      <c r="J71" s="14">
        <v>1</v>
      </c>
      <c r="K71" s="14">
        <v>13</v>
      </c>
      <c r="L71" s="57" t="s">
        <v>536</v>
      </c>
      <c r="M71" s="58" t="s">
        <v>519</v>
      </c>
      <c r="N71" s="58" t="s">
        <v>539</v>
      </c>
      <c r="O71" s="58" t="s">
        <v>585</v>
      </c>
      <c r="P71" s="4">
        <v>610</v>
      </c>
      <c r="Q71" s="151">
        <f>3437.1+1105.4</f>
        <v>4542.5</v>
      </c>
      <c r="R71" s="151">
        <f>3437.1+1105.4</f>
        <v>4542.5</v>
      </c>
      <c r="S71" s="282">
        <f t="shared" si="0"/>
        <v>1</v>
      </c>
    </row>
    <row r="72" spans="1:19" ht="21" customHeight="1">
      <c r="A72" s="59"/>
      <c r="B72" s="60"/>
      <c r="C72" s="68"/>
      <c r="D72" s="73"/>
      <c r="E72" s="76"/>
      <c r="F72" s="76"/>
      <c r="G72" s="51"/>
      <c r="H72" s="2" t="s">
        <v>727</v>
      </c>
      <c r="I72" s="8">
        <v>27</v>
      </c>
      <c r="J72" s="14">
        <v>1</v>
      </c>
      <c r="K72" s="14">
        <v>13</v>
      </c>
      <c r="L72" s="57" t="s">
        <v>536</v>
      </c>
      <c r="M72" s="58" t="s">
        <v>519</v>
      </c>
      <c r="N72" s="58" t="s">
        <v>539</v>
      </c>
      <c r="O72" s="58" t="s">
        <v>726</v>
      </c>
      <c r="P72" s="8"/>
      <c r="Q72" s="150">
        <f>SUM(Q73:Q74)</f>
        <v>883</v>
      </c>
      <c r="R72" s="150">
        <f>SUM(R73:R74)</f>
        <v>883</v>
      </c>
      <c r="S72" s="282">
        <f t="shared" si="0"/>
        <v>1</v>
      </c>
    </row>
    <row r="73" spans="1:19" ht="26.25" customHeight="1">
      <c r="A73" s="59"/>
      <c r="B73" s="60"/>
      <c r="C73" s="68"/>
      <c r="D73" s="73"/>
      <c r="E73" s="76"/>
      <c r="F73" s="76"/>
      <c r="G73" s="51"/>
      <c r="H73" s="31" t="s">
        <v>490</v>
      </c>
      <c r="I73" s="8">
        <v>27</v>
      </c>
      <c r="J73" s="14">
        <v>1</v>
      </c>
      <c r="K73" s="14">
        <v>13</v>
      </c>
      <c r="L73" s="57" t="s">
        <v>536</v>
      </c>
      <c r="M73" s="58" t="s">
        <v>519</v>
      </c>
      <c r="N73" s="58" t="s">
        <v>539</v>
      </c>
      <c r="O73" s="58" t="s">
        <v>726</v>
      </c>
      <c r="P73" s="8">
        <v>120</v>
      </c>
      <c r="Q73" s="150">
        <f>479.1+167.7+0.1</f>
        <v>646.9</v>
      </c>
      <c r="R73" s="150">
        <f>479.1+167.7+0.1</f>
        <v>646.9</v>
      </c>
      <c r="S73" s="282">
        <f t="shared" si="0"/>
        <v>1</v>
      </c>
    </row>
    <row r="74" spans="1:19" ht="30" customHeight="1">
      <c r="A74" s="59"/>
      <c r="B74" s="60"/>
      <c r="C74" s="68"/>
      <c r="D74" s="73"/>
      <c r="E74" s="76"/>
      <c r="F74" s="76"/>
      <c r="G74" s="51"/>
      <c r="H74" s="3" t="s">
        <v>636</v>
      </c>
      <c r="I74" s="8">
        <v>27</v>
      </c>
      <c r="J74" s="14">
        <v>1</v>
      </c>
      <c r="K74" s="14">
        <v>13</v>
      </c>
      <c r="L74" s="57" t="s">
        <v>536</v>
      </c>
      <c r="M74" s="58" t="s">
        <v>519</v>
      </c>
      <c r="N74" s="58" t="s">
        <v>539</v>
      </c>
      <c r="O74" s="58" t="s">
        <v>726</v>
      </c>
      <c r="P74" s="8">
        <v>240</v>
      </c>
      <c r="Q74" s="150">
        <f>305.3+98.5-167.7</f>
        <v>236.10000000000002</v>
      </c>
      <c r="R74" s="150">
        <f>305.3+98.5-167.7</f>
        <v>236.10000000000002</v>
      </c>
      <c r="S74" s="282">
        <f t="shared" si="0"/>
        <v>1</v>
      </c>
    </row>
    <row r="75" spans="1:19" ht="38.25" customHeight="1">
      <c r="A75" s="59"/>
      <c r="B75" s="60"/>
      <c r="C75" s="68"/>
      <c r="D75" s="73"/>
      <c r="E75" s="76"/>
      <c r="F75" s="76"/>
      <c r="G75" s="51"/>
      <c r="H75" s="2" t="s">
        <v>485</v>
      </c>
      <c r="I75" s="8">
        <v>27</v>
      </c>
      <c r="J75" s="14">
        <v>1</v>
      </c>
      <c r="K75" s="14">
        <v>13</v>
      </c>
      <c r="L75" s="57" t="s">
        <v>536</v>
      </c>
      <c r="M75" s="58" t="s">
        <v>519</v>
      </c>
      <c r="N75" s="58" t="s">
        <v>539</v>
      </c>
      <c r="O75" s="58" t="s">
        <v>486</v>
      </c>
      <c r="P75" s="8" t="s">
        <v>557</v>
      </c>
      <c r="Q75" s="150">
        <f>Q76</f>
        <v>2.200000000000001</v>
      </c>
      <c r="R75" s="150">
        <f>R76</f>
        <v>0</v>
      </c>
      <c r="S75" s="282">
        <f t="shared" si="0"/>
        <v>0</v>
      </c>
    </row>
    <row r="76" spans="1:19" ht="28.5" customHeight="1">
      <c r="A76" s="59"/>
      <c r="B76" s="60"/>
      <c r="C76" s="68"/>
      <c r="D76" s="73"/>
      <c r="E76" s="76"/>
      <c r="F76" s="76"/>
      <c r="G76" s="51"/>
      <c r="H76" s="2" t="s">
        <v>636</v>
      </c>
      <c r="I76" s="8">
        <v>27</v>
      </c>
      <c r="J76" s="14">
        <v>1</v>
      </c>
      <c r="K76" s="14">
        <v>13</v>
      </c>
      <c r="L76" s="57" t="s">
        <v>536</v>
      </c>
      <c r="M76" s="58" t="s">
        <v>519</v>
      </c>
      <c r="N76" s="58" t="s">
        <v>539</v>
      </c>
      <c r="O76" s="58" t="s">
        <v>486</v>
      </c>
      <c r="P76" s="8">
        <v>240</v>
      </c>
      <c r="Q76" s="150">
        <f>6+11.8-15.6</f>
        <v>2.200000000000001</v>
      </c>
      <c r="R76" s="150">
        <v>0</v>
      </c>
      <c r="S76" s="282">
        <f aca="true" t="shared" si="2" ref="S76:S139">R76/Q76</f>
        <v>0</v>
      </c>
    </row>
    <row r="77" spans="1:19" ht="27.75" customHeight="1" hidden="1">
      <c r="A77" s="59"/>
      <c r="B77" s="60"/>
      <c r="C77" s="68"/>
      <c r="D77" s="73"/>
      <c r="E77" s="76"/>
      <c r="F77" s="76"/>
      <c r="G77" s="51"/>
      <c r="H77" s="2" t="s">
        <v>253</v>
      </c>
      <c r="I77" s="8">
        <v>27</v>
      </c>
      <c r="J77" s="14">
        <v>1</v>
      </c>
      <c r="K77" s="14">
        <v>13</v>
      </c>
      <c r="L77" s="57" t="s">
        <v>536</v>
      </c>
      <c r="M77" s="58" t="s">
        <v>519</v>
      </c>
      <c r="N77" s="58" t="s">
        <v>539</v>
      </c>
      <c r="O77" s="58" t="s">
        <v>3</v>
      </c>
      <c r="P77" s="8"/>
      <c r="Q77" s="150">
        <f>Q78</f>
        <v>0</v>
      </c>
      <c r="R77" s="150">
        <f>R78</f>
        <v>0</v>
      </c>
      <c r="S77" s="282" t="e">
        <f t="shared" si="2"/>
        <v>#DIV/0!</v>
      </c>
    </row>
    <row r="78" spans="1:19" ht="33.75" customHeight="1" hidden="1">
      <c r="A78" s="59"/>
      <c r="B78" s="60"/>
      <c r="C78" s="68"/>
      <c r="D78" s="73"/>
      <c r="E78" s="76"/>
      <c r="F78" s="76"/>
      <c r="G78" s="51"/>
      <c r="H78" s="2" t="s">
        <v>636</v>
      </c>
      <c r="I78" s="8">
        <v>27</v>
      </c>
      <c r="J78" s="14">
        <v>1</v>
      </c>
      <c r="K78" s="14">
        <v>13</v>
      </c>
      <c r="L78" s="57" t="s">
        <v>536</v>
      </c>
      <c r="M78" s="58" t="s">
        <v>519</v>
      </c>
      <c r="N78" s="58" t="s">
        <v>539</v>
      </c>
      <c r="O78" s="58" t="s">
        <v>3</v>
      </c>
      <c r="P78" s="8">
        <v>240</v>
      </c>
      <c r="Q78" s="150">
        <v>0</v>
      </c>
      <c r="R78" s="150">
        <v>0</v>
      </c>
      <c r="S78" s="282" t="e">
        <f t="shared" si="2"/>
        <v>#DIV/0!</v>
      </c>
    </row>
    <row r="79" spans="1:19" ht="33.75" customHeight="1">
      <c r="A79" s="76"/>
      <c r="B79" s="73"/>
      <c r="C79" s="68"/>
      <c r="D79" s="73"/>
      <c r="E79" s="76"/>
      <c r="F79" s="76"/>
      <c r="G79" s="51"/>
      <c r="H79" s="233" t="s">
        <v>62</v>
      </c>
      <c r="I79" s="8">
        <v>27</v>
      </c>
      <c r="J79" s="14">
        <v>1</v>
      </c>
      <c r="K79" s="14">
        <v>13</v>
      </c>
      <c r="L79" s="57" t="s">
        <v>63</v>
      </c>
      <c r="M79" s="58" t="s">
        <v>519</v>
      </c>
      <c r="N79" s="58" t="s">
        <v>539</v>
      </c>
      <c r="O79" s="58" t="s">
        <v>64</v>
      </c>
      <c r="P79" s="4"/>
      <c r="Q79" s="151">
        <v>111.3</v>
      </c>
      <c r="R79" s="151">
        <v>111.3</v>
      </c>
      <c r="S79" s="282">
        <f t="shared" si="2"/>
        <v>1</v>
      </c>
    </row>
    <row r="80" spans="1:19" ht="33.75" customHeight="1">
      <c r="A80" s="76"/>
      <c r="B80" s="73"/>
      <c r="C80" s="68"/>
      <c r="D80" s="73"/>
      <c r="E80" s="76"/>
      <c r="F80" s="76"/>
      <c r="G80" s="51"/>
      <c r="H80" s="9" t="s">
        <v>583</v>
      </c>
      <c r="I80" s="8">
        <v>27</v>
      </c>
      <c r="J80" s="14">
        <v>1</v>
      </c>
      <c r="K80" s="14">
        <v>13</v>
      </c>
      <c r="L80" s="57" t="s">
        <v>536</v>
      </c>
      <c r="M80" s="58" t="s">
        <v>519</v>
      </c>
      <c r="N80" s="58" t="s">
        <v>539</v>
      </c>
      <c r="O80" s="58" t="s">
        <v>64</v>
      </c>
      <c r="P80" s="4">
        <v>240</v>
      </c>
      <c r="Q80" s="151">
        <v>111.3</v>
      </c>
      <c r="R80" s="151">
        <v>111.3</v>
      </c>
      <c r="S80" s="282">
        <f t="shared" si="2"/>
        <v>1</v>
      </c>
    </row>
    <row r="81" spans="1:19" s="135" customFormat="1" ht="27" customHeight="1">
      <c r="A81" s="94"/>
      <c r="B81" s="94"/>
      <c r="C81" s="94"/>
      <c r="D81" s="94"/>
      <c r="E81" s="94"/>
      <c r="F81" s="94"/>
      <c r="G81" s="95"/>
      <c r="H81" s="96" t="s">
        <v>512</v>
      </c>
      <c r="I81" s="97">
        <v>27</v>
      </c>
      <c r="J81" s="98">
        <v>3</v>
      </c>
      <c r="K81" s="98" t="s">
        <v>557</v>
      </c>
      <c r="L81" s="99"/>
      <c r="M81" s="100"/>
      <c r="N81" s="100"/>
      <c r="O81" s="100"/>
      <c r="P81" s="105"/>
      <c r="Q81" s="152">
        <f>Q82+Q89</f>
        <v>2213.7999999999997</v>
      </c>
      <c r="R81" s="152">
        <f>R82+R89</f>
        <v>2200.7</v>
      </c>
      <c r="S81" s="282">
        <f t="shared" si="2"/>
        <v>0.9940825729514862</v>
      </c>
    </row>
    <row r="82" spans="1:19" s="135" customFormat="1" ht="33" customHeight="1">
      <c r="A82" s="94"/>
      <c r="B82" s="94"/>
      <c r="C82" s="94"/>
      <c r="D82" s="94"/>
      <c r="E82" s="94"/>
      <c r="F82" s="94"/>
      <c r="G82" s="95"/>
      <c r="H82" s="96" t="s">
        <v>514</v>
      </c>
      <c r="I82" s="97">
        <v>27</v>
      </c>
      <c r="J82" s="98">
        <v>3</v>
      </c>
      <c r="K82" s="98">
        <v>9</v>
      </c>
      <c r="L82" s="99" t="s">
        <v>491</v>
      </c>
      <c r="M82" s="100" t="s">
        <v>491</v>
      </c>
      <c r="N82" s="100"/>
      <c r="O82" s="100" t="s">
        <v>491</v>
      </c>
      <c r="P82" s="105" t="s">
        <v>491</v>
      </c>
      <c r="Q82" s="152">
        <f>Q83</f>
        <v>2062.7999999999997</v>
      </c>
      <c r="R82" s="152">
        <f>R83</f>
        <v>2059.7</v>
      </c>
      <c r="S82" s="282">
        <f t="shared" si="2"/>
        <v>0.9984971882877642</v>
      </c>
    </row>
    <row r="83" spans="1:19" s="135" customFormat="1" ht="33" customHeight="1">
      <c r="A83" s="94"/>
      <c r="B83" s="94"/>
      <c r="C83" s="94"/>
      <c r="D83" s="94"/>
      <c r="E83" s="94"/>
      <c r="F83" s="94"/>
      <c r="G83" s="95"/>
      <c r="H83" s="9" t="s">
        <v>267</v>
      </c>
      <c r="I83" s="8">
        <v>27</v>
      </c>
      <c r="J83" s="14">
        <v>3</v>
      </c>
      <c r="K83" s="14">
        <v>9</v>
      </c>
      <c r="L83" s="57" t="s">
        <v>536</v>
      </c>
      <c r="M83" s="58" t="s">
        <v>519</v>
      </c>
      <c r="N83" s="58" t="s">
        <v>539</v>
      </c>
      <c r="O83" s="58" t="s">
        <v>556</v>
      </c>
      <c r="P83" s="105"/>
      <c r="Q83" s="152">
        <f>Q84+Q87</f>
        <v>2062.7999999999997</v>
      </c>
      <c r="R83" s="152">
        <f>R84+R87</f>
        <v>2059.7</v>
      </c>
      <c r="S83" s="282">
        <f t="shared" si="2"/>
        <v>0.9984971882877642</v>
      </c>
    </row>
    <row r="84" spans="1:19" ht="26.25" customHeight="1">
      <c r="A84" s="50"/>
      <c r="B84" s="50"/>
      <c r="C84" s="50"/>
      <c r="D84" s="50"/>
      <c r="E84" s="50"/>
      <c r="F84" s="50"/>
      <c r="G84" s="51"/>
      <c r="H84" s="9" t="s">
        <v>311</v>
      </c>
      <c r="I84" s="8">
        <v>27</v>
      </c>
      <c r="J84" s="14">
        <v>3</v>
      </c>
      <c r="K84" s="14">
        <v>9</v>
      </c>
      <c r="L84" s="57" t="s">
        <v>536</v>
      </c>
      <c r="M84" s="58" t="s">
        <v>519</v>
      </c>
      <c r="N84" s="58" t="s">
        <v>539</v>
      </c>
      <c r="O84" s="58" t="s">
        <v>312</v>
      </c>
      <c r="P84" s="4" t="s">
        <v>491</v>
      </c>
      <c r="Q84" s="151">
        <f>SUM(Q85:Q86)</f>
        <v>1725.8999999999999</v>
      </c>
      <c r="R84" s="151">
        <f>SUM(R85:R86)</f>
        <v>1722.8</v>
      </c>
      <c r="S84" s="282">
        <f t="shared" si="2"/>
        <v>0.9982038356799352</v>
      </c>
    </row>
    <row r="85" spans="1:19" ht="26.25" customHeight="1">
      <c r="A85" s="50"/>
      <c r="B85" s="50"/>
      <c r="C85" s="50"/>
      <c r="D85" s="50"/>
      <c r="E85" s="50"/>
      <c r="F85" s="50"/>
      <c r="G85" s="51"/>
      <c r="H85" s="9" t="s">
        <v>639</v>
      </c>
      <c r="I85" s="4">
        <v>27</v>
      </c>
      <c r="J85" s="16">
        <v>3</v>
      </c>
      <c r="K85" s="14">
        <v>9</v>
      </c>
      <c r="L85" s="57" t="s">
        <v>536</v>
      </c>
      <c r="M85" s="58" t="s">
        <v>519</v>
      </c>
      <c r="N85" s="58" t="s">
        <v>539</v>
      </c>
      <c r="O85" s="58" t="s">
        <v>312</v>
      </c>
      <c r="P85" s="4">
        <v>110</v>
      </c>
      <c r="Q85" s="151">
        <f>1690.1-2.6-37.4+39.5</f>
        <v>1689.6</v>
      </c>
      <c r="R85" s="151">
        <v>1689.2</v>
      </c>
      <c r="S85" s="282">
        <f t="shared" si="2"/>
        <v>0.9997632575757577</v>
      </c>
    </row>
    <row r="86" spans="1:19" ht="23.25" customHeight="1">
      <c r="A86" s="50"/>
      <c r="B86" s="50"/>
      <c r="C86" s="50"/>
      <c r="D86" s="50"/>
      <c r="E86" s="50"/>
      <c r="F86" s="50"/>
      <c r="G86" s="51"/>
      <c r="H86" s="3" t="s">
        <v>636</v>
      </c>
      <c r="I86" s="6">
        <v>27</v>
      </c>
      <c r="J86" s="18">
        <v>3</v>
      </c>
      <c r="K86" s="14">
        <v>9</v>
      </c>
      <c r="L86" s="57" t="s">
        <v>536</v>
      </c>
      <c r="M86" s="58" t="s">
        <v>519</v>
      </c>
      <c r="N86" s="58" t="s">
        <v>539</v>
      </c>
      <c r="O86" s="58" t="s">
        <v>312</v>
      </c>
      <c r="P86" s="4">
        <v>240</v>
      </c>
      <c r="Q86" s="150">
        <f>65.8-20-3.5-6</f>
        <v>36.3</v>
      </c>
      <c r="R86" s="150">
        <v>33.6</v>
      </c>
      <c r="S86" s="282">
        <f t="shared" si="2"/>
        <v>0.9256198347107439</v>
      </c>
    </row>
    <row r="87" spans="1:19" ht="23.25" customHeight="1">
      <c r="A87" s="50"/>
      <c r="B87" s="50"/>
      <c r="C87" s="50"/>
      <c r="D87" s="50"/>
      <c r="E87" s="50"/>
      <c r="F87" s="50"/>
      <c r="G87" s="51"/>
      <c r="H87" s="9" t="s">
        <v>50</v>
      </c>
      <c r="I87" s="4">
        <v>27</v>
      </c>
      <c r="J87" s="5">
        <v>3</v>
      </c>
      <c r="K87" s="14">
        <v>9</v>
      </c>
      <c r="L87" s="57" t="s">
        <v>536</v>
      </c>
      <c r="M87" s="58" t="s">
        <v>519</v>
      </c>
      <c r="N87" s="58" t="s">
        <v>539</v>
      </c>
      <c r="O87" s="58" t="s">
        <v>49</v>
      </c>
      <c r="P87" s="4"/>
      <c r="Q87" s="151">
        <f>Q88</f>
        <v>336.9</v>
      </c>
      <c r="R87" s="151">
        <f>R88</f>
        <v>336.9</v>
      </c>
      <c r="S87" s="282">
        <f t="shared" si="2"/>
        <v>1</v>
      </c>
    </row>
    <row r="88" spans="1:19" ht="23.25" customHeight="1">
      <c r="A88" s="50"/>
      <c r="B88" s="50"/>
      <c r="C88" s="50"/>
      <c r="D88" s="50"/>
      <c r="E88" s="50"/>
      <c r="F88" s="50"/>
      <c r="G88" s="51"/>
      <c r="H88" s="9" t="s">
        <v>639</v>
      </c>
      <c r="I88" s="4">
        <v>27</v>
      </c>
      <c r="J88" s="5">
        <v>3</v>
      </c>
      <c r="K88" s="14">
        <v>9</v>
      </c>
      <c r="L88" s="57" t="s">
        <v>536</v>
      </c>
      <c r="M88" s="58" t="s">
        <v>519</v>
      </c>
      <c r="N88" s="58" t="s">
        <v>539</v>
      </c>
      <c r="O88" s="58" t="s">
        <v>49</v>
      </c>
      <c r="P88" s="4">
        <v>110</v>
      </c>
      <c r="Q88" s="151">
        <v>336.9</v>
      </c>
      <c r="R88" s="151">
        <v>336.9</v>
      </c>
      <c r="S88" s="282">
        <f t="shared" si="2"/>
        <v>1</v>
      </c>
    </row>
    <row r="89" spans="1:19" s="135" customFormat="1" ht="25.5" customHeight="1">
      <c r="A89" s="94"/>
      <c r="B89" s="94"/>
      <c r="C89" s="94"/>
      <c r="D89" s="94"/>
      <c r="E89" s="94"/>
      <c r="F89" s="94"/>
      <c r="G89" s="95"/>
      <c r="H89" s="96" t="s">
        <v>513</v>
      </c>
      <c r="I89" s="97">
        <v>27</v>
      </c>
      <c r="J89" s="98">
        <v>3</v>
      </c>
      <c r="K89" s="98">
        <v>14</v>
      </c>
      <c r="L89" s="99"/>
      <c r="M89" s="100"/>
      <c r="N89" s="100"/>
      <c r="O89" s="100"/>
      <c r="P89" s="105"/>
      <c r="Q89" s="152">
        <f>Q90</f>
        <v>151</v>
      </c>
      <c r="R89" s="152">
        <f>R90</f>
        <v>141</v>
      </c>
      <c r="S89" s="282">
        <f t="shared" si="2"/>
        <v>0.9337748344370861</v>
      </c>
    </row>
    <row r="90" spans="1:19" ht="38.25" customHeight="1">
      <c r="A90" s="50"/>
      <c r="B90" s="50"/>
      <c r="C90" s="50"/>
      <c r="D90" s="50"/>
      <c r="E90" s="50"/>
      <c r="F90" s="50"/>
      <c r="G90" s="51"/>
      <c r="H90" s="9" t="s">
        <v>220</v>
      </c>
      <c r="I90" s="8">
        <v>27</v>
      </c>
      <c r="J90" s="14">
        <v>3</v>
      </c>
      <c r="K90" s="14">
        <v>14</v>
      </c>
      <c r="L90" s="57" t="s">
        <v>549</v>
      </c>
      <c r="M90" s="58" t="s">
        <v>519</v>
      </c>
      <c r="N90" s="58" t="s">
        <v>539</v>
      </c>
      <c r="O90" s="58" t="s">
        <v>556</v>
      </c>
      <c r="P90" s="4"/>
      <c r="Q90" s="151">
        <f>Q91</f>
        <v>151</v>
      </c>
      <c r="R90" s="151">
        <f>R91</f>
        <v>141</v>
      </c>
      <c r="S90" s="282">
        <f t="shared" si="2"/>
        <v>0.9337748344370861</v>
      </c>
    </row>
    <row r="91" spans="1:19" ht="22.5" customHeight="1">
      <c r="A91" s="50"/>
      <c r="B91" s="50"/>
      <c r="C91" s="50"/>
      <c r="D91" s="50"/>
      <c r="E91" s="50"/>
      <c r="F91" s="50"/>
      <c r="G91" s="51"/>
      <c r="H91" s="9" t="s">
        <v>590</v>
      </c>
      <c r="I91" s="8">
        <v>27</v>
      </c>
      <c r="J91" s="14">
        <v>3</v>
      </c>
      <c r="K91" s="14">
        <v>14</v>
      </c>
      <c r="L91" s="57" t="s">
        <v>549</v>
      </c>
      <c r="M91" s="58" t="s">
        <v>516</v>
      </c>
      <c r="N91" s="58" t="s">
        <v>539</v>
      </c>
      <c r="O91" s="58" t="s">
        <v>556</v>
      </c>
      <c r="P91" s="4"/>
      <c r="Q91" s="151">
        <f>Q96+Q92+Q99</f>
        <v>151</v>
      </c>
      <c r="R91" s="151">
        <f>R96+R92+R99</f>
        <v>141</v>
      </c>
      <c r="S91" s="282">
        <f t="shared" si="2"/>
        <v>0.9337748344370861</v>
      </c>
    </row>
    <row r="92" spans="1:19" ht="22.5" customHeight="1">
      <c r="A92" s="50"/>
      <c r="B92" s="50"/>
      <c r="C92" s="50"/>
      <c r="D92" s="50"/>
      <c r="E92" s="50"/>
      <c r="F92" s="50"/>
      <c r="G92" s="51"/>
      <c r="H92" s="9" t="s">
        <v>143</v>
      </c>
      <c r="I92" s="8">
        <v>27</v>
      </c>
      <c r="J92" s="14">
        <v>3</v>
      </c>
      <c r="K92" s="14">
        <v>14</v>
      </c>
      <c r="L92" s="57" t="s">
        <v>549</v>
      </c>
      <c r="M92" s="58" t="s">
        <v>516</v>
      </c>
      <c r="N92" s="58" t="s">
        <v>546</v>
      </c>
      <c r="O92" s="58" t="s">
        <v>556</v>
      </c>
      <c r="P92" s="4"/>
      <c r="Q92" s="151">
        <f>Q93</f>
        <v>5</v>
      </c>
      <c r="R92" s="151">
        <f>R93</f>
        <v>0</v>
      </c>
      <c r="S92" s="282">
        <f t="shared" si="2"/>
        <v>0</v>
      </c>
    </row>
    <row r="93" spans="1:19" ht="22.5" customHeight="1">
      <c r="A93" s="50"/>
      <c r="B93" s="50"/>
      <c r="C93" s="50"/>
      <c r="D93" s="50"/>
      <c r="E93" s="50"/>
      <c r="F93" s="50"/>
      <c r="G93" s="51"/>
      <c r="H93" s="9" t="s">
        <v>144</v>
      </c>
      <c r="I93" s="8">
        <v>27</v>
      </c>
      <c r="J93" s="14">
        <v>3</v>
      </c>
      <c r="K93" s="14">
        <v>14</v>
      </c>
      <c r="L93" s="57" t="s">
        <v>549</v>
      </c>
      <c r="M93" s="58" t="s">
        <v>516</v>
      </c>
      <c r="N93" s="58" t="s">
        <v>546</v>
      </c>
      <c r="O93" s="58" t="s">
        <v>141</v>
      </c>
      <c r="P93" s="4"/>
      <c r="Q93" s="151">
        <f>Q94+Q95</f>
        <v>5</v>
      </c>
      <c r="R93" s="151">
        <f>R94+R95</f>
        <v>0</v>
      </c>
      <c r="S93" s="282">
        <f t="shared" si="2"/>
        <v>0</v>
      </c>
    </row>
    <row r="94" spans="1:19" ht="22.5" customHeight="1" hidden="1">
      <c r="A94" s="50"/>
      <c r="B94" s="50"/>
      <c r="C94" s="50"/>
      <c r="D94" s="50"/>
      <c r="E94" s="50"/>
      <c r="F94" s="50"/>
      <c r="G94" s="51"/>
      <c r="H94" s="31" t="s">
        <v>636</v>
      </c>
      <c r="I94" s="8">
        <v>27</v>
      </c>
      <c r="J94" s="14">
        <v>3</v>
      </c>
      <c r="K94" s="14">
        <v>14</v>
      </c>
      <c r="L94" s="57" t="s">
        <v>549</v>
      </c>
      <c r="M94" s="58" t="s">
        <v>516</v>
      </c>
      <c r="N94" s="58" t="s">
        <v>546</v>
      </c>
      <c r="O94" s="58" t="s">
        <v>141</v>
      </c>
      <c r="P94" s="4">
        <v>240</v>
      </c>
      <c r="Q94" s="151">
        <f>15-15</f>
        <v>0</v>
      </c>
      <c r="R94" s="151">
        <f>15-15</f>
        <v>0</v>
      </c>
      <c r="S94" s="282" t="e">
        <f t="shared" si="2"/>
        <v>#DIV/0!</v>
      </c>
    </row>
    <row r="95" spans="1:19" ht="22.5" customHeight="1">
      <c r="A95" s="50"/>
      <c r="B95" s="50"/>
      <c r="C95" s="50"/>
      <c r="D95" s="50"/>
      <c r="E95" s="50"/>
      <c r="F95" s="50"/>
      <c r="G95" s="51"/>
      <c r="H95" s="9" t="s">
        <v>142</v>
      </c>
      <c r="I95" s="8">
        <v>27</v>
      </c>
      <c r="J95" s="14">
        <v>3</v>
      </c>
      <c r="K95" s="14">
        <v>14</v>
      </c>
      <c r="L95" s="57" t="s">
        <v>549</v>
      </c>
      <c r="M95" s="58" t="s">
        <v>516</v>
      </c>
      <c r="N95" s="58" t="s">
        <v>546</v>
      </c>
      <c r="O95" s="58" t="s">
        <v>141</v>
      </c>
      <c r="P95" s="4">
        <v>360</v>
      </c>
      <c r="Q95" s="151">
        <v>5</v>
      </c>
      <c r="R95" s="151">
        <v>0</v>
      </c>
      <c r="S95" s="282">
        <f t="shared" si="2"/>
        <v>0</v>
      </c>
    </row>
    <row r="96" spans="1:19" ht="36.75" customHeight="1">
      <c r="A96" s="50"/>
      <c r="B96" s="50"/>
      <c r="C96" s="50"/>
      <c r="D96" s="50"/>
      <c r="E96" s="50"/>
      <c r="F96" s="50"/>
      <c r="G96" s="51"/>
      <c r="H96" s="9" t="s">
        <v>245</v>
      </c>
      <c r="I96" s="8">
        <v>27</v>
      </c>
      <c r="J96" s="14">
        <v>3</v>
      </c>
      <c r="K96" s="14">
        <v>14</v>
      </c>
      <c r="L96" s="57" t="s">
        <v>549</v>
      </c>
      <c r="M96" s="58" t="s">
        <v>516</v>
      </c>
      <c r="N96" s="58" t="s">
        <v>544</v>
      </c>
      <c r="O96" s="58" t="s">
        <v>556</v>
      </c>
      <c r="P96" s="4"/>
      <c r="Q96" s="151">
        <f>Q97</f>
        <v>136</v>
      </c>
      <c r="R96" s="151">
        <f>R97</f>
        <v>136</v>
      </c>
      <c r="S96" s="282">
        <f t="shared" si="2"/>
        <v>1</v>
      </c>
    </row>
    <row r="97" spans="1:19" ht="22.5" customHeight="1">
      <c r="A97" s="50"/>
      <c r="B97" s="50"/>
      <c r="C97" s="50"/>
      <c r="D97" s="50"/>
      <c r="E97" s="50"/>
      <c r="F97" s="50"/>
      <c r="G97" s="51"/>
      <c r="H97" s="31" t="s">
        <v>634</v>
      </c>
      <c r="I97" s="8">
        <v>27</v>
      </c>
      <c r="J97" s="14">
        <v>3</v>
      </c>
      <c r="K97" s="14">
        <v>14</v>
      </c>
      <c r="L97" s="14">
        <v>13</v>
      </c>
      <c r="M97" s="58" t="s">
        <v>516</v>
      </c>
      <c r="N97" s="58" t="s">
        <v>544</v>
      </c>
      <c r="O97" s="58" t="s">
        <v>317</v>
      </c>
      <c r="P97" s="4"/>
      <c r="Q97" s="151">
        <f>Q98</f>
        <v>136</v>
      </c>
      <c r="R97" s="151">
        <f>R98</f>
        <v>136</v>
      </c>
      <c r="S97" s="282">
        <f t="shared" si="2"/>
        <v>1</v>
      </c>
    </row>
    <row r="98" spans="1:19" ht="22.5" customHeight="1">
      <c r="A98" s="50"/>
      <c r="B98" s="50"/>
      <c r="C98" s="50"/>
      <c r="D98" s="50"/>
      <c r="E98" s="50"/>
      <c r="F98" s="50"/>
      <c r="G98" s="51"/>
      <c r="H98" s="31" t="s">
        <v>636</v>
      </c>
      <c r="I98" s="4">
        <v>27</v>
      </c>
      <c r="J98" s="16">
        <v>3</v>
      </c>
      <c r="K98" s="14">
        <v>14</v>
      </c>
      <c r="L98" s="14">
        <v>13</v>
      </c>
      <c r="M98" s="58" t="s">
        <v>516</v>
      </c>
      <c r="N98" s="58" t="s">
        <v>544</v>
      </c>
      <c r="O98" s="58" t="s">
        <v>317</v>
      </c>
      <c r="P98" s="4">
        <v>240</v>
      </c>
      <c r="Q98" s="151">
        <f>181-45</f>
        <v>136</v>
      </c>
      <c r="R98" s="151">
        <f>181-45</f>
        <v>136</v>
      </c>
      <c r="S98" s="282">
        <f t="shared" si="2"/>
        <v>1</v>
      </c>
    </row>
    <row r="99" spans="1:19" ht="22.5" customHeight="1">
      <c r="A99" s="50"/>
      <c r="B99" s="50"/>
      <c r="C99" s="50"/>
      <c r="D99" s="50"/>
      <c r="E99" s="50"/>
      <c r="F99" s="50"/>
      <c r="G99" s="51"/>
      <c r="H99" s="9" t="s">
        <v>145</v>
      </c>
      <c r="I99" s="4">
        <v>27</v>
      </c>
      <c r="J99" s="16">
        <v>3</v>
      </c>
      <c r="K99" s="14">
        <v>14</v>
      </c>
      <c r="L99" s="14">
        <v>13</v>
      </c>
      <c r="M99" s="58" t="s">
        <v>516</v>
      </c>
      <c r="N99" s="58" t="s">
        <v>524</v>
      </c>
      <c r="O99" s="58" t="s">
        <v>556</v>
      </c>
      <c r="P99" s="4"/>
      <c r="Q99" s="151">
        <f>Q100</f>
        <v>10</v>
      </c>
      <c r="R99" s="151">
        <f>R100</f>
        <v>5</v>
      </c>
      <c r="S99" s="282">
        <f t="shared" si="2"/>
        <v>0.5</v>
      </c>
    </row>
    <row r="100" spans="1:19" ht="21" customHeight="1">
      <c r="A100" s="50"/>
      <c r="B100" s="50"/>
      <c r="C100" s="50"/>
      <c r="D100" s="50"/>
      <c r="E100" s="50"/>
      <c r="F100" s="50"/>
      <c r="G100" s="51"/>
      <c r="H100" s="9" t="s">
        <v>146</v>
      </c>
      <c r="I100" s="4">
        <v>27</v>
      </c>
      <c r="J100" s="18">
        <v>3</v>
      </c>
      <c r="K100" s="14">
        <v>14</v>
      </c>
      <c r="L100" s="14">
        <v>13</v>
      </c>
      <c r="M100" s="58" t="s">
        <v>516</v>
      </c>
      <c r="N100" s="58" t="s">
        <v>524</v>
      </c>
      <c r="O100" s="58" t="s">
        <v>226</v>
      </c>
      <c r="P100" s="4"/>
      <c r="Q100" s="151">
        <f>Q101</f>
        <v>10</v>
      </c>
      <c r="R100" s="151">
        <f>R101</f>
        <v>5</v>
      </c>
      <c r="S100" s="282">
        <f t="shared" si="2"/>
        <v>0.5</v>
      </c>
    </row>
    <row r="101" spans="1:19" ht="19.5" customHeight="1">
      <c r="A101" s="50"/>
      <c r="B101" s="50"/>
      <c r="C101" s="50"/>
      <c r="D101" s="50"/>
      <c r="E101" s="50"/>
      <c r="F101" s="50"/>
      <c r="G101" s="51"/>
      <c r="H101" s="31" t="s">
        <v>636</v>
      </c>
      <c r="I101" s="4">
        <v>27</v>
      </c>
      <c r="J101" s="18">
        <v>3</v>
      </c>
      <c r="K101" s="14">
        <v>14</v>
      </c>
      <c r="L101" s="14">
        <v>13</v>
      </c>
      <c r="M101" s="58" t="s">
        <v>516</v>
      </c>
      <c r="N101" s="58" t="s">
        <v>524</v>
      </c>
      <c r="O101" s="58" t="s">
        <v>226</v>
      </c>
      <c r="P101" s="4">
        <v>240</v>
      </c>
      <c r="Q101" s="151">
        <v>10</v>
      </c>
      <c r="R101" s="151">
        <v>5</v>
      </c>
      <c r="S101" s="282">
        <f t="shared" si="2"/>
        <v>0.5</v>
      </c>
    </row>
    <row r="102" spans="1:19" s="135" customFormat="1" ht="23.25" customHeight="1">
      <c r="A102" s="94"/>
      <c r="B102" s="94"/>
      <c r="C102" s="94"/>
      <c r="D102" s="94"/>
      <c r="E102" s="94"/>
      <c r="F102" s="94"/>
      <c r="G102" s="95"/>
      <c r="H102" s="96" t="s">
        <v>504</v>
      </c>
      <c r="I102" s="105">
        <v>27</v>
      </c>
      <c r="J102" s="107">
        <v>4</v>
      </c>
      <c r="K102" s="98"/>
      <c r="L102" s="99"/>
      <c r="M102" s="100"/>
      <c r="N102" s="100"/>
      <c r="O102" s="100"/>
      <c r="P102" s="105"/>
      <c r="Q102" s="152">
        <f>Q103+Q109+Q147</f>
        <v>71539.2</v>
      </c>
      <c r="R102" s="152">
        <f>R103+R109+R147</f>
        <v>69710.9</v>
      </c>
      <c r="S102" s="282">
        <f t="shared" si="2"/>
        <v>0.9744433820898193</v>
      </c>
    </row>
    <row r="103" spans="1:19" s="135" customFormat="1" ht="26.25" customHeight="1">
      <c r="A103" s="101"/>
      <c r="B103" s="102"/>
      <c r="C103" s="112"/>
      <c r="D103" s="170"/>
      <c r="E103" s="125"/>
      <c r="F103" s="125"/>
      <c r="G103" s="95"/>
      <c r="H103" s="228" t="s">
        <v>318</v>
      </c>
      <c r="I103" s="111">
        <v>27</v>
      </c>
      <c r="J103" s="115">
        <v>4</v>
      </c>
      <c r="K103" s="98">
        <v>8</v>
      </c>
      <c r="L103" s="99"/>
      <c r="M103" s="100"/>
      <c r="N103" s="100"/>
      <c r="O103" s="100"/>
      <c r="P103" s="97"/>
      <c r="Q103" s="149">
        <f>Q104</f>
        <v>1751</v>
      </c>
      <c r="R103" s="149">
        <f>R104</f>
        <v>1682.9</v>
      </c>
      <c r="S103" s="282">
        <f t="shared" si="2"/>
        <v>0.9611079383209595</v>
      </c>
    </row>
    <row r="104" spans="1:19" s="135" customFormat="1" ht="26.25" customHeight="1">
      <c r="A104" s="101"/>
      <c r="B104" s="102"/>
      <c r="C104" s="112"/>
      <c r="D104" s="170"/>
      <c r="E104" s="125"/>
      <c r="F104" s="125"/>
      <c r="G104" s="95"/>
      <c r="H104" s="9" t="s">
        <v>267</v>
      </c>
      <c r="I104" s="4">
        <v>27</v>
      </c>
      <c r="J104" s="18">
        <v>4</v>
      </c>
      <c r="K104" s="14">
        <v>8</v>
      </c>
      <c r="L104" s="57" t="s">
        <v>536</v>
      </c>
      <c r="M104" s="58" t="s">
        <v>519</v>
      </c>
      <c r="N104" s="58" t="s">
        <v>539</v>
      </c>
      <c r="O104" s="58" t="s">
        <v>556</v>
      </c>
      <c r="P104" s="97"/>
      <c r="Q104" s="149">
        <f>Q105+Q107</f>
        <v>1751</v>
      </c>
      <c r="R104" s="149">
        <f>R105+R107</f>
        <v>1682.9</v>
      </c>
      <c r="S104" s="282">
        <f t="shared" si="2"/>
        <v>0.9611079383209595</v>
      </c>
    </row>
    <row r="105" spans="1:19" ht="26.25" customHeight="1">
      <c r="A105" s="61"/>
      <c r="B105" s="60"/>
      <c r="C105" s="65"/>
      <c r="D105" s="73"/>
      <c r="E105" s="76"/>
      <c r="F105" s="76"/>
      <c r="G105" s="51"/>
      <c r="H105" s="27" t="s">
        <v>661</v>
      </c>
      <c r="I105" s="6">
        <v>27</v>
      </c>
      <c r="J105" s="18">
        <v>4</v>
      </c>
      <c r="K105" s="14">
        <v>8</v>
      </c>
      <c r="L105" s="57" t="s">
        <v>536</v>
      </c>
      <c r="M105" s="58" t="s">
        <v>519</v>
      </c>
      <c r="N105" s="58" t="s">
        <v>539</v>
      </c>
      <c r="O105" s="58" t="s">
        <v>643</v>
      </c>
      <c r="P105" s="8"/>
      <c r="Q105" s="150">
        <f>Q106</f>
        <v>216.5</v>
      </c>
      <c r="R105" s="150">
        <f>R106</f>
        <v>216.5</v>
      </c>
      <c r="S105" s="282">
        <f t="shared" si="2"/>
        <v>1</v>
      </c>
    </row>
    <row r="106" spans="1:19" ht="28.5" customHeight="1">
      <c r="A106" s="61"/>
      <c r="B106" s="60"/>
      <c r="C106" s="65"/>
      <c r="D106" s="73"/>
      <c r="E106" s="76"/>
      <c r="F106" s="76"/>
      <c r="G106" s="51"/>
      <c r="H106" s="27" t="s">
        <v>636</v>
      </c>
      <c r="I106" s="6">
        <v>27</v>
      </c>
      <c r="J106" s="18">
        <v>4</v>
      </c>
      <c r="K106" s="14">
        <v>8</v>
      </c>
      <c r="L106" s="57" t="s">
        <v>536</v>
      </c>
      <c r="M106" s="58" t="s">
        <v>519</v>
      </c>
      <c r="N106" s="58" t="s">
        <v>539</v>
      </c>
      <c r="O106" s="58" t="s">
        <v>643</v>
      </c>
      <c r="P106" s="8">
        <v>240</v>
      </c>
      <c r="Q106" s="150">
        <f>600-96.6-286.9</f>
        <v>216.5</v>
      </c>
      <c r="R106" s="150">
        <f>600-96.6-286.9</f>
        <v>216.5</v>
      </c>
      <c r="S106" s="282">
        <f t="shared" si="2"/>
        <v>1</v>
      </c>
    </row>
    <row r="107" spans="1:19" ht="36.75" customHeight="1">
      <c r="A107" s="61"/>
      <c r="B107" s="60"/>
      <c r="C107" s="65"/>
      <c r="D107" s="73"/>
      <c r="E107" s="76"/>
      <c r="F107" s="76"/>
      <c r="G107" s="51"/>
      <c r="H107" s="27" t="s">
        <v>188</v>
      </c>
      <c r="I107" s="6">
        <v>27</v>
      </c>
      <c r="J107" s="18">
        <v>4</v>
      </c>
      <c r="K107" s="14">
        <v>8</v>
      </c>
      <c r="L107" s="57" t="s">
        <v>536</v>
      </c>
      <c r="M107" s="58" t="s">
        <v>519</v>
      </c>
      <c r="N107" s="58" t="s">
        <v>539</v>
      </c>
      <c r="O107" s="58" t="s">
        <v>187</v>
      </c>
      <c r="P107" s="8"/>
      <c r="Q107" s="150">
        <f>Q108</f>
        <v>1534.5</v>
      </c>
      <c r="R107" s="150">
        <f>R108</f>
        <v>1466.4</v>
      </c>
      <c r="S107" s="282">
        <f t="shared" si="2"/>
        <v>0.9556207233626589</v>
      </c>
    </row>
    <row r="108" spans="1:19" ht="28.5" customHeight="1">
      <c r="A108" s="61"/>
      <c r="B108" s="60"/>
      <c r="C108" s="65"/>
      <c r="D108" s="73"/>
      <c r="E108" s="76"/>
      <c r="F108" s="76"/>
      <c r="G108" s="51"/>
      <c r="H108" s="27" t="s">
        <v>636</v>
      </c>
      <c r="I108" s="6">
        <v>27</v>
      </c>
      <c r="J108" s="18">
        <v>4</v>
      </c>
      <c r="K108" s="14">
        <v>8</v>
      </c>
      <c r="L108" s="57" t="s">
        <v>536</v>
      </c>
      <c r="M108" s="58" t="s">
        <v>519</v>
      </c>
      <c r="N108" s="58" t="s">
        <v>539</v>
      </c>
      <c r="O108" s="58" t="s">
        <v>187</v>
      </c>
      <c r="P108" s="8">
        <v>240</v>
      </c>
      <c r="Q108" s="150">
        <f>1670-131.6-3.9</f>
        <v>1534.5</v>
      </c>
      <c r="R108" s="150">
        <v>1466.4</v>
      </c>
      <c r="S108" s="282">
        <f t="shared" si="2"/>
        <v>0.9556207233626589</v>
      </c>
    </row>
    <row r="109" spans="1:19" s="135" customFormat="1" ht="24.75" customHeight="1">
      <c r="A109" s="101"/>
      <c r="B109" s="102"/>
      <c r="C109" s="112"/>
      <c r="D109" s="109"/>
      <c r="E109" s="113"/>
      <c r="F109" s="113"/>
      <c r="G109" s="114">
        <v>321</v>
      </c>
      <c r="H109" s="108" t="s">
        <v>305</v>
      </c>
      <c r="I109" s="111">
        <v>27</v>
      </c>
      <c r="J109" s="115">
        <v>4</v>
      </c>
      <c r="K109" s="98">
        <v>9</v>
      </c>
      <c r="L109" s="99"/>
      <c r="M109" s="100"/>
      <c r="N109" s="100"/>
      <c r="O109" s="100"/>
      <c r="P109" s="105"/>
      <c r="Q109" s="152">
        <f>Q110</f>
        <v>62850.5</v>
      </c>
      <c r="R109" s="152">
        <f>R110</f>
        <v>61109</v>
      </c>
      <c r="S109" s="282">
        <f t="shared" si="2"/>
        <v>0.972291389885522</v>
      </c>
    </row>
    <row r="110" spans="1:19" ht="35.25" customHeight="1">
      <c r="A110" s="61"/>
      <c r="B110" s="60"/>
      <c r="C110" s="65"/>
      <c r="D110" s="63"/>
      <c r="E110" s="75"/>
      <c r="F110" s="75"/>
      <c r="G110" s="67">
        <v>530</v>
      </c>
      <c r="H110" s="3" t="s">
        <v>689</v>
      </c>
      <c r="I110" s="8">
        <v>27</v>
      </c>
      <c r="J110" s="14">
        <v>4</v>
      </c>
      <c r="K110" s="14">
        <v>9</v>
      </c>
      <c r="L110" s="57" t="s">
        <v>544</v>
      </c>
      <c r="M110" s="58" t="s">
        <v>519</v>
      </c>
      <c r="N110" s="58" t="s">
        <v>539</v>
      </c>
      <c r="O110" s="58" t="s">
        <v>556</v>
      </c>
      <c r="P110" s="4"/>
      <c r="Q110" s="151">
        <f>Q111+Q115+Q118+Q125+Q129+Q132+Q135+Q138+Q141+Q144</f>
        <v>62850.5</v>
      </c>
      <c r="R110" s="151">
        <f>R111+R115+R118+R125+R129+R132+R135+R138+R141+R144</f>
        <v>61109</v>
      </c>
      <c r="S110" s="282">
        <f t="shared" si="2"/>
        <v>0.972291389885522</v>
      </c>
    </row>
    <row r="111" spans="1:19" ht="29.25" customHeight="1">
      <c r="A111" s="61"/>
      <c r="B111" s="60"/>
      <c r="C111" s="65"/>
      <c r="D111" s="63"/>
      <c r="E111" s="75"/>
      <c r="F111" s="75"/>
      <c r="G111" s="67"/>
      <c r="H111" s="9" t="s">
        <v>597</v>
      </c>
      <c r="I111" s="8">
        <v>27</v>
      </c>
      <c r="J111" s="14">
        <v>4</v>
      </c>
      <c r="K111" s="14">
        <v>9</v>
      </c>
      <c r="L111" s="57" t="s">
        <v>544</v>
      </c>
      <c r="M111" s="58" t="s">
        <v>519</v>
      </c>
      <c r="N111" s="58" t="s">
        <v>520</v>
      </c>
      <c r="O111" s="58" t="s">
        <v>556</v>
      </c>
      <c r="P111" s="4"/>
      <c r="Q111" s="151">
        <f>Q112</f>
        <v>44526.2</v>
      </c>
      <c r="R111" s="151">
        <f>R112</f>
        <v>44526.2</v>
      </c>
      <c r="S111" s="282">
        <f t="shared" si="2"/>
        <v>1</v>
      </c>
    </row>
    <row r="112" spans="1:19" ht="35.25" customHeight="1">
      <c r="A112" s="61"/>
      <c r="B112" s="60"/>
      <c r="C112" s="65"/>
      <c r="D112" s="63"/>
      <c r="E112" s="75"/>
      <c r="F112" s="75"/>
      <c r="G112" s="67"/>
      <c r="H112" s="9" t="s">
        <v>656</v>
      </c>
      <c r="I112" s="8">
        <v>27</v>
      </c>
      <c r="J112" s="14">
        <v>4</v>
      </c>
      <c r="K112" s="14">
        <v>9</v>
      </c>
      <c r="L112" s="57" t="s">
        <v>544</v>
      </c>
      <c r="M112" s="58" t="s">
        <v>519</v>
      </c>
      <c r="N112" s="58" t="s">
        <v>520</v>
      </c>
      <c r="O112" s="58" t="s">
        <v>316</v>
      </c>
      <c r="P112" s="4"/>
      <c r="Q112" s="151">
        <f>Q113+Q114</f>
        <v>44526.2</v>
      </c>
      <c r="R112" s="151">
        <f>R113+R114</f>
        <v>44526.2</v>
      </c>
      <c r="S112" s="282">
        <f t="shared" si="2"/>
        <v>1</v>
      </c>
    </row>
    <row r="113" spans="1:19" ht="26.25" customHeight="1" hidden="1">
      <c r="A113" s="61"/>
      <c r="B113" s="60"/>
      <c r="C113" s="65"/>
      <c r="D113" s="63"/>
      <c r="E113" s="75"/>
      <c r="F113" s="75"/>
      <c r="G113" s="67"/>
      <c r="H113" s="27" t="s">
        <v>636</v>
      </c>
      <c r="I113" s="8">
        <v>27</v>
      </c>
      <c r="J113" s="14">
        <v>4</v>
      </c>
      <c r="K113" s="14">
        <v>9</v>
      </c>
      <c r="L113" s="57" t="s">
        <v>544</v>
      </c>
      <c r="M113" s="58" t="s">
        <v>519</v>
      </c>
      <c r="N113" s="58" t="s">
        <v>520</v>
      </c>
      <c r="O113" s="58" t="s">
        <v>316</v>
      </c>
      <c r="P113" s="4">
        <v>240</v>
      </c>
      <c r="Q113" s="151">
        <v>0</v>
      </c>
      <c r="R113" s="151">
        <v>0</v>
      </c>
      <c r="S113" s="282" t="e">
        <f t="shared" si="2"/>
        <v>#DIV/0!</v>
      </c>
    </row>
    <row r="114" spans="1:19" ht="26.25" customHeight="1">
      <c r="A114" s="61"/>
      <c r="B114" s="60"/>
      <c r="C114" s="65"/>
      <c r="D114" s="63"/>
      <c r="E114" s="75"/>
      <c r="F114" s="75"/>
      <c r="G114" s="67"/>
      <c r="H114" s="9" t="s">
        <v>583</v>
      </c>
      <c r="I114" s="8">
        <v>27</v>
      </c>
      <c r="J114" s="14">
        <v>4</v>
      </c>
      <c r="K114" s="14">
        <v>9</v>
      </c>
      <c r="L114" s="57" t="s">
        <v>544</v>
      </c>
      <c r="M114" s="58" t="s">
        <v>519</v>
      </c>
      <c r="N114" s="58" t="s">
        <v>520</v>
      </c>
      <c r="O114" s="58" t="s">
        <v>316</v>
      </c>
      <c r="P114" s="4">
        <v>540</v>
      </c>
      <c r="Q114" s="151">
        <f>51949.3-1428+1025.7-6547-473.8</f>
        <v>44526.2</v>
      </c>
      <c r="R114" s="151">
        <f>51949.3-1428+1025.7-6547-473.8</f>
        <v>44526.2</v>
      </c>
      <c r="S114" s="282">
        <f t="shared" si="2"/>
        <v>1</v>
      </c>
    </row>
    <row r="115" spans="1:19" ht="25.5" customHeight="1">
      <c r="A115" s="61"/>
      <c r="B115" s="60"/>
      <c r="C115" s="65"/>
      <c r="D115" s="63"/>
      <c r="E115" s="75"/>
      <c r="F115" s="75"/>
      <c r="G115" s="67"/>
      <c r="H115" s="9" t="s">
        <v>735</v>
      </c>
      <c r="I115" s="8">
        <v>27</v>
      </c>
      <c r="J115" s="14">
        <v>4</v>
      </c>
      <c r="K115" s="14">
        <v>9</v>
      </c>
      <c r="L115" s="57" t="s">
        <v>544</v>
      </c>
      <c r="M115" s="58" t="s">
        <v>519</v>
      </c>
      <c r="N115" s="58" t="s">
        <v>545</v>
      </c>
      <c r="O115" s="58" t="s">
        <v>556</v>
      </c>
      <c r="P115" s="4"/>
      <c r="Q115" s="151">
        <f>Q116</f>
        <v>426.4</v>
      </c>
      <c r="R115" s="151">
        <f>R116</f>
        <v>426.4</v>
      </c>
      <c r="S115" s="282">
        <f t="shared" si="2"/>
        <v>1</v>
      </c>
    </row>
    <row r="116" spans="1:19" ht="24.75" customHeight="1">
      <c r="A116" s="61"/>
      <c r="B116" s="60"/>
      <c r="C116" s="65"/>
      <c r="D116" s="63"/>
      <c r="E116" s="75"/>
      <c r="F116" s="75"/>
      <c r="G116" s="67">
        <v>611</v>
      </c>
      <c r="H116" s="9" t="s">
        <v>677</v>
      </c>
      <c r="I116" s="8">
        <v>27</v>
      </c>
      <c r="J116" s="14">
        <v>4</v>
      </c>
      <c r="K116" s="14">
        <v>9</v>
      </c>
      <c r="L116" s="57" t="s">
        <v>544</v>
      </c>
      <c r="M116" s="58" t="s">
        <v>519</v>
      </c>
      <c r="N116" s="58" t="s">
        <v>545</v>
      </c>
      <c r="O116" s="58" t="s">
        <v>676</v>
      </c>
      <c r="P116" s="4"/>
      <c r="Q116" s="151">
        <f>Q117</f>
        <v>426.4</v>
      </c>
      <c r="R116" s="151">
        <f>R117</f>
        <v>426.4</v>
      </c>
      <c r="S116" s="282">
        <f t="shared" si="2"/>
        <v>1</v>
      </c>
    </row>
    <row r="117" spans="1:19" ht="27.75" customHeight="1">
      <c r="A117" s="61"/>
      <c r="B117" s="60"/>
      <c r="C117" s="65"/>
      <c r="D117" s="63"/>
      <c r="E117" s="66"/>
      <c r="F117" s="66"/>
      <c r="G117" s="67"/>
      <c r="H117" s="9" t="s">
        <v>583</v>
      </c>
      <c r="I117" s="4">
        <v>27</v>
      </c>
      <c r="J117" s="5">
        <v>4</v>
      </c>
      <c r="K117" s="14">
        <v>9</v>
      </c>
      <c r="L117" s="57" t="s">
        <v>544</v>
      </c>
      <c r="M117" s="58" t="s">
        <v>519</v>
      </c>
      <c r="N117" s="58" t="s">
        <v>545</v>
      </c>
      <c r="O117" s="58" t="s">
        <v>676</v>
      </c>
      <c r="P117" s="4">
        <v>540</v>
      </c>
      <c r="Q117" s="150">
        <v>426.4</v>
      </c>
      <c r="R117" s="150">
        <v>426.4</v>
      </c>
      <c r="S117" s="282">
        <f t="shared" si="2"/>
        <v>1</v>
      </c>
    </row>
    <row r="118" spans="1:19" ht="24.75" customHeight="1">
      <c r="A118" s="61"/>
      <c r="B118" s="60"/>
      <c r="C118" s="65"/>
      <c r="D118" s="63"/>
      <c r="E118" s="66"/>
      <c r="F118" s="66"/>
      <c r="G118" s="67"/>
      <c r="H118" s="3" t="s">
        <v>766</v>
      </c>
      <c r="I118" s="11">
        <v>27</v>
      </c>
      <c r="J118" s="5">
        <v>4</v>
      </c>
      <c r="K118" s="14">
        <v>9</v>
      </c>
      <c r="L118" s="57" t="s">
        <v>544</v>
      </c>
      <c r="M118" s="58" t="s">
        <v>519</v>
      </c>
      <c r="N118" s="58" t="s">
        <v>546</v>
      </c>
      <c r="O118" s="58" t="s">
        <v>556</v>
      </c>
      <c r="P118" s="4"/>
      <c r="Q118" s="151">
        <f>Q119+Q122</f>
        <v>7882.200000000001</v>
      </c>
      <c r="R118" s="151">
        <f>R119+R122</f>
        <v>7253.9</v>
      </c>
      <c r="S118" s="282">
        <f t="shared" si="2"/>
        <v>0.9202887518713049</v>
      </c>
    </row>
    <row r="119" spans="1:19" ht="24.75" customHeight="1">
      <c r="A119" s="61"/>
      <c r="B119" s="60"/>
      <c r="C119" s="65"/>
      <c r="D119" s="63"/>
      <c r="E119" s="66"/>
      <c r="F119" s="66"/>
      <c r="G119" s="67"/>
      <c r="H119" s="3" t="s">
        <v>677</v>
      </c>
      <c r="I119" s="11">
        <v>27</v>
      </c>
      <c r="J119" s="5">
        <v>4</v>
      </c>
      <c r="K119" s="14">
        <v>9</v>
      </c>
      <c r="L119" s="57" t="s">
        <v>544</v>
      </c>
      <c r="M119" s="58" t="s">
        <v>519</v>
      </c>
      <c r="N119" s="58" t="s">
        <v>546</v>
      </c>
      <c r="O119" s="58" t="s">
        <v>676</v>
      </c>
      <c r="P119" s="4"/>
      <c r="Q119" s="151">
        <f>Q120+Q121</f>
        <v>5988.500000000001</v>
      </c>
      <c r="R119" s="151">
        <f>R120+R121</f>
        <v>5360.2</v>
      </c>
      <c r="S119" s="282">
        <f t="shared" si="2"/>
        <v>0.8950822409618434</v>
      </c>
    </row>
    <row r="120" spans="1:19" ht="24.75" customHeight="1">
      <c r="A120" s="61"/>
      <c r="B120" s="60"/>
      <c r="C120" s="65"/>
      <c r="D120" s="63"/>
      <c r="E120" s="66"/>
      <c r="F120" s="66"/>
      <c r="G120" s="67"/>
      <c r="H120" s="3" t="s">
        <v>636</v>
      </c>
      <c r="I120" s="11">
        <v>27</v>
      </c>
      <c r="J120" s="5">
        <v>4</v>
      </c>
      <c r="K120" s="14">
        <v>9</v>
      </c>
      <c r="L120" s="57" t="s">
        <v>544</v>
      </c>
      <c r="M120" s="58" t="s">
        <v>519</v>
      </c>
      <c r="N120" s="58" t="s">
        <v>546</v>
      </c>
      <c r="O120" s="58" t="s">
        <v>676</v>
      </c>
      <c r="P120" s="4">
        <v>240</v>
      </c>
      <c r="Q120" s="151">
        <f>6728.8+829.8-22-210-1025.7-50-100-300+29.1-355.9</f>
        <v>5524.100000000001</v>
      </c>
      <c r="R120" s="151">
        <v>4895.8</v>
      </c>
      <c r="S120" s="282">
        <f t="shared" si="2"/>
        <v>0.8862620155319417</v>
      </c>
    </row>
    <row r="121" spans="1:19" ht="24.75" customHeight="1">
      <c r="A121" s="61"/>
      <c r="B121" s="60"/>
      <c r="C121" s="65"/>
      <c r="D121" s="63"/>
      <c r="E121" s="66"/>
      <c r="F121" s="66"/>
      <c r="G121" s="67"/>
      <c r="H121" s="9" t="s">
        <v>583</v>
      </c>
      <c r="I121" s="4">
        <v>27</v>
      </c>
      <c r="J121" s="5">
        <v>4</v>
      </c>
      <c r="K121" s="14">
        <v>9</v>
      </c>
      <c r="L121" s="57" t="s">
        <v>544</v>
      </c>
      <c r="M121" s="58" t="s">
        <v>519</v>
      </c>
      <c r="N121" s="58" t="s">
        <v>546</v>
      </c>
      <c r="O121" s="58" t="s">
        <v>676</v>
      </c>
      <c r="P121" s="4">
        <v>540</v>
      </c>
      <c r="Q121" s="151">
        <f>14.4+13.5+436.5</f>
        <v>464.4</v>
      </c>
      <c r="R121" s="151">
        <f>14.4+13.5+436.5</f>
        <v>464.4</v>
      </c>
      <c r="S121" s="282">
        <f t="shared" si="2"/>
        <v>1</v>
      </c>
    </row>
    <row r="122" spans="1:19" ht="24.75" customHeight="1">
      <c r="A122" s="61"/>
      <c r="B122" s="60"/>
      <c r="C122" s="65"/>
      <c r="D122" s="63"/>
      <c r="E122" s="66"/>
      <c r="F122" s="66"/>
      <c r="G122" s="67"/>
      <c r="H122" s="9" t="s">
        <v>656</v>
      </c>
      <c r="I122" s="4">
        <v>27</v>
      </c>
      <c r="J122" s="5">
        <v>4</v>
      </c>
      <c r="K122" s="14">
        <v>9</v>
      </c>
      <c r="L122" s="57" t="s">
        <v>544</v>
      </c>
      <c r="M122" s="58" t="s">
        <v>519</v>
      </c>
      <c r="N122" s="58" t="s">
        <v>546</v>
      </c>
      <c r="O122" s="58" t="s">
        <v>316</v>
      </c>
      <c r="P122" s="4"/>
      <c r="Q122" s="151">
        <f>Q123+Q124</f>
        <v>1893.6999999999998</v>
      </c>
      <c r="R122" s="151">
        <f>R123+R124</f>
        <v>1893.6999999999998</v>
      </c>
      <c r="S122" s="282">
        <f t="shared" si="2"/>
        <v>1</v>
      </c>
    </row>
    <row r="123" spans="1:19" ht="24.75" customHeight="1">
      <c r="A123" s="61"/>
      <c r="B123" s="60"/>
      <c r="C123" s="65"/>
      <c r="D123" s="63"/>
      <c r="E123" s="66"/>
      <c r="F123" s="66"/>
      <c r="G123" s="67"/>
      <c r="H123" s="3" t="s">
        <v>636</v>
      </c>
      <c r="I123" s="11">
        <v>27</v>
      </c>
      <c r="J123" s="5">
        <v>4</v>
      </c>
      <c r="K123" s="14">
        <v>9</v>
      </c>
      <c r="L123" s="57" t="s">
        <v>544</v>
      </c>
      <c r="M123" s="58" t="s">
        <v>519</v>
      </c>
      <c r="N123" s="58" t="s">
        <v>546</v>
      </c>
      <c r="O123" s="58" t="s">
        <v>316</v>
      </c>
      <c r="P123" s="4">
        <v>240</v>
      </c>
      <c r="Q123" s="151">
        <f>1428+1277.6-1277.5</f>
        <v>1428.1</v>
      </c>
      <c r="R123" s="151">
        <f>1428+1277.6-1277.5</f>
        <v>1428.1</v>
      </c>
      <c r="S123" s="282">
        <f t="shared" si="2"/>
        <v>1</v>
      </c>
    </row>
    <row r="124" spans="1:19" ht="24.75" customHeight="1">
      <c r="A124" s="61"/>
      <c r="B124" s="60"/>
      <c r="C124" s="65"/>
      <c r="D124" s="63"/>
      <c r="E124" s="66"/>
      <c r="F124" s="66"/>
      <c r="G124" s="67"/>
      <c r="H124" s="9" t="s">
        <v>583</v>
      </c>
      <c r="I124" s="4">
        <v>27</v>
      </c>
      <c r="J124" s="5">
        <v>4</v>
      </c>
      <c r="K124" s="14">
        <v>9</v>
      </c>
      <c r="L124" s="57" t="s">
        <v>544</v>
      </c>
      <c r="M124" s="58" t="s">
        <v>519</v>
      </c>
      <c r="N124" s="58" t="s">
        <v>546</v>
      </c>
      <c r="O124" s="58" t="s">
        <v>316</v>
      </c>
      <c r="P124" s="4">
        <v>540</v>
      </c>
      <c r="Q124" s="151">
        <v>465.6</v>
      </c>
      <c r="R124" s="151">
        <v>465.6</v>
      </c>
      <c r="S124" s="282">
        <f t="shared" si="2"/>
        <v>1</v>
      </c>
    </row>
    <row r="125" spans="1:19" ht="33.75" customHeight="1">
      <c r="A125" s="61"/>
      <c r="B125" s="60"/>
      <c r="C125" s="65"/>
      <c r="D125" s="63"/>
      <c r="E125" s="66"/>
      <c r="F125" s="66"/>
      <c r="G125" s="67"/>
      <c r="H125" s="3" t="s">
        <v>137</v>
      </c>
      <c r="I125" s="11">
        <v>27</v>
      </c>
      <c r="J125" s="5">
        <v>4</v>
      </c>
      <c r="K125" s="14">
        <v>9</v>
      </c>
      <c r="L125" s="57" t="s">
        <v>544</v>
      </c>
      <c r="M125" s="58" t="s">
        <v>519</v>
      </c>
      <c r="N125" s="58" t="s">
        <v>522</v>
      </c>
      <c r="O125" s="58" t="s">
        <v>556</v>
      </c>
      <c r="P125" s="4"/>
      <c r="Q125" s="151">
        <f>Q126</f>
        <v>934.7</v>
      </c>
      <c r="R125" s="151">
        <f>R126</f>
        <v>934.7</v>
      </c>
      <c r="S125" s="282">
        <f t="shared" si="2"/>
        <v>1</v>
      </c>
    </row>
    <row r="126" spans="1:19" ht="31.5" customHeight="1">
      <c r="A126" s="61"/>
      <c r="B126" s="60"/>
      <c r="C126" s="65"/>
      <c r="D126" s="63"/>
      <c r="E126" s="66"/>
      <c r="F126" s="66"/>
      <c r="G126" s="67"/>
      <c r="H126" s="3" t="s">
        <v>242</v>
      </c>
      <c r="I126" s="11">
        <v>27</v>
      </c>
      <c r="J126" s="5">
        <v>4</v>
      </c>
      <c r="K126" s="14">
        <v>9</v>
      </c>
      <c r="L126" s="57" t="s">
        <v>544</v>
      </c>
      <c r="M126" s="58" t="s">
        <v>519</v>
      </c>
      <c r="N126" s="58" t="s">
        <v>522</v>
      </c>
      <c r="O126" s="58" t="s">
        <v>241</v>
      </c>
      <c r="P126" s="4"/>
      <c r="Q126" s="151">
        <f>Q128+Q127</f>
        <v>934.7</v>
      </c>
      <c r="R126" s="151">
        <f>R128+R127</f>
        <v>934.7</v>
      </c>
      <c r="S126" s="282">
        <f t="shared" si="2"/>
        <v>1</v>
      </c>
    </row>
    <row r="127" spans="1:19" ht="31.5" customHeight="1" hidden="1">
      <c r="A127" s="61"/>
      <c r="B127" s="60"/>
      <c r="C127" s="65"/>
      <c r="D127" s="63"/>
      <c r="E127" s="66"/>
      <c r="F127" s="66"/>
      <c r="G127" s="67"/>
      <c r="H127" s="3" t="s">
        <v>636</v>
      </c>
      <c r="I127" s="11">
        <v>27</v>
      </c>
      <c r="J127" s="5">
        <v>4</v>
      </c>
      <c r="K127" s="14">
        <v>9</v>
      </c>
      <c r="L127" s="57" t="s">
        <v>544</v>
      </c>
      <c r="M127" s="58" t="s">
        <v>519</v>
      </c>
      <c r="N127" s="58" t="s">
        <v>522</v>
      </c>
      <c r="O127" s="58" t="s">
        <v>241</v>
      </c>
      <c r="P127" s="4">
        <v>240</v>
      </c>
      <c r="Q127" s="151">
        <v>0</v>
      </c>
      <c r="R127" s="151">
        <v>0</v>
      </c>
      <c r="S127" s="282" t="e">
        <f t="shared" si="2"/>
        <v>#DIV/0!</v>
      </c>
    </row>
    <row r="128" spans="1:19" ht="22.5" customHeight="1">
      <c r="A128" s="61"/>
      <c r="B128" s="60"/>
      <c r="C128" s="65"/>
      <c r="D128" s="63"/>
      <c r="E128" s="66"/>
      <c r="F128" s="66"/>
      <c r="G128" s="67"/>
      <c r="H128" s="3" t="s">
        <v>583</v>
      </c>
      <c r="I128" s="11">
        <v>27</v>
      </c>
      <c r="J128" s="5">
        <v>4</v>
      </c>
      <c r="K128" s="14">
        <v>9</v>
      </c>
      <c r="L128" s="57" t="s">
        <v>544</v>
      </c>
      <c r="M128" s="58" t="s">
        <v>519</v>
      </c>
      <c r="N128" s="58" t="s">
        <v>522</v>
      </c>
      <c r="O128" s="58" t="s">
        <v>241</v>
      </c>
      <c r="P128" s="4">
        <v>540</v>
      </c>
      <c r="Q128" s="151">
        <f>901.7+22+68.2+11-68.2</f>
        <v>934.7</v>
      </c>
      <c r="R128" s="151">
        <f>901.7+22+68.2+11-68.2</f>
        <v>934.7</v>
      </c>
      <c r="S128" s="282">
        <f t="shared" si="2"/>
        <v>1</v>
      </c>
    </row>
    <row r="129" spans="1:19" ht="33.75" customHeight="1">
      <c r="A129" s="61"/>
      <c r="B129" s="60"/>
      <c r="C129" s="65"/>
      <c r="D129" s="63"/>
      <c r="E129" s="66"/>
      <c r="F129" s="66"/>
      <c r="G129" s="67"/>
      <c r="H129" s="3" t="s">
        <v>697</v>
      </c>
      <c r="I129" s="11">
        <v>27</v>
      </c>
      <c r="J129" s="5">
        <v>4</v>
      </c>
      <c r="K129" s="14">
        <v>9</v>
      </c>
      <c r="L129" s="57" t="s">
        <v>544</v>
      </c>
      <c r="M129" s="58" t="s">
        <v>519</v>
      </c>
      <c r="N129" s="58" t="s">
        <v>547</v>
      </c>
      <c r="O129" s="58" t="s">
        <v>556</v>
      </c>
      <c r="P129" s="4"/>
      <c r="Q129" s="151">
        <f>Q130</f>
        <v>2858.5</v>
      </c>
      <c r="R129" s="151">
        <f>R130</f>
        <v>2858.5</v>
      </c>
      <c r="S129" s="282">
        <f t="shared" si="2"/>
        <v>1</v>
      </c>
    </row>
    <row r="130" spans="1:19" ht="32.25" customHeight="1">
      <c r="A130" s="61"/>
      <c r="B130" s="60"/>
      <c r="C130" s="65"/>
      <c r="D130" s="63"/>
      <c r="E130" s="66"/>
      <c r="F130" s="66"/>
      <c r="G130" s="67"/>
      <c r="H130" s="3" t="s">
        <v>696</v>
      </c>
      <c r="I130" s="11">
        <v>27</v>
      </c>
      <c r="J130" s="5">
        <v>4</v>
      </c>
      <c r="K130" s="14">
        <v>9</v>
      </c>
      <c r="L130" s="57" t="s">
        <v>544</v>
      </c>
      <c r="M130" s="58" t="s">
        <v>519</v>
      </c>
      <c r="N130" s="58" t="s">
        <v>547</v>
      </c>
      <c r="O130" s="58" t="s">
        <v>223</v>
      </c>
      <c r="P130" s="4"/>
      <c r="Q130" s="151">
        <f>Q131</f>
        <v>2858.5</v>
      </c>
      <c r="R130" s="151">
        <f>R131</f>
        <v>2858.5</v>
      </c>
      <c r="S130" s="282">
        <f t="shared" si="2"/>
        <v>1</v>
      </c>
    </row>
    <row r="131" spans="1:19" ht="24.75" customHeight="1">
      <c r="A131" s="61"/>
      <c r="B131" s="60"/>
      <c r="C131" s="65"/>
      <c r="D131" s="63"/>
      <c r="E131" s="66"/>
      <c r="F131" s="66"/>
      <c r="G131" s="67"/>
      <c r="H131" s="3" t="s">
        <v>695</v>
      </c>
      <c r="I131" s="11">
        <v>27</v>
      </c>
      <c r="J131" s="5">
        <v>4</v>
      </c>
      <c r="K131" s="14">
        <v>9</v>
      </c>
      <c r="L131" s="57" t="s">
        <v>544</v>
      </c>
      <c r="M131" s="58" t="s">
        <v>519</v>
      </c>
      <c r="N131" s="58" t="s">
        <v>547</v>
      </c>
      <c r="O131" s="58" t="s">
        <v>223</v>
      </c>
      <c r="P131" s="4">
        <v>540</v>
      </c>
      <c r="Q131" s="151">
        <f>2500+300+58.5</f>
        <v>2858.5</v>
      </c>
      <c r="R131" s="151">
        <f>2500+300+58.5</f>
        <v>2858.5</v>
      </c>
      <c r="S131" s="282">
        <f t="shared" si="2"/>
        <v>1</v>
      </c>
    </row>
    <row r="132" spans="1:19" ht="24.75" customHeight="1">
      <c r="A132" s="61"/>
      <c r="B132" s="60"/>
      <c r="C132" s="65"/>
      <c r="D132" s="63"/>
      <c r="E132" s="66"/>
      <c r="F132" s="66"/>
      <c r="G132" s="67"/>
      <c r="H132" s="3" t="s">
        <v>138</v>
      </c>
      <c r="I132" s="11">
        <v>27</v>
      </c>
      <c r="J132" s="5">
        <v>4</v>
      </c>
      <c r="K132" s="14">
        <v>9</v>
      </c>
      <c r="L132" s="57" t="s">
        <v>544</v>
      </c>
      <c r="M132" s="58" t="s">
        <v>519</v>
      </c>
      <c r="N132" s="58" t="s">
        <v>524</v>
      </c>
      <c r="O132" s="58" t="s">
        <v>556</v>
      </c>
      <c r="P132" s="4"/>
      <c r="Q132" s="151">
        <f>Q133</f>
        <v>210</v>
      </c>
      <c r="R132" s="151">
        <f>R133</f>
        <v>210</v>
      </c>
      <c r="S132" s="282">
        <f t="shared" si="2"/>
        <v>1</v>
      </c>
    </row>
    <row r="133" spans="1:19" ht="24.75" customHeight="1">
      <c r="A133" s="61"/>
      <c r="B133" s="60"/>
      <c r="C133" s="65"/>
      <c r="D133" s="63"/>
      <c r="E133" s="66"/>
      <c r="F133" s="66"/>
      <c r="G133" s="67"/>
      <c r="H133" s="3" t="s">
        <v>677</v>
      </c>
      <c r="I133" s="11">
        <v>27</v>
      </c>
      <c r="J133" s="5">
        <v>4</v>
      </c>
      <c r="K133" s="14">
        <v>9</v>
      </c>
      <c r="L133" s="57" t="s">
        <v>544</v>
      </c>
      <c r="M133" s="58" t="s">
        <v>519</v>
      </c>
      <c r="N133" s="58" t="s">
        <v>524</v>
      </c>
      <c r="O133" s="58" t="s">
        <v>676</v>
      </c>
      <c r="P133" s="4"/>
      <c r="Q133" s="151">
        <f>Q134</f>
        <v>210</v>
      </c>
      <c r="R133" s="151">
        <f>R134</f>
        <v>210</v>
      </c>
      <c r="S133" s="282">
        <f t="shared" si="2"/>
        <v>1</v>
      </c>
    </row>
    <row r="134" spans="1:19" ht="24.75" customHeight="1">
      <c r="A134" s="61"/>
      <c r="B134" s="60"/>
      <c r="C134" s="65"/>
      <c r="D134" s="63"/>
      <c r="E134" s="66"/>
      <c r="F134" s="66"/>
      <c r="G134" s="67"/>
      <c r="H134" s="3" t="s">
        <v>636</v>
      </c>
      <c r="I134" s="11">
        <v>27</v>
      </c>
      <c r="J134" s="5">
        <v>4</v>
      </c>
      <c r="K134" s="14">
        <v>9</v>
      </c>
      <c r="L134" s="57" t="s">
        <v>544</v>
      </c>
      <c r="M134" s="58" t="s">
        <v>519</v>
      </c>
      <c r="N134" s="58" t="s">
        <v>524</v>
      </c>
      <c r="O134" s="58" t="s">
        <v>676</v>
      </c>
      <c r="P134" s="4">
        <v>240</v>
      </c>
      <c r="Q134" s="151">
        <v>210</v>
      </c>
      <c r="R134" s="151">
        <v>210</v>
      </c>
      <c r="S134" s="282">
        <f t="shared" si="2"/>
        <v>1</v>
      </c>
    </row>
    <row r="135" spans="1:19" ht="24.75" customHeight="1">
      <c r="A135" s="61"/>
      <c r="B135" s="60"/>
      <c r="C135" s="65"/>
      <c r="D135" s="63"/>
      <c r="E135" s="66"/>
      <c r="F135" s="66"/>
      <c r="G135" s="67"/>
      <c r="H135" s="3" t="s">
        <v>184</v>
      </c>
      <c r="I135" s="11">
        <v>27</v>
      </c>
      <c r="J135" s="5">
        <v>4</v>
      </c>
      <c r="K135" s="14">
        <v>9</v>
      </c>
      <c r="L135" s="57" t="s">
        <v>544</v>
      </c>
      <c r="M135" s="58" t="s">
        <v>519</v>
      </c>
      <c r="N135" s="58" t="s">
        <v>518</v>
      </c>
      <c r="O135" s="58" t="s">
        <v>556</v>
      </c>
      <c r="P135" s="4"/>
      <c r="Q135" s="151">
        <f>Q136</f>
        <v>50</v>
      </c>
      <c r="R135" s="151">
        <f>R136</f>
        <v>50</v>
      </c>
      <c r="S135" s="282">
        <f t="shared" si="2"/>
        <v>1</v>
      </c>
    </row>
    <row r="136" spans="1:19" ht="24.75" customHeight="1">
      <c r="A136" s="61"/>
      <c r="B136" s="60"/>
      <c r="C136" s="65"/>
      <c r="D136" s="63"/>
      <c r="E136" s="66"/>
      <c r="F136" s="66"/>
      <c r="G136" s="67"/>
      <c r="H136" s="3" t="s">
        <v>677</v>
      </c>
      <c r="I136" s="11">
        <v>27</v>
      </c>
      <c r="J136" s="5">
        <v>4</v>
      </c>
      <c r="K136" s="14">
        <v>9</v>
      </c>
      <c r="L136" s="57" t="s">
        <v>544</v>
      </c>
      <c r="M136" s="58" t="s">
        <v>519</v>
      </c>
      <c r="N136" s="58" t="s">
        <v>518</v>
      </c>
      <c r="O136" s="58" t="s">
        <v>676</v>
      </c>
      <c r="P136" s="4"/>
      <c r="Q136" s="151">
        <f>Q137</f>
        <v>50</v>
      </c>
      <c r="R136" s="151">
        <f>R137</f>
        <v>50</v>
      </c>
      <c r="S136" s="282">
        <f t="shared" si="2"/>
        <v>1</v>
      </c>
    </row>
    <row r="137" spans="1:19" ht="24.75" customHeight="1">
      <c r="A137" s="61"/>
      <c r="B137" s="60"/>
      <c r="C137" s="65"/>
      <c r="D137" s="63"/>
      <c r="E137" s="66"/>
      <c r="F137" s="66"/>
      <c r="G137" s="67"/>
      <c r="H137" s="3" t="s">
        <v>695</v>
      </c>
      <c r="I137" s="11">
        <v>27</v>
      </c>
      <c r="J137" s="5">
        <v>4</v>
      </c>
      <c r="K137" s="14">
        <v>9</v>
      </c>
      <c r="L137" s="57" t="s">
        <v>544</v>
      </c>
      <c r="M137" s="58" t="s">
        <v>519</v>
      </c>
      <c r="N137" s="58" t="s">
        <v>518</v>
      </c>
      <c r="O137" s="58" t="s">
        <v>676</v>
      </c>
      <c r="P137" s="4">
        <v>540</v>
      </c>
      <c r="Q137" s="151">
        <v>50</v>
      </c>
      <c r="R137" s="151">
        <v>50</v>
      </c>
      <c r="S137" s="282">
        <f t="shared" si="2"/>
        <v>1</v>
      </c>
    </row>
    <row r="138" spans="1:19" ht="24.75" customHeight="1">
      <c r="A138" s="61"/>
      <c r="B138" s="60"/>
      <c r="C138" s="65"/>
      <c r="D138" s="63"/>
      <c r="E138" s="66"/>
      <c r="F138" s="66"/>
      <c r="G138" s="67"/>
      <c r="H138" s="9" t="s">
        <v>739</v>
      </c>
      <c r="I138" s="8">
        <v>27</v>
      </c>
      <c r="J138" s="14">
        <v>4</v>
      </c>
      <c r="K138" s="14">
        <v>9</v>
      </c>
      <c r="L138" s="57" t="s">
        <v>544</v>
      </c>
      <c r="M138" s="58" t="s">
        <v>519</v>
      </c>
      <c r="N138" s="58" t="s">
        <v>515</v>
      </c>
      <c r="O138" s="58" t="s">
        <v>556</v>
      </c>
      <c r="P138" s="4"/>
      <c r="Q138" s="151">
        <f>Q139</f>
        <v>4749.3</v>
      </c>
      <c r="R138" s="151">
        <f>R139</f>
        <v>4749.3</v>
      </c>
      <c r="S138" s="282">
        <f t="shared" si="2"/>
        <v>1</v>
      </c>
    </row>
    <row r="139" spans="1:19" ht="24.75" customHeight="1">
      <c r="A139" s="61"/>
      <c r="B139" s="60"/>
      <c r="C139" s="65"/>
      <c r="D139" s="63"/>
      <c r="E139" s="66"/>
      <c r="F139" s="66"/>
      <c r="G139" s="67"/>
      <c r="H139" s="9" t="s">
        <v>656</v>
      </c>
      <c r="I139" s="8">
        <v>27</v>
      </c>
      <c r="J139" s="14">
        <v>4</v>
      </c>
      <c r="K139" s="14">
        <v>9</v>
      </c>
      <c r="L139" s="57" t="s">
        <v>544</v>
      </c>
      <c r="M139" s="58" t="s">
        <v>519</v>
      </c>
      <c r="N139" s="58" t="s">
        <v>515</v>
      </c>
      <c r="O139" s="58" t="s">
        <v>316</v>
      </c>
      <c r="P139" s="4"/>
      <c r="Q139" s="151">
        <f>Q140</f>
        <v>4749.3</v>
      </c>
      <c r="R139" s="151">
        <f>R140</f>
        <v>4749.3</v>
      </c>
      <c r="S139" s="282">
        <f t="shared" si="2"/>
        <v>1</v>
      </c>
    </row>
    <row r="140" spans="1:19" ht="24.75" customHeight="1">
      <c r="A140" s="61"/>
      <c r="B140" s="60"/>
      <c r="C140" s="65"/>
      <c r="D140" s="63"/>
      <c r="E140" s="66"/>
      <c r="F140" s="66"/>
      <c r="G140" s="67"/>
      <c r="H140" s="3" t="s">
        <v>695</v>
      </c>
      <c r="I140" s="8">
        <v>27</v>
      </c>
      <c r="J140" s="14">
        <v>4</v>
      </c>
      <c r="K140" s="14">
        <v>9</v>
      </c>
      <c r="L140" s="57" t="s">
        <v>544</v>
      </c>
      <c r="M140" s="58" t="s">
        <v>519</v>
      </c>
      <c r="N140" s="58" t="s">
        <v>515</v>
      </c>
      <c r="O140" s="58" t="s">
        <v>316</v>
      </c>
      <c r="P140" s="4">
        <v>540</v>
      </c>
      <c r="Q140" s="151">
        <f>6547-1743.2-54.5</f>
        <v>4749.3</v>
      </c>
      <c r="R140" s="151">
        <f>6547-1743.2-54.5</f>
        <v>4749.3</v>
      </c>
      <c r="S140" s="282">
        <f aca="true" t="shared" si="3" ref="S140:S203">R140/Q140</f>
        <v>1</v>
      </c>
    </row>
    <row r="141" spans="1:19" ht="24.75" customHeight="1">
      <c r="A141" s="61"/>
      <c r="B141" s="60"/>
      <c r="C141" s="65"/>
      <c r="D141" s="63"/>
      <c r="E141" s="66"/>
      <c r="F141" s="66"/>
      <c r="G141" s="67"/>
      <c r="H141" s="3" t="s">
        <v>742</v>
      </c>
      <c r="I141" s="11">
        <v>27</v>
      </c>
      <c r="J141" s="5">
        <v>4</v>
      </c>
      <c r="K141" s="14">
        <v>9</v>
      </c>
      <c r="L141" s="57" t="s">
        <v>544</v>
      </c>
      <c r="M141" s="58" t="s">
        <v>519</v>
      </c>
      <c r="N141" s="58" t="s">
        <v>540</v>
      </c>
      <c r="O141" s="58" t="s">
        <v>556</v>
      </c>
      <c r="P141" s="4"/>
      <c r="Q141" s="151">
        <f>Q142</f>
        <v>100</v>
      </c>
      <c r="R141" s="151">
        <f>R142</f>
        <v>100</v>
      </c>
      <c r="S141" s="282">
        <f t="shared" si="3"/>
        <v>1</v>
      </c>
    </row>
    <row r="142" spans="1:19" ht="24.75" customHeight="1">
      <c r="A142" s="61"/>
      <c r="B142" s="60"/>
      <c r="C142" s="65"/>
      <c r="D142" s="63"/>
      <c r="E142" s="66"/>
      <c r="F142" s="66"/>
      <c r="G142" s="67"/>
      <c r="H142" s="3" t="s">
        <v>677</v>
      </c>
      <c r="I142" s="11">
        <v>27</v>
      </c>
      <c r="J142" s="5">
        <v>4</v>
      </c>
      <c r="K142" s="14">
        <v>9</v>
      </c>
      <c r="L142" s="57" t="s">
        <v>544</v>
      </c>
      <c r="M142" s="58" t="s">
        <v>519</v>
      </c>
      <c r="N142" s="58" t="s">
        <v>540</v>
      </c>
      <c r="O142" s="58" t="s">
        <v>676</v>
      </c>
      <c r="P142" s="4"/>
      <c r="Q142" s="151">
        <f>Q143</f>
        <v>100</v>
      </c>
      <c r="R142" s="151">
        <f>R143</f>
        <v>100</v>
      </c>
      <c r="S142" s="282">
        <f t="shared" si="3"/>
        <v>1</v>
      </c>
    </row>
    <row r="143" spans="1:19" ht="24.75" customHeight="1">
      <c r="A143" s="61"/>
      <c r="B143" s="60"/>
      <c r="C143" s="65"/>
      <c r="D143" s="63"/>
      <c r="E143" s="66"/>
      <c r="F143" s="66"/>
      <c r="G143" s="67"/>
      <c r="H143" s="3" t="s">
        <v>695</v>
      </c>
      <c r="I143" s="11">
        <v>27</v>
      </c>
      <c r="J143" s="5">
        <v>4</v>
      </c>
      <c r="K143" s="14">
        <v>9</v>
      </c>
      <c r="L143" s="57" t="s">
        <v>544</v>
      </c>
      <c r="M143" s="58" t="s">
        <v>519</v>
      </c>
      <c r="N143" s="58" t="s">
        <v>540</v>
      </c>
      <c r="O143" s="58" t="s">
        <v>676</v>
      </c>
      <c r="P143" s="4">
        <v>540</v>
      </c>
      <c r="Q143" s="151">
        <v>100</v>
      </c>
      <c r="R143" s="151">
        <v>100</v>
      </c>
      <c r="S143" s="282">
        <f t="shared" si="3"/>
        <v>1</v>
      </c>
    </row>
    <row r="144" spans="1:19" ht="24.75" customHeight="1">
      <c r="A144" s="61"/>
      <c r="B144" s="60"/>
      <c r="C144" s="65"/>
      <c r="D144" s="63"/>
      <c r="E144" s="66"/>
      <c r="F144" s="66"/>
      <c r="G144" s="67"/>
      <c r="H144" s="3" t="s">
        <v>781</v>
      </c>
      <c r="I144" s="11">
        <v>27</v>
      </c>
      <c r="J144" s="5">
        <v>4</v>
      </c>
      <c r="K144" s="14">
        <v>9</v>
      </c>
      <c r="L144" s="57" t="s">
        <v>544</v>
      </c>
      <c r="M144" s="58" t="s">
        <v>519</v>
      </c>
      <c r="N144" s="58" t="s">
        <v>548</v>
      </c>
      <c r="O144" s="58" t="s">
        <v>556</v>
      </c>
      <c r="P144" s="4"/>
      <c r="Q144" s="151">
        <f>Q145</f>
        <v>1113.2</v>
      </c>
      <c r="R144" s="151">
        <f>R145</f>
        <v>0</v>
      </c>
      <c r="S144" s="282">
        <f t="shared" si="3"/>
        <v>0</v>
      </c>
    </row>
    <row r="145" spans="1:19" ht="24.75" customHeight="1">
      <c r="A145" s="61"/>
      <c r="B145" s="60"/>
      <c r="C145" s="65"/>
      <c r="D145" s="63"/>
      <c r="E145" s="66"/>
      <c r="F145" s="66"/>
      <c r="G145" s="67"/>
      <c r="H145" s="3" t="s">
        <v>677</v>
      </c>
      <c r="I145" s="11">
        <v>27</v>
      </c>
      <c r="J145" s="5">
        <v>4</v>
      </c>
      <c r="K145" s="14">
        <v>9</v>
      </c>
      <c r="L145" s="57" t="s">
        <v>544</v>
      </c>
      <c r="M145" s="58" t="s">
        <v>519</v>
      </c>
      <c r="N145" s="58" t="s">
        <v>548</v>
      </c>
      <c r="O145" s="58" t="s">
        <v>676</v>
      </c>
      <c r="P145" s="4"/>
      <c r="Q145" s="151">
        <f>Q146</f>
        <v>1113.2</v>
      </c>
      <c r="R145" s="151">
        <f>R146</f>
        <v>0</v>
      </c>
      <c r="S145" s="282">
        <f t="shared" si="3"/>
        <v>0</v>
      </c>
    </row>
    <row r="146" spans="1:19" ht="24.75" customHeight="1">
      <c r="A146" s="61"/>
      <c r="B146" s="60"/>
      <c r="C146" s="65"/>
      <c r="D146" s="63"/>
      <c r="E146" s="66"/>
      <c r="F146" s="66"/>
      <c r="G146" s="67"/>
      <c r="H146" s="3" t="s">
        <v>636</v>
      </c>
      <c r="I146" s="11">
        <v>27</v>
      </c>
      <c r="J146" s="5">
        <v>4</v>
      </c>
      <c r="K146" s="14">
        <v>9</v>
      </c>
      <c r="L146" s="57" t="s">
        <v>544</v>
      </c>
      <c r="M146" s="58" t="s">
        <v>519</v>
      </c>
      <c r="N146" s="58" t="s">
        <v>548</v>
      </c>
      <c r="O146" s="58" t="s">
        <v>676</v>
      </c>
      <c r="P146" s="4">
        <v>240</v>
      </c>
      <c r="Q146" s="151">
        <v>1113.2</v>
      </c>
      <c r="R146" s="151">
        <v>0</v>
      </c>
      <c r="S146" s="282">
        <f t="shared" si="3"/>
        <v>0</v>
      </c>
    </row>
    <row r="147" spans="1:19" s="135" customFormat="1" ht="24.75" customHeight="1">
      <c r="A147" s="101"/>
      <c r="B147" s="102"/>
      <c r="C147" s="112"/>
      <c r="D147" s="109"/>
      <c r="E147" s="104"/>
      <c r="F147" s="104"/>
      <c r="G147" s="114">
        <v>850</v>
      </c>
      <c r="H147" s="108" t="s">
        <v>503</v>
      </c>
      <c r="I147" s="111">
        <v>27</v>
      </c>
      <c r="J147" s="115">
        <v>4</v>
      </c>
      <c r="K147" s="98">
        <v>12</v>
      </c>
      <c r="L147" s="99"/>
      <c r="M147" s="100"/>
      <c r="N147" s="100"/>
      <c r="O147" s="100"/>
      <c r="P147" s="105"/>
      <c r="Q147" s="152">
        <f>Q148+Q168+Q172+Q184</f>
        <v>6937.700000000001</v>
      </c>
      <c r="R147" s="152">
        <f>R148+R168+R172+R184</f>
        <v>6919</v>
      </c>
      <c r="S147" s="282">
        <f t="shared" si="3"/>
        <v>0.9973045822102424</v>
      </c>
    </row>
    <row r="148" spans="1:19" ht="40.5" customHeight="1">
      <c r="A148" s="61"/>
      <c r="B148" s="60"/>
      <c r="C148" s="59"/>
      <c r="D148" s="63"/>
      <c r="E148" s="77"/>
      <c r="F148" s="77"/>
      <c r="G148" s="51"/>
      <c r="H148" s="146" t="s">
        <v>13</v>
      </c>
      <c r="I148" s="4">
        <v>27</v>
      </c>
      <c r="J148" s="16">
        <v>4</v>
      </c>
      <c r="K148" s="14">
        <v>12</v>
      </c>
      <c r="L148" s="57" t="s">
        <v>524</v>
      </c>
      <c r="M148" s="58" t="s">
        <v>519</v>
      </c>
      <c r="N148" s="58" t="s">
        <v>539</v>
      </c>
      <c r="O148" s="58" t="s">
        <v>556</v>
      </c>
      <c r="P148" s="4"/>
      <c r="Q148" s="151">
        <f>Q149+Q158+Q163+Q152+Q155</f>
        <v>6489.6</v>
      </c>
      <c r="R148" s="151">
        <f>R149+R158+R163+R152+R155</f>
        <v>6489.6</v>
      </c>
      <c r="S148" s="282">
        <f t="shared" si="3"/>
        <v>1</v>
      </c>
    </row>
    <row r="149" spans="1:19" ht="36" customHeight="1">
      <c r="A149" s="61"/>
      <c r="B149" s="60"/>
      <c r="C149" s="59"/>
      <c r="D149" s="63"/>
      <c r="E149" s="77"/>
      <c r="F149" s="77"/>
      <c r="G149" s="51"/>
      <c r="H149" s="70" t="s">
        <v>315</v>
      </c>
      <c r="I149" s="4">
        <v>27</v>
      </c>
      <c r="J149" s="16">
        <v>4</v>
      </c>
      <c r="K149" s="14">
        <v>12</v>
      </c>
      <c r="L149" s="57" t="s">
        <v>524</v>
      </c>
      <c r="M149" s="58" t="s">
        <v>519</v>
      </c>
      <c r="N149" s="58" t="s">
        <v>520</v>
      </c>
      <c r="O149" s="58" t="s">
        <v>556</v>
      </c>
      <c r="P149" s="4"/>
      <c r="Q149" s="151">
        <f>Q150</f>
        <v>65</v>
      </c>
      <c r="R149" s="151">
        <f>R150</f>
        <v>65</v>
      </c>
      <c r="S149" s="282">
        <f t="shared" si="3"/>
        <v>1</v>
      </c>
    </row>
    <row r="150" spans="1:19" ht="21.75" customHeight="1">
      <c r="A150" s="61"/>
      <c r="B150" s="60"/>
      <c r="C150" s="59"/>
      <c r="D150" s="63"/>
      <c r="E150" s="77"/>
      <c r="F150" s="77"/>
      <c r="G150" s="51"/>
      <c r="H150" s="70" t="s">
        <v>230</v>
      </c>
      <c r="I150" s="4">
        <v>27</v>
      </c>
      <c r="J150" s="16">
        <v>4</v>
      </c>
      <c r="K150" s="14">
        <v>12</v>
      </c>
      <c r="L150" s="57" t="s">
        <v>524</v>
      </c>
      <c r="M150" s="58" t="s">
        <v>519</v>
      </c>
      <c r="N150" s="58" t="s">
        <v>520</v>
      </c>
      <c r="O150" s="58" t="s">
        <v>231</v>
      </c>
      <c r="P150" s="4"/>
      <c r="Q150" s="151">
        <f>Q151</f>
        <v>65</v>
      </c>
      <c r="R150" s="151">
        <f>R151</f>
        <v>65</v>
      </c>
      <c r="S150" s="282">
        <f t="shared" si="3"/>
        <v>1</v>
      </c>
    </row>
    <row r="151" spans="1:19" ht="24" customHeight="1">
      <c r="A151" s="61"/>
      <c r="B151" s="60"/>
      <c r="C151" s="59"/>
      <c r="D151" s="63"/>
      <c r="E151" s="77"/>
      <c r="F151" s="77"/>
      <c r="G151" s="51"/>
      <c r="H151" s="70" t="s">
        <v>638</v>
      </c>
      <c r="I151" s="4">
        <v>27</v>
      </c>
      <c r="J151" s="16">
        <v>4</v>
      </c>
      <c r="K151" s="14">
        <v>12</v>
      </c>
      <c r="L151" s="57" t="s">
        <v>524</v>
      </c>
      <c r="M151" s="58" t="s">
        <v>519</v>
      </c>
      <c r="N151" s="58" t="s">
        <v>520</v>
      </c>
      <c r="O151" s="58" t="s">
        <v>231</v>
      </c>
      <c r="P151" s="4">
        <v>610</v>
      </c>
      <c r="Q151" s="151">
        <f>50+15</f>
        <v>65</v>
      </c>
      <c r="R151" s="151">
        <f>50+15</f>
        <v>65</v>
      </c>
      <c r="S151" s="282">
        <f t="shared" si="3"/>
        <v>1</v>
      </c>
    </row>
    <row r="152" spans="1:19" ht="24" customHeight="1">
      <c r="A152" s="61"/>
      <c r="B152" s="60"/>
      <c r="C152" s="59"/>
      <c r="D152" s="63"/>
      <c r="E152" s="77"/>
      <c r="F152" s="77"/>
      <c r="G152" s="51"/>
      <c r="H152" s="70" t="s">
        <v>107</v>
      </c>
      <c r="I152" s="6">
        <v>27</v>
      </c>
      <c r="J152" s="16">
        <v>4</v>
      </c>
      <c r="K152" s="14">
        <v>12</v>
      </c>
      <c r="L152" s="57" t="s">
        <v>524</v>
      </c>
      <c r="M152" s="58" t="s">
        <v>519</v>
      </c>
      <c r="N152" s="58" t="s">
        <v>545</v>
      </c>
      <c r="O152" s="58" t="s">
        <v>556</v>
      </c>
      <c r="P152" s="4"/>
      <c r="Q152" s="151">
        <f>Q153</f>
        <v>20</v>
      </c>
      <c r="R152" s="151">
        <f>R153</f>
        <v>20</v>
      </c>
      <c r="S152" s="282">
        <f t="shared" si="3"/>
        <v>1</v>
      </c>
    </row>
    <row r="153" spans="1:19" ht="24" customHeight="1">
      <c r="A153" s="61"/>
      <c r="B153" s="60"/>
      <c r="C153" s="59"/>
      <c r="D153" s="63"/>
      <c r="E153" s="77"/>
      <c r="F153" s="77"/>
      <c r="G153" s="51"/>
      <c r="H153" s="70" t="s">
        <v>230</v>
      </c>
      <c r="I153" s="6">
        <v>27</v>
      </c>
      <c r="J153" s="16">
        <v>4</v>
      </c>
      <c r="K153" s="14">
        <v>12</v>
      </c>
      <c r="L153" s="57" t="s">
        <v>524</v>
      </c>
      <c r="M153" s="58" t="s">
        <v>519</v>
      </c>
      <c r="N153" s="58" t="s">
        <v>545</v>
      </c>
      <c r="O153" s="58" t="s">
        <v>231</v>
      </c>
      <c r="P153" s="4"/>
      <c r="Q153" s="151">
        <f>Q154</f>
        <v>20</v>
      </c>
      <c r="R153" s="151">
        <f>R154</f>
        <v>20</v>
      </c>
      <c r="S153" s="282">
        <f t="shared" si="3"/>
        <v>1</v>
      </c>
    </row>
    <row r="154" spans="1:19" ht="24" customHeight="1">
      <c r="A154" s="61"/>
      <c r="B154" s="60"/>
      <c r="C154" s="59"/>
      <c r="D154" s="63"/>
      <c r="E154" s="77"/>
      <c r="F154" s="77"/>
      <c r="G154" s="51"/>
      <c r="H154" s="70" t="s">
        <v>638</v>
      </c>
      <c r="I154" s="6">
        <v>27</v>
      </c>
      <c r="J154" s="16">
        <v>4</v>
      </c>
      <c r="K154" s="14">
        <v>12</v>
      </c>
      <c r="L154" s="57" t="s">
        <v>524</v>
      </c>
      <c r="M154" s="58" t="s">
        <v>519</v>
      </c>
      <c r="N154" s="58" t="s">
        <v>545</v>
      </c>
      <c r="O154" s="58" t="s">
        <v>231</v>
      </c>
      <c r="P154" s="4">
        <v>610</v>
      </c>
      <c r="Q154" s="151">
        <v>20</v>
      </c>
      <c r="R154" s="151">
        <v>20</v>
      </c>
      <c r="S154" s="282">
        <f t="shared" si="3"/>
        <v>1</v>
      </c>
    </row>
    <row r="155" spans="1:19" ht="24" customHeight="1">
      <c r="A155" s="61"/>
      <c r="B155" s="60"/>
      <c r="C155" s="59"/>
      <c r="D155" s="63"/>
      <c r="E155" s="77"/>
      <c r="F155" s="77"/>
      <c r="G155" s="51"/>
      <c r="H155" s="70" t="s">
        <v>157</v>
      </c>
      <c r="I155" s="6">
        <v>27</v>
      </c>
      <c r="J155" s="16">
        <v>4</v>
      </c>
      <c r="K155" s="14">
        <v>12</v>
      </c>
      <c r="L155" s="57" t="s">
        <v>524</v>
      </c>
      <c r="M155" s="58" t="s">
        <v>519</v>
      </c>
      <c r="N155" s="58" t="s">
        <v>546</v>
      </c>
      <c r="O155" s="58" t="s">
        <v>556</v>
      </c>
      <c r="P155" s="4"/>
      <c r="Q155" s="151">
        <f>Q156</f>
        <v>210</v>
      </c>
      <c r="R155" s="151">
        <f>R156</f>
        <v>210</v>
      </c>
      <c r="S155" s="282">
        <f t="shared" si="3"/>
        <v>1</v>
      </c>
    </row>
    <row r="156" spans="1:19" ht="24" customHeight="1">
      <c r="A156" s="61"/>
      <c r="B156" s="60"/>
      <c r="C156" s="59"/>
      <c r="D156" s="63"/>
      <c r="E156" s="77"/>
      <c r="F156" s="77"/>
      <c r="G156" s="51"/>
      <c r="H156" s="70" t="s">
        <v>160</v>
      </c>
      <c r="I156" s="6">
        <v>27</v>
      </c>
      <c r="J156" s="16">
        <v>4</v>
      </c>
      <c r="K156" s="14">
        <v>12</v>
      </c>
      <c r="L156" s="57" t="s">
        <v>524</v>
      </c>
      <c r="M156" s="58" t="s">
        <v>519</v>
      </c>
      <c r="N156" s="58" t="s">
        <v>546</v>
      </c>
      <c r="O156" s="58" t="s">
        <v>159</v>
      </c>
      <c r="P156" s="4"/>
      <c r="Q156" s="151">
        <f>Q157</f>
        <v>210</v>
      </c>
      <c r="R156" s="151">
        <f>R157</f>
        <v>210</v>
      </c>
      <c r="S156" s="282">
        <f t="shared" si="3"/>
        <v>1</v>
      </c>
    </row>
    <row r="157" spans="1:19" ht="24" customHeight="1">
      <c r="A157" s="61"/>
      <c r="B157" s="60"/>
      <c r="C157" s="59"/>
      <c r="D157" s="63"/>
      <c r="E157" s="77"/>
      <c r="F157" s="77"/>
      <c r="G157" s="51"/>
      <c r="H157" s="3" t="s">
        <v>636</v>
      </c>
      <c r="I157" s="6">
        <v>27</v>
      </c>
      <c r="J157" s="16">
        <v>4</v>
      </c>
      <c r="K157" s="14">
        <v>12</v>
      </c>
      <c r="L157" s="57" t="s">
        <v>524</v>
      </c>
      <c r="M157" s="58" t="s">
        <v>519</v>
      </c>
      <c r="N157" s="58" t="s">
        <v>546</v>
      </c>
      <c r="O157" s="58" t="s">
        <v>159</v>
      </c>
      <c r="P157" s="4">
        <v>240</v>
      </c>
      <c r="Q157" s="151">
        <v>210</v>
      </c>
      <c r="R157" s="151">
        <v>210</v>
      </c>
      <c r="S157" s="282">
        <f t="shared" si="3"/>
        <v>1</v>
      </c>
    </row>
    <row r="158" spans="1:19" ht="27.75" customHeight="1">
      <c r="A158" s="61"/>
      <c r="B158" s="60"/>
      <c r="C158" s="59"/>
      <c r="D158" s="63"/>
      <c r="E158" s="77"/>
      <c r="F158" s="77"/>
      <c r="G158" s="51"/>
      <c r="H158" s="3" t="s">
        <v>595</v>
      </c>
      <c r="I158" s="6">
        <v>27</v>
      </c>
      <c r="J158" s="16">
        <v>4</v>
      </c>
      <c r="K158" s="14">
        <v>12</v>
      </c>
      <c r="L158" s="57" t="s">
        <v>524</v>
      </c>
      <c r="M158" s="58" t="s">
        <v>519</v>
      </c>
      <c r="N158" s="58" t="s">
        <v>522</v>
      </c>
      <c r="O158" s="58" t="s">
        <v>556</v>
      </c>
      <c r="P158" s="4"/>
      <c r="Q158" s="151">
        <f>Q159+Q161</f>
        <v>6029.6</v>
      </c>
      <c r="R158" s="151">
        <f>R159+R161</f>
        <v>6029.6</v>
      </c>
      <c r="S158" s="282">
        <f t="shared" si="3"/>
        <v>1</v>
      </c>
    </row>
    <row r="159" spans="1:19" ht="27.75" customHeight="1">
      <c r="A159" s="61"/>
      <c r="B159" s="60"/>
      <c r="C159" s="59"/>
      <c r="D159" s="63"/>
      <c r="E159" s="77"/>
      <c r="F159" s="77"/>
      <c r="G159" s="51"/>
      <c r="H159" s="3" t="s">
        <v>230</v>
      </c>
      <c r="I159" s="6">
        <v>27</v>
      </c>
      <c r="J159" s="16">
        <v>4</v>
      </c>
      <c r="K159" s="14">
        <v>12</v>
      </c>
      <c r="L159" s="57" t="s">
        <v>524</v>
      </c>
      <c r="M159" s="58" t="s">
        <v>519</v>
      </c>
      <c r="N159" s="58" t="s">
        <v>522</v>
      </c>
      <c r="O159" s="58" t="s">
        <v>231</v>
      </c>
      <c r="P159" s="4"/>
      <c r="Q159" s="151">
        <f>Q160</f>
        <v>5388</v>
      </c>
      <c r="R159" s="151">
        <f>R160</f>
        <v>5388</v>
      </c>
      <c r="S159" s="282">
        <f t="shared" si="3"/>
        <v>1</v>
      </c>
    </row>
    <row r="160" spans="1:19" ht="27.75" customHeight="1">
      <c r="A160" s="61"/>
      <c r="B160" s="60"/>
      <c r="C160" s="59"/>
      <c r="D160" s="63"/>
      <c r="E160" s="77"/>
      <c r="F160" s="77"/>
      <c r="G160" s="51"/>
      <c r="H160" s="3" t="s">
        <v>638</v>
      </c>
      <c r="I160" s="6">
        <v>27</v>
      </c>
      <c r="J160" s="16">
        <v>4</v>
      </c>
      <c r="K160" s="14">
        <v>12</v>
      </c>
      <c r="L160" s="57" t="s">
        <v>524</v>
      </c>
      <c r="M160" s="58" t="s">
        <v>519</v>
      </c>
      <c r="N160" s="58" t="s">
        <v>522</v>
      </c>
      <c r="O160" s="58" t="s">
        <v>231</v>
      </c>
      <c r="P160" s="4">
        <v>610</v>
      </c>
      <c r="Q160" s="151">
        <f>5436.5-48.5</f>
        <v>5388</v>
      </c>
      <c r="R160" s="151">
        <f>5436.5-48.5</f>
        <v>5388</v>
      </c>
      <c r="S160" s="282">
        <f t="shared" si="3"/>
        <v>1</v>
      </c>
    </row>
    <row r="161" spans="1:19" ht="36.75" customHeight="1">
      <c r="A161" s="61"/>
      <c r="B161" s="60"/>
      <c r="C161" s="59"/>
      <c r="D161" s="63"/>
      <c r="E161" s="77"/>
      <c r="F161" s="77"/>
      <c r="G161" s="51"/>
      <c r="H161" s="3" t="s">
        <v>50</v>
      </c>
      <c r="I161" s="6">
        <v>27</v>
      </c>
      <c r="J161" s="16">
        <v>4</v>
      </c>
      <c r="K161" s="14">
        <v>12</v>
      </c>
      <c r="L161" s="57" t="s">
        <v>524</v>
      </c>
      <c r="M161" s="58" t="s">
        <v>519</v>
      </c>
      <c r="N161" s="58" t="s">
        <v>522</v>
      </c>
      <c r="O161" s="58" t="s">
        <v>49</v>
      </c>
      <c r="P161" s="4"/>
      <c r="Q161" s="151">
        <f>Q162</f>
        <v>641.6</v>
      </c>
      <c r="R161" s="151">
        <f>R162</f>
        <v>641.6</v>
      </c>
      <c r="S161" s="282">
        <f t="shared" si="3"/>
        <v>1</v>
      </c>
    </row>
    <row r="162" spans="1:19" ht="27.75" customHeight="1">
      <c r="A162" s="61"/>
      <c r="B162" s="60"/>
      <c r="C162" s="59"/>
      <c r="D162" s="63"/>
      <c r="E162" s="77"/>
      <c r="F162" s="77"/>
      <c r="G162" s="51"/>
      <c r="H162" s="3" t="s">
        <v>638</v>
      </c>
      <c r="I162" s="6">
        <v>27</v>
      </c>
      <c r="J162" s="16">
        <v>4</v>
      </c>
      <c r="K162" s="14">
        <v>12</v>
      </c>
      <c r="L162" s="57" t="s">
        <v>524</v>
      </c>
      <c r="M162" s="58" t="s">
        <v>519</v>
      </c>
      <c r="N162" s="58" t="s">
        <v>522</v>
      </c>
      <c r="O162" s="58" t="s">
        <v>49</v>
      </c>
      <c r="P162" s="4">
        <v>610</v>
      </c>
      <c r="Q162" s="151">
        <v>641.6</v>
      </c>
      <c r="R162" s="151">
        <v>641.6</v>
      </c>
      <c r="S162" s="282">
        <f t="shared" si="3"/>
        <v>1</v>
      </c>
    </row>
    <row r="163" spans="1:19" ht="39" customHeight="1">
      <c r="A163" s="61"/>
      <c r="B163" s="60"/>
      <c r="C163" s="59"/>
      <c r="D163" s="63"/>
      <c r="E163" s="77"/>
      <c r="F163" s="77"/>
      <c r="G163" s="51"/>
      <c r="H163" s="3" t="s">
        <v>254</v>
      </c>
      <c r="I163" s="6">
        <v>27</v>
      </c>
      <c r="J163" s="16">
        <v>4</v>
      </c>
      <c r="K163" s="14">
        <v>12</v>
      </c>
      <c r="L163" s="57" t="s">
        <v>524</v>
      </c>
      <c r="M163" s="58" t="s">
        <v>519</v>
      </c>
      <c r="N163" s="58" t="s">
        <v>524</v>
      </c>
      <c r="O163" s="58" t="s">
        <v>556</v>
      </c>
      <c r="P163" s="4"/>
      <c r="Q163" s="151">
        <f>Q164+Q166</f>
        <v>165</v>
      </c>
      <c r="R163" s="151">
        <f>R164+R166</f>
        <v>165</v>
      </c>
      <c r="S163" s="282">
        <f t="shared" si="3"/>
        <v>1</v>
      </c>
    </row>
    <row r="164" spans="1:19" ht="29.25" customHeight="1">
      <c r="A164" s="61"/>
      <c r="B164" s="60"/>
      <c r="C164" s="59"/>
      <c r="D164" s="63"/>
      <c r="E164" s="77"/>
      <c r="F164" s="77"/>
      <c r="G164" s="51"/>
      <c r="H164" s="3" t="s">
        <v>230</v>
      </c>
      <c r="I164" s="6">
        <v>27</v>
      </c>
      <c r="J164" s="16">
        <v>4</v>
      </c>
      <c r="K164" s="14">
        <v>12</v>
      </c>
      <c r="L164" s="57" t="s">
        <v>524</v>
      </c>
      <c r="M164" s="58" t="s">
        <v>519</v>
      </c>
      <c r="N164" s="58" t="s">
        <v>524</v>
      </c>
      <c r="O164" s="58" t="s">
        <v>231</v>
      </c>
      <c r="P164" s="4"/>
      <c r="Q164" s="151">
        <f>Q165</f>
        <v>15</v>
      </c>
      <c r="R164" s="151">
        <f>R165</f>
        <v>15</v>
      </c>
      <c r="S164" s="282">
        <f t="shared" si="3"/>
        <v>1</v>
      </c>
    </row>
    <row r="165" spans="1:19" ht="20.25" customHeight="1">
      <c r="A165" s="61"/>
      <c r="B165" s="60"/>
      <c r="C165" s="59"/>
      <c r="D165" s="63"/>
      <c r="E165" s="77"/>
      <c r="F165" s="77"/>
      <c r="G165" s="51"/>
      <c r="H165" s="3" t="s">
        <v>638</v>
      </c>
      <c r="I165" s="6">
        <v>27</v>
      </c>
      <c r="J165" s="16">
        <v>4</v>
      </c>
      <c r="K165" s="14">
        <v>12</v>
      </c>
      <c r="L165" s="57" t="s">
        <v>524</v>
      </c>
      <c r="M165" s="58" t="s">
        <v>519</v>
      </c>
      <c r="N165" s="58" t="s">
        <v>524</v>
      </c>
      <c r="O165" s="58" t="s">
        <v>231</v>
      </c>
      <c r="P165" s="4">
        <v>610</v>
      </c>
      <c r="Q165" s="151">
        <f>50-35</f>
        <v>15</v>
      </c>
      <c r="R165" s="151">
        <f>50-35</f>
        <v>15</v>
      </c>
      <c r="S165" s="282">
        <f t="shared" si="3"/>
        <v>1</v>
      </c>
    </row>
    <row r="166" spans="1:19" ht="31.5" customHeight="1">
      <c r="A166" s="61"/>
      <c r="B166" s="60"/>
      <c r="C166" s="59"/>
      <c r="D166" s="63"/>
      <c r="E166" s="77"/>
      <c r="F166" s="77"/>
      <c r="G166" s="51"/>
      <c r="H166" s="3" t="s">
        <v>750</v>
      </c>
      <c r="I166" s="4">
        <v>27</v>
      </c>
      <c r="J166" s="16">
        <v>4</v>
      </c>
      <c r="K166" s="14">
        <v>12</v>
      </c>
      <c r="L166" s="57" t="s">
        <v>524</v>
      </c>
      <c r="M166" s="58" t="s">
        <v>519</v>
      </c>
      <c r="N166" s="58" t="s">
        <v>524</v>
      </c>
      <c r="O166" s="58" t="s">
        <v>749</v>
      </c>
      <c r="P166" s="4"/>
      <c r="Q166" s="151">
        <f>Q167</f>
        <v>150</v>
      </c>
      <c r="R166" s="151">
        <f>R167</f>
        <v>150</v>
      </c>
      <c r="S166" s="282">
        <f t="shared" si="3"/>
        <v>1</v>
      </c>
    </row>
    <row r="167" spans="1:19" ht="20.25" customHeight="1">
      <c r="A167" s="61"/>
      <c r="B167" s="60"/>
      <c r="C167" s="59"/>
      <c r="D167" s="63"/>
      <c r="E167" s="77"/>
      <c r="F167" s="77"/>
      <c r="G167" s="51"/>
      <c r="H167" s="3" t="s">
        <v>638</v>
      </c>
      <c r="I167" s="4">
        <v>27</v>
      </c>
      <c r="J167" s="16">
        <v>4</v>
      </c>
      <c r="K167" s="14">
        <v>12</v>
      </c>
      <c r="L167" s="57" t="s">
        <v>524</v>
      </c>
      <c r="M167" s="58" t="s">
        <v>519</v>
      </c>
      <c r="N167" s="58" t="s">
        <v>524</v>
      </c>
      <c r="O167" s="58" t="s">
        <v>749</v>
      </c>
      <c r="P167" s="4">
        <v>610</v>
      </c>
      <c r="Q167" s="151">
        <v>150</v>
      </c>
      <c r="R167" s="151">
        <v>150</v>
      </c>
      <c r="S167" s="282">
        <f t="shared" si="3"/>
        <v>1</v>
      </c>
    </row>
    <row r="168" spans="1:19" ht="39" customHeight="1" hidden="1">
      <c r="A168" s="61"/>
      <c r="B168" s="60"/>
      <c r="C168" s="59"/>
      <c r="D168" s="63"/>
      <c r="E168" s="77"/>
      <c r="F168" s="77"/>
      <c r="G168" s="51"/>
      <c r="H168" s="236" t="s">
        <v>257</v>
      </c>
      <c r="I168" s="252">
        <v>27</v>
      </c>
      <c r="J168" s="238">
        <v>4</v>
      </c>
      <c r="K168" s="239">
        <v>12</v>
      </c>
      <c r="L168" s="240" t="s">
        <v>515</v>
      </c>
      <c r="M168" s="241" t="s">
        <v>519</v>
      </c>
      <c r="N168" s="241" t="s">
        <v>539</v>
      </c>
      <c r="O168" s="241" t="s">
        <v>556</v>
      </c>
      <c r="P168" s="237"/>
      <c r="Q168" s="242">
        <f aca="true" t="shared" si="4" ref="Q168:R170">Q169</f>
        <v>0</v>
      </c>
      <c r="R168" s="242">
        <f t="shared" si="4"/>
        <v>0</v>
      </c>
      <c r="S168" s="282" t="e">
        <f t="shared" si="3"/>
        <v>#DIV/0!</v>
      </c>
    </row>
    <row r="169" spans="1:19" ht="41.25" customHeight="1" hidden="1">
      <c r="A169" s="61"/>
      <c r="B169" s="60"/>
      <c r="C169" s="59"/>
      <c r="D169" s="63"/>
      <c r="E169" s="77"/>
      <c r="F169" s="77"/>
      <c r="G169" s="51"/>
      <c r="H169" s="243" t="s">
        <v>258</v>
      </c>
      <c r="I169" s="237">
        <v>27</v>
      </c>
      <c r="J169" s="238">
        <v>4</v>
      </c>
      <c r="K169" s="239">
        <v>12</v>
      </c>
      <c r="L169" s="240" t="s">
        <v>515</v>
      </c>
      <c r="M169" s="241" t="s">
        <v>519</v>
      </c>
      <c r="N169" s="241" t="s">
        <v>520</v>
      </c>
      <c r="O169" s="241" t="s">
        <v>556</v>
      </c>
      <c r="P169" s="237"/>
      <c r="Q169" s="242">
        <f t="shared" si="4"/>
        <v>0</v>
      </c>
      <c r="R169" s="242">
        <f t="shared" si="4"/>
        <v>0</v>
      </c>
      <c r="S169" s="282" t="e">
        <f t="shared" si="3"/>
        <v>#DIV/0!</v>
      </c>
    </row>
    <row r="170" spans="1:19" ht="30.75" customHeight="1" hidden="1">
      <c r="A170" s="61"/>
      <c r="B170" s="60"/>
      <c r="C170" s="59"/>
      <c r="D170" s="63"/>
      <c r="E170" s="77"/>
      <c r="F170" s="77"/>
      <c r="G170" s="51"/>
      <c r="H170" s="243" t="s">
        <v>260</v>
      </c>
      <c r="I170" s="237">
        <v>27</v>
      </c>
      <c r="J170" s="238">
        <v>4</v>
      </c>
      <c r="K170" s="239">
        <v>12</v>
      </c>
      <c r="L170" s="240" t="s">
        <v>515</v>
      </c>
      <c r="M170" s="241" t="s">
        <v>519</v>
      </c>
      <c r="N170" s="241" t="s">
        <v>520</v>
      </c>
      <c r="O170" s="241" t="s">
        <v>259</v>
      </c>
      <c r="P170" s="237"/>
      <c r="Q170" s="242">
        <f t="shared" si="4"/>
        <v>0</v>
      </c>
      <c r="R170" s="242">
        <f t="shared" si="4"/>
        <v>0</v>
      </c>
      <c r="S170" s="282" t="e">
        <f t="shared" si="3"/>
        <v>#DIV/0!</v>
      </c>
    </row>
    <row r="171" spans="1:19" ht="29.25" customHeight="1" hidden="1">
      <c r="A171" s="61"/>
      <c r="B171" s="60"/>
      <c r="C171" s="59"/>
      <c r="D171" s="63"/>
      <c r="E171" s="77"/>
      <c r="F171" s="77"/>
      <c r="G171" s="51"/>
      <c r="H171" s="243" t="s">
        <v>636</v>
      </c>
      <c r="I171" s="237">
        <v>27</v>
      </c>
      <c r="J171" s="238">
        <v>4</v>
      </c>
      <c r="K171" s="239">
        <v>12</v>
      </c>
      <c r="L171" s="240" t="s">
        <v>515</v>
      </c>
      <c r="M171" s="241" t="s">
        <v>519</v>
      </c>
      <c r="N171" s="241" t="s">
        <v>520</v>
      </c>
      <c r="O171" s="241" t="s">
        <v>259</v>
      </c>
      <c r="P171" s="237">
        <v>240</v>
      </c>
      <c r="Q171" s="242">
        <f>30-30</f>
        <v>0</v>
      </c>
      <c r="R171" s="242">
        <f>30-30</f>
        <v>0</v>
      </c>
      <c r="S171" s="282" t="e">
        <f t="shared" si="3"/>
        <v>#DIV/0!</v>
      </c>
    </row>
    <row r="172" spans="1:19" ht="34.5" customHeight="1">
      <c r="A172" s="61"/>
      <c r="B172" s="60"/>
      <c r="C172" s="65"/>
      <c r="D172" s="63"/>
      <c r="E172" s="285">
        <v>4210200</v>
      </c>
      <c r="F172" s="285"/>
      <c r="G172" s="51">
        <v>521</v>
      </c>
      <c r="H172" s="3" t="s">
        <v>24</v>
      </c>
      <c r="I172" s="6">
        <v>27</v>
      </c>
      <c r="J172" s="5">
        <v>4</v>
      </c>
      <c r="K172" s="14">
        <v>12</v>
      </c>
      <c r="L172" s="57" t="s">
        <v>36</v>
      </c>
      <c r="M172" s="58" t="s">
        <v>519</v>
      </c>
      <c r="N172" s="58" t="s">
        <v>539</v>
      </c>
      <c r="O172" s="58" t="s">
        <v>556</v>
      </c>
      <c r="P172" s="8"/>
      <c r="Q172" s="150">
        <f>Q173+Q181</f>
        <v>435.09999999999997</v>
      </c>
      <c r="R172" s="150">
        <f>R173+R181</f>
        <v>416.4</v>
      </c>
      <c r="S172" s="282">
        <f t="shared" si="3"/>
        <v>0.9570213743966904</v>
      </c>
    </row>
    <row r="173" spans="1:19" ht="34.5" customHeight="1">
      <c r="A173" s="61"/>
      <c r="B173" s="60"/>
      <c r="C173" s="65"/>
      <c r="D173" s="71"/>
      <c r="E173" s="66"/>
      <c r="F173" s="66"/>
      <c r="G173" s="67">
        <v>521</v>
      </c>
      <c r="H173" s="15" t="s">
        <v>22</v>
      </c>
      <c r="I173" s="6">
        <v>27</v>
      </c>
      <c r="J173" s="5">
        <v>4</v>
      </c>
      <c r="K173" s="14">
        <v>12</v>
      </c>
      <c r="L173" s="57" t="s">
        <v>36</v>
      </c>
      <c r="M173" s="58" t="s">
        <v>519</v>
      </c>
      <c r="N173" s="58" t="s">
        <v>520</v>
      </c>
      <c r="O173" s="58" t="s">
        <v>556</v>
      </c>
      <c r="P173" s="4"/>
      <c r="Q173" s="151">
        <f>Q174+Q177+Q179</f>
        <v>399.09999999999997</v>
      </c>
      <c r="R173" s="151">
        <f>R174+R177+R179</f>
        <v>380.4</v>
      </c>
      <c r="S173" s="282">
        <f t="shared" si="3"/>
        <v>0.9531445752944124</v>
      </c>
    </row>
    <row r="174" spans="1:19" ht="23.25" customHeight="1">
      <c r="A174" s="61"/>
      <c r="B174" s="60"/>
      <c r="C174" s="59"/>
      <c r="D174" s="71"/>
      <c r="E174" s="66"/>
      <c r="F174" s="66"/>
      <c r="G174" s="51"/>
      <c r="H174" s="15" t="s">
        <v>227</v>
      </c>
      <c r="I174" s="6">
        <v>27</v>
      </c>
      <c r="J174" s="18">
        <v>4</v>
      </c>
      <c r="K174" s="14">
        <v>12</v>
      </c>
      <c r="L174" s="57" t="s">
        <v>36</v>
      </c>
      <c r="M174" s="58" t="s">
        <v>519</v>
      </c>
      <c r="N174" s="58" t="s">
        <v>520</v>
      </c>
      <c r="O174" s="58" t="s">
        <v>226</v>
      </c>
      <c r="P174" s="4"/>
      <c r="Q174" s="151">
        <f>SUM(Q175:Q176)</f>
        <v>68.2</v>
      </c>
      <c r="R174" s="151">
        <f>SUM(R175:R176)</f>
        <v>68.2</v>
      </c>
      <c r="S174" s="282">
        <f t="shared" si="3"/>
        <v>1</v>
      </c>
    </row>
    <row r="175" spans="1:19" ht="30" customHeight="1" hidden="1">
      <c r="A175" s="61"/>
      <c r="B175" s="60"/>
      <c r="C175" s="59"/>
      <c r="D175" s="71"/>
      <c r="E175" s="66"/>
      <c r="F175" s="66"/>
      <c r="G175" s="51"/>
      <c r="H175" s="15" t="s">
        <v>636</v>
      </c>
      <c r="I175" s="6">
        <v>27</v>
      </c>
      <c r="J175" s="18">
        <v>4</v>
      </c>
      <c r="K175" s="14">
        <v>12</v>
      </c>
      <c r="L175" s="57" t="s">
        <v>36</v>
      </c>
      <c r="M175" s="58" t="s">
        <v>519</v>
      </c>
      <c r="N175" s="58" t="s">
        <v>520</v>
      </c>
      <c r="O175" s="58" t="s">
        <v>226</v>
      </c>
      <c r="P175" s="4">
        <v>240</v>
      </c>
      <c r="Q175" s="151">
        <f>10-10</f>
        <v>0</v>
      </c>
      <c r="R175" s="151">
        <f>10-10</f>
        <v>0</v>
      </c>
      <c r="S175" s="282" t="e">
        <f t="shared" si="3"/>
        <v>#DIV/0!</v>
      </c>
    </row>
    <row r="176" spans="1:19" ht="38.25" customHeight="1">
      <c r="A176" s="61"/>
      <c r="B176" s="60"/>
      <c r="C176" s="59"/>
      <c r="D176" s="63"/>
      <c r="E176" s="77"/>
      <c r="F176" s="77"/>
      <c r="G176" s="51"/>
      <c r="H176" s="3" t="s">
        <v>6</v>
      </c>
      <c r="I176" s="6">
        <v>27</v>
      </c>
      <c r="J176" s="16">
        <v>4</v>
      </c>
      <c r="K176" s="14">
        <v>12</v>
      </c>
      <c r="L176" s="57" t="s">
        <v>36</v>
      </c>
      <c r="M176" s="58" t="s">
        <v>519</v>
      </c>
      <c r="N176" s="58" t="s">
        <v>520</v>
      </c>
      <c r="O176" s="58" t="s">
        <v>226</v>
      </c>
      <c r="P176" s="4">
        <v>810</v>
      </c>
      <c r="Q176" s="151">
        <f>70-1.8</f>
        <v>68.2</v>
      </c>
      <c r="R176" s="151">
        <f>70-1.8</f>
        <v>68.2</v>
      </c>
      <c r="S176" s="282">
        <f t="shared" si="3"/>
        <v>1</v>
      </c>
    </row>
    <row r="177" spans="1:19" ht="32.25" customHeight="1" hidden="1">
      <c r="A177" s="61"/>
      <c r="B177" s="60"/>
      <c r="C177" s="59"/>
      <c r="D177" s="63"/>
      <c r="E177" s="77"/>
      <c r="F177" s="77"/>
      <c r="G177" s="51"/>
      <c r="H177" s="3" t="s">
        <v>720</v>
      </c>
      <c r="I177" s="6">
        <v>27</v>
      </c>
      <c r="J177" s="16">
        <v>4</v>
      </c>
      <c r="K177" s="14">
        <v>12</v>
      </c>
      <c r="L177" s="57" t="s">
        <v>36</v>
      </c>
      <c r="M177" s="58" t="s">
        <v>519</v>
      </c>
      <c r="N177" s="58" t="s">
        <v>520</v>
      </c>
      <c r="O177" s="58" t="s">
        <v>719</v>
      </c>
      <c r="P177" s="4"/>
      <c r="Q177" s="151">
        <f>Q178</f>
        <v>0</v>
      </c>
      <c r="R177" s="151">
        <f>R178</f>
        <v>0</v>
      </c>
      <c r="S177" s="282" t="e">
        <f t="shared" si="3"/>
        <v>#DIV/0!</v>
      </c>
    </row>
    <row r="178" spans="1:19" ht="32.25" customHeight="1" hidden="1">
      <c r="A178" s="61"/>
      <c r="B178" s="60"/>
      <c r="C178" s="59"/>
      <c r="D178" s="63"/>
      <c r="E178" s="77"/>
      <c r="F178" s="77"/>
      <c r="G178" s="51"/>
      <c r="H178" s="3" t="s">
        <v>6</v>
      </c>
      <c r="I178" s="6">
        <v>27</v>
      </c>
      <c r="J178" s="16">
        <v>4</v>
      </c>
      <c r="K178" s="14">
        <v>12</v>
      </c>
      <c r="L178" s="57" t="s">
        <v>36</v>
      </c>
      <c r="M178" s="58" t="s">
        <v>519</v>
      </c>
      <c r="N178" s="58" t="s">
        <v>520</v>
      </c>
      <c r="O178" s="58" t="s">
        <v>719</v>
      </c>
      <c r="P178" s="4">
        <v>810</v>
      </c>
      <c r="Q178" s="151">
        <f>784.9-784.9</f>
        <v>0</v>
      </c>
      <c r="R178" s="151">
        <f>784.9-784.9</f>
        <v>0</v>
      </c>
      <c r="S178" s="282" t="e">
        <f t="shared" si="3"/>
        <v>#DIV/0!</v>
      </c>
    </row>
    <row r="179" spans="1:19" ht="32.25" customHeight="1">
      <c r="A179" s="61"/>
      <c r="B179" s="60"/>
      <c r="C179" s="59"/>
      <c r="D179" s="63"/>
      <c r="E179" s="77"/>
      <c r="F179" s="77"/>
      <c r="G179" s="51"/>
      <c r="H179" s="3" t="s">
        <v>5</v>
      </c>
      <c r="I179" s="6">
        <v>27</v>
      </c>
      <c r="J179" s="16">
        <v>4</v>
      </c>
      <c r="K179" s="14">
        <v>12</v>
      </c>
      <c r="L179" s="57" t="s">
        <v>36</v>
      </c>
      <c r="M179" s="58" t="s">
        <v>519</v>
      </c>
      <c r="N179" s="58" t="s">
        <v>520</v>
      </c>
      <c r="O179" s="58" t="s">
        <v>4</v>
      </c>
      <c r="P179" s="4"/>
      <c r="Q179" s="151">
        <f>Q180</f>
        <v>330.9</v>
      </c>
      <c r="R179" s="151">
        <f>R180</f>
        <v>312.2</v>
      </c>
      <c r="S179" s="282">
        <f t="shared" si="3"/>
        <v>0.9434874584466606</v>
      </c>
    </row>
    <row r="180" spans="1:19" ht="32.25" customHeight="1">
      <c r="A180" s="61"/>
      <c r="B180" s="60"/>
      <c r="C180" s="59"/>
      <c r="D180" s="63"/>
      <c r="E180" s="77"/>
      <c r="F180" s="77"/>
      <c r="G180" s="51"/>
      <c r="H180" s="3" t="s">
        <v>6</v>
      </c>
      <c r="I180" s="6">
        <v>27</v>
      </c>
      <c r="J180" s="16">
        <v>4</v>
      </c>
      <c r="K180" s="14">
        <v>12</v>
      </c>
      <c r="L180" s="57" t="s">
        <v>36</v>
      </c>
      <c r="M180" s="58" t="s">
        <v>519</v>
      </c>
      <c r="N180" s="58" t="s">
        <v>520</v>
      </c>
      <c r="O180" s="58" t="s">
        <v>4</v>
      </c>
      <c r="P180" s="4">
        <v>810</v>
      </c>
      <c r="Q180" s="151">
        <f>330.1+53.5-53.5+53.5-50-3.6+0.9</f>
        <v>330.9</v>
      </c>
      <c r="R180" s="151">
        <v>312.2</v>
      </c>
      <c r="S180" s="282">
        <f t="shared" si="3"/>
        <v>0.9434874584466606</v>
      </c>
    </row>
    <row r="181" spans="1:19" ht="24.75" customHeight="1">
      <c r="A181" s="61"/>
      <c r="B181" s="60"/>
      <c r="C181" s="59"/>
      <c r="D181" s="63"/>
      <c r="E181" s="77"/>
      <c r="F181" s="77"/>
      <c r="G181" s="51"/>
      <c r="H181" s="3" t="s">
        <v>23</v>
      </c>
      <c r="I181" s="6">
        <v>27</v>
      </c>
      <c r="J181" s="16">
        <v>4</v>
      </c>
      <c r="K181" s="14">
        <v>12</v>
      </c>
      <c r="L181" s="57" t="s">
        <v>36</v>
      </c>
      <c r="M181" s="58" t="s">
        <v>519</v>
      </c>
      <c r="N181" s="58" t="s">
        <v>545</v>
      </c>
      <c r="O181" s="58" t="s">
        <v>556</v>
      </c>
      <c r="P181" s="4"/>
      <c r="Q181" s="151">
        <f>Q182</f>
        <v>36</v>
      </c>
      <c r="R181" s="151">
        <f>R182</f>
        <v>36</v>
      </c>
      <c r="S181" s="282">
        <f t="shared" si="3"/>
        <v>1</v>
      </c>
    </row>
    <row r="182" spans="1:19" ht="30" customHeight="1">
      <c r="A182" s="61"/>
      <c r="B182" s="60"/>
      <c r="C182" s="59"/>
      <c r="D182" s="63"/>
      <c r="E182" s="77"/>
      <c r="F182" s="77"/>
      <c r="G182" s="51"/>
      <c r="H182" s="3" t="s">
        <v>229</v>
      </c>
      <c r="I182" s="6">
        <v>27</v>
      </c>
      <c r="J182" s="16">
        <v>4</v>
      </c>
      <c r="K182" s="14">
        <v>12</v>
      </c>
      <c r="L182" s="57" t="s">
        <v>36</v>
      </c>
      <c r="M182" s="58" t="s">
        <v>519</v>
      </c>
      <c r="N182" s="58" t="s">
        <v>545</v>
      </c>
      <c r="O182" s="58" t="s">
        <v>228</v>
      </c>
      <c r="P182" s="4"/>
      <c r="Q182" s="151">
        <f>Q183</f>
        <v>36</v>
      </c>
      <c r="R182" s="151">
        <f>R183</f>
        <v>36</v>
      </c>
      <c r="S182" s="282">
        <f t="shared" si="3"/>
        <v>1</v>
      </c>
    </row>
    <row r="183" spans="1:19" ht="33" customHeight="1">
      <c r="A183" s="61"/>
      <c r="B183" s="60"/>
      <c r="C183" s="59"/>
      <c r="D183" s="63"/>
      <c r="E183" s="77"/>
      <c r="F183" s="77"/>
      <c r="G183" s="51"/>
      <c r="H183" s="3" t="s">
        <v>636</v>
      </c>
      <c r="I183" s="6">
        <v>27</v>
      </c>
      <c r="J183" s="16">
        <v>4</v>
      </c>
      <c r="K183" s="14">
        <v>12</v>
      </c>
      <c r="L183" s="57" t="s">
        <v>36</v>
      </c>
      <c r="M183" s="58" t="s">
        <v>519</v>
      </c>
      <c r="N183" s="58" t="s">
        <v>545</v>
      </c>
      <c r="O183" s="58" t="s">
        <v>228</v>
      </c>
      <c r="P183" s="4">
        <v>240</v>
      </c>
      <c r="Q183" s="151">
        <f>80-30-14</f>
        <v>36</v>
      </c>
      <c r="R183" s="151">
        <f>80-30-14</f>
        <v>36</v>
      </c>
      <c r="S183" s="282">
        <f t="shared" si="3"/>
        <v>1</v>
      </c>
    </row>
    <row r="184" spans="1:19" ht="38.25" customHeight="1">
      <c r="A184" s="61"/>
      <c r="B184" s="60"/>
      <c r="C184" s="59"/>
      <c r="D184" s="63"/>
      <c r="E184" s="77"/>
      <c r="F184" s="77"/>
      <c r="G184" s="51"/>
      <c r="H184" s="9" t="s">
        <v>756</v>
      </c>
      <c r="I184" s="4">
        <v>27</v>
      </c>
      <c r="J184" s="16">
        <v>4</v>
      </c>
      <c r="K184" s="14">
        <v>12</v>
      </c>
      <c r="L184" s="57" t="s">
        <v>622</v>
      </c>
      <c r="M184" s="58" t="s">
        <v>519</v>
      </c>
      <c r="N184" s="58" t="s">
        <v>539</v>
      </c>
      <c r="O184" s="58" t="s">
        <v>556</v>
      </c>
      <c r="P184" s="4"/>
      <c r="Q184" s="151">
        <f aca="true" t="shared" si="5" ref="Q184:R186">Q185</f>
        <v>13</v>
      </c>
      <c r="R184" s="151">
        <f t="shared" si="5"/>
        <v>13</v>
      </c>
      <c r="S184" s="282">
        <f t="shared" si="3"/>
        <v>1</v>
      </c>
    </row>
    <row r="185" spans="1:19" ht="31.5" customHeight="1">
      <c r="A185" s="61"/>
      <c r="B185" s="60"/>
      <c r="C185" s="59"/>
      <c r="D185" s="63"/>
      <c r="E185" s="77"/>
      <c r="F185" s="77"/>
      <c r="G185" s="51"/>
      <c r="H185" s="3" t="s">
        <v>757</v>
      </c>
      <c r="I185" s="6">
        <v>27</v>
      </c>
      <c r="J185" s="16">
        <v>4</v>
      </c>
      <c r="K185" s="14">
        <v>12</v>
      </c>
      <c r="L185" s="57" t="s">
        <v>622</v>
      </c>
      <c r="M185" s="58" t="s">
        <v>519</v>
      </c>
      <c r="N185" s="58" t="s">
        <v>522</v>
      </c>
      <c r="O185" s="58" t="s">
        <v>556</v>
      </c>
      <c r="P185" s="4"/>
      <c r="Q185" s="151">
        <f t="shared" si="5"/>
        <v>13</v>
      </c>
      <c r="R185" s="151">
        <f t="shared" si="5"/>
        <v>13</v>
      </c>
      <c r="S185" s="282">
        <f t="shared" si="3"/>
        <v>1</v>
      </c>
    </row>
    <row r="186" spans="1:19" ht="20.25" customHeight="1">
      <c r="A186" s="61"/>
      <c r="B186" s="60"/>
      <c r="C186" s="59"/>
      <c r="D186" s="63"/>
      <c r="E186" s="77"/>
      <c r="F186" s="77"/>
      <c r="G186" s="51"/>
      <c r="H186" s="3" t="s">
        <v>230</v>
      </c>
      <c r="I186" s="6">
        <v>27</v>
      </c>
      <c r="J186" s="16">
        <v>4</v>
      </c>
      <c r="K186" s="14">
        <v>12</v>
      </c>
      <c r="L186" s="57" t="s">
        <v>622</v>
      </c>
      <c r="M186" s="58" t="s">
        <v>519</v>
      </c>
      <c r="N186" s="58" t="s">
        <v>522</v>
      </c>
      <c r="O186" s="58" t="s">
        <v>231</v>
      </c>
      <c r="P186" s="4"/>
      <c r="Q186" s="151">
        <f t="shared" si="5"/>
        <v>13</v>
      </c>
      <c r="R186" s="151">
        <f t="shared" si="5"/>
        <v>13</v>
      </c>
      <c r="S186" s="282">
        <f t="shared" si="3"/>
        <v>1</v>
      </c>
    </row>
    <row r="187" spans="1:19" ht="23.25" customHeight="1">
      <c r="A187" s="61"/>
      <c r="B187" s="60"/>
      <c r="C187" s="59"/>
      <c r="D187" s="63"/>
      <c r="E187" s="77"/>
      <c r="F187" s="77"/>
      <c r="G187" s="51"/>
      <c r="H187" s="3" t="s">
        <v>758</v>
      </c>
      <c r="I187" s="6">
        <v>27</v>
      </c>
      <c r="J187" s="16">
        <v>4</v>
      </c>
      <c r="K187" s="14">
        <v>12</v>
      </c>
      <c r="L187" s="57" t="s">
        <v>622</v>
      </c>
      <c r="M187" s="58" t="s">
        <v>519</v>
      </c>
      <c r="N187" s="58" t="s">
        <v>522</v>
      </c>
      <c r="O187" s="58" t="s">
        <v>231</v>
      </c>
      <c r="P187" s="4">
        <v>610</v>
      </c>
      <c r="Q187" s="151">
        <v>13</v>
      </c>
      <c r="R187" s="151">
        <v>13</v>
      </c>
      <c r="S187" s="282">
        <f t="shared" si="3"/>
        <v>1</v>
      </c>
    </row>
    <row r="188" spans="1:19" s="135" customFormat="1" ht="26.25" customHeight="1">
      <c r="A188" s="101"/>
      <c r="B188" s="102"/>
      <c r="C188" s="101"/>
      <c r="D188" s="109"/>
      <c r="E188" s="110"/>
      <c r="F188" s="110"/>
      <c r="G188" s="95"/>
      <c r="H188" s="229" t="s">
        <v>553</v>
      </c>
      <c r="I188" s="111">
        <v>27</v>
      </c>
      <c r="J188" s="106">
        <v>5</v>
      </c>
      <c r="K188" s="98"/>
      <c r="L188" s="99"/>
      <c r="M188" s="100"/>
      <c r="N188" s="100"/>
      <c r="O188" s="100"/>
      <c r="P188" s="105"/>
      <c r="Q188" s="152">
        <f>Q189+Q199+Q210+Q218</f>
        <v>63177.2</v>
      </c>
      <c r="R188" s="152">
        <f>R189+R199+R210+R218</f>
        <v>16501.2</v>
      </c>
      <c r="S188" s="282">
        <f t="shared" si="3"/>
        <v>0.2611891631791216</v>
      </c>
    </row>
    <row r="189" spans="1:19" s="135" customFormat="1" ht="29.25" customHeight="1">
      <c r="A189" s="101"/>
      <c r="B189" s="102"/>
      <c r="C189" s="101"/>
      <c r="D189" s="109"/>
      <c r="E189" s="110"/>
      <c r="F189" s="110"/>
      <c r="G189" s="95"/>
      <c r="H189" s="229" t="s">
        <v>554</v>
      </c>
      <c r="I189" s="111">
        <v>27</v>
      </c>
      <c r="J189" s="106">
        <v>5</v>
      </c>
      <c r="K189" s="98">
        <v>1</v>
      </c>
      <c r="L189" s="99"/>
      <c r="M189" s="100"/>
      <c r="N189" s="100"/>
      <c r="O189" s="100"/>
      <c r="P189" s="105"/>
      <c r="Q189" s="152">
        <f>Q190</f>
        <v>41872.2</v>
      </c>
      <c r="R189" s="152">
        <f>R190</f>
        <v>2873.2</v>
      </c>
      <c r="S189" s="282">
        <f t="shared" si="3"/>
        <v>0.06861831955330744</v>
      </c>
    </row>
    <row r="190" spans="1:19" ht="39.75" customHeight="1">
      <c r="A190" s="59"/>
      <c r="B190" s="60"/>
      <c r="C190" s="59"/>
      <c r="D190" s="63"/>
      <c r="E190" s="77"/>
      <c r="F190" s="77"/>
      <c r="G190" s="51"/>
      <c r="H190" s="15" t="s">
        <v>728</v>
      </c>
      <c r="I190" s="6">
        <v>27</v>
      </c>
      <c r="J190" s="16">
        <v>5</v>
      </c>
      <c r="K190" s="14">
        <v>1</v>
      </c>
      <c r="L190" s="57" t="s">
        <v>250</v>
      </c>
      <c r="M190" s="58" t="s">
        <v>519</v>
      </c>
      <c r="N190" s="58" t="s">
        <v>539</v>
      </c>
      <c r="O190" s="58" t="s">
        <v>556</v>
      </c>
      <c r="P190" s="4"/>
      <c r="Q190" s="151">
        <f>Q191</f>
        <v>41872.2</v>
      </c>
      <c r="R190" s="151">
        <f>R191</f>
        <v>2873.2</v>
      </c>
      <c r="S190" s="282">
        <f t="shared" si="3"/>
        <v>0.06861831955330744</v>
      </c>
    </row>
    <row r="191" spans="1:19" ht="42" customHeight="1">
      <c r="A191" s="59"/>
      <c r="B191" s="60"/>
      <c r="C191" s="59"/>
      <c r="D191" s="63"/>
      <c r="E191" s="77"/>
      <c r="F191" s="77"/>
      <c r="G191" s="51"/>
      <c r="H191" s="15" t="s">
        <v>94</v>
      </c>
      <c r="I191" s="6">
        <v>27</v>
      </c>
      <c r="J191" s="16">
        <v>5</v>
      </c>
      <c r="K191" s="14">
        <v>1</v>
      </c>
      <c r="L191" s="57" t="s">
        <v>250</v>
      </c>
      <c r="M191" s="58" t="s">
        <v>519</v>
      </c>
      <c r="N191" s="58" t="s">
        <v>729</v>
      </c>
      <c r="O191" s="58" t="s">
        <v>556</v>
      </c>
      <c r="P191" s="4"/>
      <c r="Q191" s="151">
        <f>Q192+Q194+Q196</f>
        <v>41872.2</v>
      </c>
      <c r="R191" s="151">
        <f>R192+R194+R196</f>
        <v>2873.2</v>
      </c>
      <c r="S191" s="282">
        <f t="shared" si="3"/>
        <v>0.06861831955330744</v>
      </c>
    </row>
    <row r="192" spans="1:19" ht="38.25" customHeight="1">
      <c r="A192" s="61"/>
      <c r="B192" s="60"/>
      <c r="C192" s="59"/>
      <c r="D192" s="63"/>
      <c r="E192" s="77"/>
      <c r="F192" s="77"/>
      <c r="G192" s="51"/>
      <c r="H192" s="15" t="s">
        <v>722</v>
      </c>
      <c r="I192" s="6">
        <v>27</v>
      </c>
      <c r="J192" s="16">
        <v>5</v>
      </c>
      <c r="K192" s="14">
        <v>1</v>
      </c>
      <c r="L192" s="57" t="s">
        <v>250</v>
      </c>
      <c r="M192" s="58" t="s">
        <v>519</v>
      </c>
      <c r="N192" s="58" t="s">
        <v>729</v>
      </c>
      <c r="O192" s="58" t="s">
        <v>732</v>
      </c>
      <c r="P192" s="4"/>
      <c r="Q192" s="151">
        <f>Q193</f>
        <v>40173.299999999996</v>
      </c>
      <c r="R192" s="151">
        <f>R193</f>
        <v>2737.2</v>
      </c>
      <c r="S192" s="282">
        <f t="shared" si="3"/>
        <v>0.06813480595320773</v>
      </c>
    </row>
    <row r="193" spans="1:19" ht="23.25" customHeight="1">
      <c r="A193" s="61"/>
      <c r="B193" s="60"/>
      <c r="C193" s="59"/>
      <c r="D193" s="63"/>
      <c r="E193" s="77"/>
      <c r="F193" s="77"/>
      <c r="G193" s="51"/>
      <c r="H193" s="15" t="s">
        <v>484</v>
      </c>
      <c r="I193" s="6">
        <v>27</v>
      </c>
      <c r="J193" s="16">
        <v>5</v>
      </c>
      <c r="K193" s="14">
        <v>1</v>
      </c>
      <c r="L193" s="57" t="s">
        <v>250</v>
      </c>
      <c r="M193" s="58" t="s">
        <v>519</v>
      </c>
      <c r="N193" s="58" t="s">
        <v>729</v>
      </c>
      <c r="O193" s="58" t="s">
        <v>732</v>
      </c>
      <c r="P193" s="4">
        <v>410</v>
      </c>
      <c r="Q193" s="150">
        <f>3410.2+37436.1-673</f>
        <v>40173.299999999996</v>
      </c>
      <c r="R193" s="150">
        <v>2737.2</v>
      </c>
      <c r="S193" s="282">
        <f t="shared" si="3"/>
        <v>0.06813480595320773</v>
      </c>
    </row>
    <row r="194" spans="1:19" ht="39.75" customHeight="1">
      <c r="A194" s="61"/>
      <c r="B194" s="60"/>
      <c r="C194" s="59"/>
      <c r="D194" s="63"/>
      <c r="E194" s="77"/>
      <c r="F194" s="77"/>
      <c r="G194" s="51"/>
      <c r="H194" s="15" t="s">
        <v>723</v>
      </c>
      <c r="I194" s="6">
        <v>27</v>
      </c>
      <c r="J194" s="16">
        <v>5</v>
      </c>
      <c r="K194" s="14">
        <v>1</v>
      </c>
      <c r="L194" s="57" t="s">
        <v>250</v>
      </c>
      <c r="M194" s="58" t="s">
        <v>519</v>
      </c>
      <c r="N194" s="58" t="s">
        <v>729</v>
      </c>
      <c r="O194" s="58" t="s">
        <v>733</v>
      </c>
      <c r="P194" s="4"/>
      <c r="Q194" s="151">
        <f>Q195</f>
        <v>1673.9</v>
      </c>
      <c r="R194" s="151">
        <f>R195</f>
        <v>114</v>
      </c>
      <c r="S194" s="282">
        <f t="shared" si="3"/>
        <v>0.0681044267877412</v>
      </c>
    </row>
    <row r="195" spans="1:19" ht="24" customHeight="1">
      <c r="A195" s="61"/>
      <c r="B195" s="60"/>
      <c r="C195" s="59"/>
      <c r="D195" s="63"/>
      <c r="E195" s="77"/>
      <c r="F195" s="77"/>
      <c r="G195" s="51"/>
      <c r="H195" s="15" t="s">
        <v>484</v>
      </c>
      <c r="I195" s="6">
        <v>27</v>
      </c>
      <c r="J195" s="16">
        <v>5</v>
      </c>
      <c r="K195" s="14">
        <v>1</v>
      </c>
      <c r="L195" s="57" t="s">
        <v>250</v>
      </c>
      <c r="M195" s="58" t="s">
        <v>519</v>
      </c>
      <c r="N195" s="58" t="s">
        <v>729</v>
      </c>
      <c r="O195" s="58" t="s">
        <v>733</v>
      </c>
      <c r="P195" s="4">
        <v>410</v>
      </c>
      <c r="Q195" s="150">
        <f>3125.5+142.1-1565.6-28.1</f>
        <v>1673.9</v>
      </c>
      <c r="R195" s="150">
        <v>114</v>
      </c>
      <c r="S195" s="282">
        <f t="shared" si="3"/>
        <v>0.0681044267877412</v>
      </c>
    </row>
    <row r="196" spans="1:19" ht="42" customHeight="1">
      <c r="A196" s="61"/>
      <c r="B196" s="60"/>
      <c r="C196" s="59"/>
      <c r="D196" s="63"/>
      <c r="E196" s="77"/>
      <c r="F196" s="77"/>
      <c r="G196" s="51"/>
      <c r="H196" s="15" t="s">
        <v>737</v>
      </c>
      <c r="I196" s="6">
        <v>27</v>
      </c>
      <c r="J196" s="16">
        <v>5</v>
      </c>
      <c r="K196" s="14">
        <v>1</v>
      </c>
      <c r="L196" s="57" t="s">
        <v>250</v>
      </c>
      <c r="M196" s="58" t="s">
        <v>519</v>
      </c>
      <c r="N196" s="58" t="s">
        <v>729</v>
      </c>
      <c r="O196" s="58" t="s">
        <v>736</v>
      </c>
      <c r="P196" s="4"/>
      <c r="Q196" s="151">
        <f>Q198+Q197</f>
        <v>25</v>
      </c>
      <c r="R196" s="151">
        <f>R198+R197</f>
        <v>22</v>
      </c>
      <c r="S196" s="282">
        <f t="shared" si="3"/>
        <v>0.88</v>
      </c>
    </row>
    <row r="197" spans="1:19" ht="30.75" customHeight="1">
      <c r="A197" s="61"/>
      <c r="B197" s="60"/>
      <c r="C197" s="59"/>
      <c r="D197" s="63"/>
      <c r="E197" s="77"/>
      <c r="F197" s="77"/>
      <c r="G197" s="51"/>
      <c r="H197" s="15" t="s">
        <v>636</v>
      </c>
      <c r="I197" s="6">
        <v>27</v>
      </c>
      <c r="J197" s="16">
        <v>5</v>
      </c>
      <c r="K197" s="14">
        <v>1</v>
      </c>
      <c r="L197" s="57" t="s">
        <v>250</v>
      </c>
      <c r="M197" s="58" t="s">
        <v>519</v>
      </c>
      <c r="N197" s="58" t="s">
        <v>729</v>
      </c>
      <c r="O197" s="58" t="s">
        <v>736</v>
      </c>
      <c r="P197" s="4">
        <v>240</v>
      </c>
      <c r="Q197" s="151">
        <v>25</v>
      </c>
      <c r="R197" s="151">
        <v>22</v>
      </c>
      <c r="S197" s="282">
        <f t="shared" si="3"/>
        <v>0.88</v>
      </c>
    </row>
    <row r="198" spans="1:19" ht="24" customHeight="1" hidden="1">
      <c r="A198" s="61"/>
      <c r="B198" s="60"/>
      <c r="C198" s="59"/>
      <c r="D198" s="63"/>
      <c r="E198" s="77"/>
      <c r="F198" s="77"/>
      <c r="G198" s="51"/>
      <c r="H198" s="15" t="s">
        <v>484</v>
      </c>
      <c r="I198" s="6">
        <v>27</v>
      </c>
      <c r="J198" s="16">
        <v>5</v>
      </c>
      <c r="K198" s="14">
        <v>1</v>
      </c>
      <c r="L198" s="57" t="s">
        <v>250</v>
      </c>
      <c r="M198" s="58" t="s">
        <v>519</v>
      </c>
      <c r="N198" s="58" t="s">
        <v>729</v>
      </c>
      <c r="O198" s="58" t="s">
        <v>736</v>
      </c>
      <c r="P198" s="4">
        <v>410</v>
      </c>
      <c r="Q198" s="151">
        <f>700+1.2-651.2-25-25</f>
        <v>0</v>
      </c>
      <c r="R198" s="151">
        <f>700+1.2-651.2-25-25</f>
        <v>0</v>
      </c>
      <c r="S198" s="282" t="e">
        <f t="shared" si="3"/>
        <v>#DIV/0!</v>
      </c>
    </row>
    <row r="199" spans="1:19" s="135" customFormat="1" ht="21" customHeight="1">
      <c r="A199" s="101"/>
      <c r="B199" s="102"/>
      <c r="C199" s="101"/>
      <c r="D199" s="109"/>
      <c r="E199" s="110"/>
      <c r="F199" s="110"/>
      <c r="G199" s="95"/>
      <c r="H199" s="229" t="s">
        <v>655</v>
      </c>
      <c r="I199" s="105">
        <v>27</v>
      </c>
      <c r="J199" s="106">
        <v>5</v>
      </c>
      <c r="K199" s="98">
        <v>2</v>
      </c>
      <c r="L199" s="99"/>
      <c r="M199" s="100"/>
      <c r="N199" s="100"/>
      <c r="O199" s="100"/>
      <c r="P199" s="105"/>
      <c r="Q199" s="152">
        <f>Q200+Q207</f>
        <v>11450.5</v>
      </c>
      <c r="R199" s="152">
        <f>R200+R207</f>
        <v>3793.5</v>
      </c>
      <c r="S199" s="282">
        <f t="shared" si="3"/>
        <v>0.331295576612375</v>
      </c>
    </row>
    <row r="200" spans="1:19" ht="39.75" customHeight="1">
      <c r="A200" s="61"/>
      <c r="B200" s="60"/>
      <c r="C200" s="59"/>
      <c r="D200" s="63"/>
      <c r="E200" s="77"/>
      <c r="F200" s="77"/>
      <c r="G200" s="51"/>
      <c r="H200" s="15" t="s">
        <v>580</v>
      </c>
      <c r="I200" s="24">
        <v>27</v>
      </c>
      <c r="J200" s="16">
        <v>5</v>
      </c>
      <c r="K200" s="14">
        <v>2</v>
      </c>
      <c r="L200" s="57" t="s">
        <v>540</v>
      </c>
      <c r="M200" s="58" t="s">
        <v>519</v>
      </c>
      <c r="N200" s="58" t="s">
        <v>539</v>
      </c>
      <c r="O200" s="58" t="s">
        <v>556</v>
      </c>
      <c r="P200" s="4"/>
      <c r="Q200" s="151">
        <f>Q201</f>
        <v>11030.5</v>
      </c>
      <c r="R200" s="151">
        <f>R201</f>
        <v>3373.5</v>
      </c>
      <c r="S200" s="282">
        <f t="shared" si="3"/>
        <v>0.30583382439599294</v>
      </c>
    </row>
    <row r="201" spans="1:19" ht="39.75" customHeight="1">
      <c r="A201" s="61"/>
      <c r="B201" s="60"/>
      <c r="C201" s="59"/>
      <c r="D201" s="63"/>
      <c r="E201" s="77"/>
      <c r="F201" s="77"/>
      <c r="G201" s="51"/>
      <c r="H201" s="15" t="s">
        <v>276</v>
      </c>
      <c r="I201" s="24">
        <v>27</v>
      </c>
      <c r="J201" s="16">
        <v>5</v>
      </c>
      <c r="K201" s="14">
        <v>2</v>
      </c>
      <c r="L201" s="57" t="s">
        <v>540</v>
      </c>
      <c r="M201" s="58" t="s">
        <v>519</v>
      </c>
      <c r="N201" s="58" t="s">
        <v>520</v>
      </c>
      <c r="O201" s="58" t="s">
        <v>556</v>
      </c>
      <c r="P201" s="4"/>
      <c r="Q201" s="151">
        <f>Q202+Q205</f>
        <v>11030.5</v>
      </c>
      <c r="R201" s="151">
        <f>R202+R205</f>
        <v>3373.5</v>
      </c>
      <c r="S201" s="282">
        <f t="shared" si="3"/>
        <v>0.30583382439599294</v>
      </c>
    </row>
    <row r="202" spans="1:19" ht="27" customHeight="1">
      <c r="A202" s="61"/>
      <c r="B202" s="60"/>
      <c r="C202" s="59"/>
      <c r="D202" s="63"/>
      <c r="E202" s="77"/>
      <c r="F202" s="77"/>
      <c r="G202" s="51"/>
      <c r="H202" s="15" t="s">
        <v>773</v>
      </c>
      <c r="I202" s="24">
        <v>27</v>
      </c>
      <c r="J202" s="16">
        <v>5</v>
      </c>
      <c r="K202" s="14">
        <v>2</v>
      </c>
      <c r="L202" s="57" t="s">
        <v>540</v>
      </c>
      <c r="M202" s="58" t="s">
        <v>519</v>
      </c>
      <c r="N202" s="58" t="s">
        <v>520</v>
      </c>
      <c r="O202" s="58" t="s">
        <v>236</v>
      </c>
      <c r="P202" s="4"/>
      <c r="Q202" s="151">
        <f>Q203+Q204</f>
        <v>3430.5</v>
      </c>
      <c r="R202" s="151">
        <f>R203+R204</f>
        <v>3373.5</v>
      </c>
      <c r="S202" s="282">
        <f t="shared" si="3"/>
        <v>0.9833843463052033</v>
      </c>
    </row>
    <row r="203" spans="1:19" ht="22.5" customHeight="1">
      <c r="A203" s="61"/>
      <c r="B203" s="60"/>
      <c r="C203" s="59"/>
      <c r="D203" s="63"/>
      <c r="E203" s="77"/>
      <c r="F203" s="77"/>
      <c r="G203" s="51"/>
      <c r="H203" s="15" t="s">
        <v>636</v>
      </c>
      <c r="I203" s="24">
        <v>27</v>
      </c>
      <c r="J203" s="16">
        <v>5</v>
      </c>
      <c r="K203" s="14">
        <v>2</v>
      </c>
      <c r="L203" s="57" t="s">
        <v>540</v>
      </c>
      <c r="M203" s="58" t="s">
        <v>519</v>
      </c>
      <c r="N203" s="58" t="s">
        <v>520</v>
      </c>
      <c r="O203" s="58" t="s">
        <v>236</v>
      </c>
      <c r="P203" s="4">
        <v>240</v>
      </c>
      <c r="Q203" s="151">
        <f>240-175-8</f>
        <v>57</v>
      </c>
      <c r="R203" s="151">
        <v>0</v>
      </c>
      <c r="S203" s="282">
        <f t="shared" si="3"/>
        <v>0</v>
      </c>
    </row>
    <row r="204" spans="1:19" ht="22.5" customHeight="1">
      <c r="A204" s="61"/>
      <c r="B204" s="60"/>
      <c r="C204" s="59"/>
      <c r="D204" s="63"/>
      <c r="E204" s="77"/>
      <c r="F204" s="77"/>
      <c r="G204" s="51"/>
      <c r="H204" s="78" t="s">
        <v>583</v>
      </c>
      <c r="I204" s="24">
        <v>27</v>
      </c>
      <c r="J204" s="16">
        <v>5</v>
      </c>
      <c r="K204" s="14">
        <v>2</v>
      </c>
      <c r="L204" s="57" t="s">
        <v>540</v>
      </c>
      <c r="M204" s="58" t="s">
        <v>519</v>
      </c>
      <c r="N204" s="58" t="s">
        <v>520</v>
      </c>
      <c r="O204" s="58" t="s">
        <v>236</v>
      </c>
      <c r="P204" s="4">
        <v>540</v>
      </c>
      <c r="Q204" s="151">
        <f>2605+175+8+585.5</f>
        <v>3373.5</v>
      </c>
      <c r="R204" s="151">
        <f>2605+175+8+585.5</f>
        <v>3373.5</v>
      </c>
      <c r="S204" s="282">
        <f aca="true" t="shared" si="6" ref="S204:S267">R204/Q204</f>
        <v>1</v>
      </c>
    </row>
    <row r="205" spans="1:19" ht="22.5" customHeight="1">
      <c r="A205" s="61"/>
      <c r="B205" s="60"/>
      <c r="C205" s="59"/>
      <c r="D205" s="63"/>
      <c r="E205" s="77"/>
      <c r="F205" s="77"/>
      <c r="G205" s="51"/>
      <c r="H205" s="78" t="s">
        <v>768</v>
      </c>
      <c r="I205" s="24">
        <v>27</v>
      </c>
      <c r="J205" s="16">
        <v>5</v>
      </c>
      <c r="K205" s="14">
        <v>2</v>
      </c>
      <c r="L205" s="57" t="s">
        <v>540</v>
      </c>
      <c r="M205" s="58" t="s">
        <v>519</v>
      </c>
      <c r="N205" s="58" t="s">
        <v>520</v>
      </c>
      <c r="O205" s="58" t="s">
        <v>767</v>
      </c>
      <c r="P205" s="4"/>
      <c r="Q205" s="151">
        <f>Q206</f>
        <v>7600</v>
      </c>
      <c r="R205" s="151">
        <f>R206</f>
        <v>0</v>
      </c>
      <c r="S205" s="282">
        <f t="shared" si="6"/>
        <v>0</v>
      </c>
    </row>
    <row r="206" spans="1:19" ht="22.5" customHeight="1">
      <c r="A206" s="61"/>
      <c r="B206" s="60"/>
      <c r="C206" s="59"/>
      <c r="D206" s="63"/>
      <c r="E206" s="77"/>
      <c r="F206" s="77"/>
      <c r="G206" s="51"/>
      <c r="H206" s="78" t="s">
        <v>636</v>
      </c>
      <c r="I206" s="24">
        <v>27</v>
      </c>
      <c r="J206" s="16">
        <v>5</v>
      </c>
      <c r="K206" s="14">
        <v>2</v>
      </c>
      <c r="L206" s="57" t="s">
        <v>540</v>
      </c>
      <c r="M206" s="58" t="s">
        <v>519</v>
      </c>
      <c r="N206" s="58" t="s">
        <v>520</v>
      </c>
      <c r="O206" s="58" t="s">
        <v>767</v>
      </c>
      <c r="P206" s="4">
        <v>240</v>
      </c>
      <c r="Q206" s="151">
        <f>235.1+7600-235.1</f>
        <v>7600</v>
      </c>
      <c r="R206" s="151">
        <v>0</v>
      </c>
      <c r="S206" s="282">
        <f t="shared" si="6"/>
        <v>0</v>
      </c>
    </row>
    <row r="207" spans="1:19" ht="22.5" customHeight="1">
      <c r="A207" s="61"/>
      <c r="B207" s="60"/>
      <c r="C207" s="59"/>
      <c r="D207" s="63"/>
      <c r="E207" s="77"/>
      <c r="F207" s="77"/>
      <c r="G207" s="51"/>
      <c r="H207" s="9" t="s">
        <v>267</v>
      </c>
      <c r="I207" s="4">
        <v>27</v>
      </c>
      <c r="J207" s="16">
        <v>5</v>
      </c>
      <c r="K207" s="14">
        <v>2</v>
      </c>
      <c r="L207" s="57" t="s">
        <v>536</v>
      </c>
      <c r="M207" s="58" t="s">
        <v>519</v>
      </c>
      <c r="N207" s="58" t="s">
        <v>539</v>
      </c>
      <c r="O207" s="58" t="s">
        <v>556</v>
      </c>
      <c r="P207" s="4"/>
      <c r="Q207" s="151">
        <f>Q208</f>
        <v>420</v>
      </c>
      <c r="R207" s="151">
        <f>R208</f>
        <v>420</v>
      </c>
      <c r="S207" s="282">
        <f t="shared" si="6"/>
        <v>1</v>
      </c>
    </row>
    <row r="208" spans="1:19" ht="21" customHeight="1">
      <c r="A208" s="61"/>
      <c r="B208" s="60"/>
      <c r="C208" s="59"/>
      <c r="D208" s="63"/>
      <c r="E208" s="77"/>
      <c r="F208" s="77"/>
      <c r="G208" s="51"/>
      <c r="H208" s="15" t="s">
        <v>663</v>
      </c>
      <c r="I208" s="24">
        <v>27</v>
      </c>
      <c r="J208" s="16">
        <v>5</v>
      </c>
      <c r="K208" s="14">
        <v>2</v>
      </c>
      <c r="L208" s="57" t="s">
        <v>536</v>
      </c>
      <c r="M208" s="58" t="s">
        <v>519</v>
      </c>
      <c r="N208" s="58" t="s">
        <v>539</v>
      </c>
      <c r="O208" s="58" t="s">
        <v>662</v>
      </c>
      <c r="P208" s="4"/>
      <c r="Q208" s="151">
        <f>Q209</f>
        <v>420</v>
      </c>
      <c r="R208" s="151">
        <f>R209</f>
        <v>420</v>
      </c>
      <c r="S208" s="282">
        <f t="shared" si="6"/>
        <v>1</v>
      </c>
    </row>
    <row r="209" spans="1:19" ht="21" customHeight="1">
      <c r="A209" s="61"/>
      <c r="B209" s="60"/>
      <c r="C209" s="59"/>
      <c r="D209" s="63"/>
      <c r="E209" s="77"/>
      <c r="F209" s="77"/>
      <c r="G209" s="51"/>
      <c r="H209" s="78" t="s">
        <v>583</v>
      </c>
      <c r="I209" s="24">
        <v>27</v>
      </c>
      <c r="J209" s="16">
        <v>5</v>
      </c>
      <c r="K209" s="14">
        <v>2</v>
      </c>
      <c r="L209" s="57" t="s">
        <v>536</v>
      </c>
      <c r="M209" s="58" t="s">
        <v>519</v>
      </c>
      <c r="N209" s="58" t="s">
        <v>539</v>
      </c>
      <c r="O209" s="58" t="s">
        <v>662</v>
      </c>
      <c r="P209" s="4">
        <v>540</v>
      </c>
      <c r="Q209" s="151">
        <f>126+294</f>
        <v>420</v>
      </c>
      <c r="R209" s="151">
        <f>126+294</f>
        <v>420</v>
      </c>
      <c r="S209" s="282">
        <f t="shared" si="6"/>
        <v>1</v>
      </c>
    </row>
    <row r="210" spans="1:19" s="135" customFormat="1" ht="26.25" customHeight="1">
      <c r="A210" s="101"/>
      <c r="B210" s="102"/>
      <c r="C210" s="101"/>
      <c r="D210" s="109"/>
      <c r="E210" s="110"/>
      <c r="F210" s="110"/>
      <c r="G210" s="95"/>
      <c r="H210" s="171" t="s">
        <v>249</v>
      </c>
      <c r="I210" s="175">
        <v>27</v>
      </c>
      <c r="J210" s="106">
        <v>5</v>
      </c>
      <c r="K210" s="98">
        <v>3</v>
      </c>
      <c r="L210" s="99"/>
      <c r="M210" s="100"/>
      <c r="N210" s="100"/>
      <c r="O210" s="100"/>
      <c r="P210" s="105"/>
      <c r="Q210" s="152">
        <f>Q211</f>
        <v>5282.900000000001</v>
      </c>
      <c r="R210" s="152">
        <f>R211</f>
        <v>5279.8</v>
      </c>
      <c r="S210" s="282">
        <f t="shared" si="6"/>
        <v>0.9994132010827386</v>
      </c>
    </row>
    <row r="211" spans="1:19" ht="34.5" customHeight="1">
      <c r="A211" s="59"/>
      <c r="B211" s="60"/>
      <c r="C211" s="59"/>
      <c r="D211" s="63"/>
      <c r="E211" s="77"/>
      <c r="F211" s="77"/>
      <c r="G211" s="51"/>
      <c r="H211" s="15" t="s">
        <v>713</v>
      </c>
      <c r="I211" s="4">
        <v>27</v>
      </c>
      <c r="J211" s="16">
        <v>5</v>
      </c>
      <c r="K211" s="14">
        <v>3</v>
      </c>
      <c r="L211" s="57" t="s">
        <v>711</v>
      </c>
      <c r="M211" s="58" t="s">
        <v>519</v>
      </c>
      <c r="N211" s="58" t="s">
        <v>539</v>
      </c>
      <c r="O211" s="58" t="s">
        <v>556</v>
      </c>
      <c r="P211" s="4"/>
      <c r="Q211" s="151">
        <f>Q212+Q215</f>
        <v>5282.900000000001</v>
      </c>
      <c r="R211" s="151">
        <f>R212+R215</f>
        <v>5279.8</v>
      </c>
      <c r="S211" s="282">
        <f t="shared" si="6"/>
        <v>0.9994132010827386</v>
      </c>
    </row>
    <row r="212" spans="1:19" ht="31.5" customHeight="1">
      <c r="A212" s="59"/>
      <c r="B212" s="60"/>
      <c r="C212" s="59"/>
      <c r="D212" s="63"/>
      <c r="E212" s="77"/>
      <c r="F212" s="77"/>
      <c r="G212" s="51"/>
      <c r="H212" s="88" t="s">
        <v>97</v>
      </c>
      <c r="I212" s="4">
        <v>27</v>
      </c>
      <c r="J212" s="16">
        <v>5</v>
      </c>
      <c r="K212" s="14">
        <v>3</v>
      </c>
      <c r="L212" s="57" t="s">
        <v>711</v>
      </c>
      <c r="M212" s="58" t="s">
        <v>519</v>
      </c>
      <c r="N212" s="58" t="s">
        <v>730</v>
      </c>
      <c r="O212" s="58" t="s">
        <v>556</v>
      </c>
      <c r="P212" s="4"/>
      <c r="Q212" s="151">
        <f>Q213</f>
        <v>283.09999999999997</v>
      </c>
      <c r="R212" s="151">
        <f>R213</f>
        <v>280</v>
      </c>
      <c r="S212" s="282">
        <f t="shared" si="6"/>
        <v>0.9890498057223597</v>
      </c>
    </row>
    <row r="213" spans="1:19" ht="33" customHeight="1">
      <c r="A213" s="59"/>
      <c r="B213" s="60"/>
      <c r="C213" s="59"/>
      <c r="D213" s="63"/>
      <c r="E213" s="77"/>
      <c r="F213" s="77"/>
      <c r="G213" s="51"/>
      <c r="H213" s="15" t="s">
        <v>712</v>
      </c>
      <c r="I213" s="4">
        <v>27</v>
      </c>
      <c r="J213" s="16">
        <v>5</v>
      </c>
      <c r="K213" s="14">
        <v>3</v>
      </c>
      <c r="L213" s="57" t="s">
        <v>711</v>
      </c>
      <c r="M213" s="58" t="s">
        <v>519</v>
      </c>
      <c r="N213" s="58" t="s">
        <v>730</v>
      </c>
      <c r="O213" s="58" t="s">
        <v>731</v>
      </c>
      <c r="P213" s="4"/>
      <c r="Q213" s="151">
        <f>Q214</f>
        <v>283.09999999999997</v>
      </c>
      <c r="R213" s="151">
        <f>R214</f>
        <v>280</v>
      </c>
      <c r="S213" s="282">
        <f t="shared" si="6"/>
        <v>0.9890498057223597</v>
      </c>
    </row>
    <row r="214" spans="1:19" ht="27" customHeight="1">
      <c r="A214" s="59"/>
      <c r="B214" s="60"/>
      <c r="C214" s="59"/>
      <c r="D214" s="63"/>
      <c r="E214" s="77"/>
      <c r="F214" s="77"/>
      <c r="G214" s="51"/>
      <c r="H214" s="15" t="s">
        <v>636</v>
      </c>
      <c r="I214" s="4">
        <v>27</v>
      </c>
      <c r="J214" s="16">
        <v>5</v>
      </c>
      <c r="K214" s="14">
        <v>3</v>
      </c>
      <c r="L214" s="57" t="s">
        <v>711</v>
      </c>
      <c r="M214" s="58" t="s">
        <v>519</v>
      </c>
      <c r="N214" s="58" t="s">
        <v>730</v>
      </c>
      <c r="O214" s="58" t="s">
        <v>731</v>
      </c>
      <c r="P214" s="4">
        <v>240</v>
      </c>
      <c r="Q214" s="151">
        <f>313.2-10.1-20.1+0.1</f>
        <v>283.09999999999997</v>
      </c>
      <c r="R214" s="151">
        <v>280</v>
      </c>
      <c r="S214" s="282">
        <f t="shared" si="6"/>
        <v>0.9890498057223597</v>
      </c>
    </row>
    <row r="215" spans="1:19" ht="30.75" customHeight="1">
      <c r="A215" s="59"/>
      <c r="B215" s="60"/>
      <c r="C215" s="59"/>
      <c r="D215" s="63"/>
      <c r="E215" s="77"/>
      <c r="F215" s="77"/>
      <c r="G215" s="51"/>
      <c r="H215" s="15" t="s">
        <v>714</v>
      </c>
      <c r="I215" s="4">
        <v>27</v>
      </c>
      <c r="J215" s="16">
        <v>5</v>
      </c>
      <c r="K215" s="14">
        <v>3</v>
      </c>
      <c r="L215" s="57" t="s">
        <v>711</v>
      </c>
      <c r="M215" s="58" t="s">
        <v>519</v>
      </c>
      <c r="N215" s="58" t="s">
        <v>520</v>
      </c>
      <c r="O215" s="58" t="s">
        <v>556</v>
      </c>
      <c r="P215" s="4"/>
      <c r="Q215" s="151">
        <f>Q216</f>
        <v>4999.8</v>
      </c>
      <c r="R215" s="151">
        <f>R216</f>
        <v>4999.8</v>
      </c>
      <c r="S215" s="282">
        <f t="shared" si="6"/>
        <v>1</v>
      </c>
    </row>
    <row r="216" spans="1:19" ht="27" customHeight="1">
      <c r="A216" s="59"/>
      <c r="B216" s="60"/>
      <c r="C216" s="59"/>
      <c r="D216" s="63"/>
      <c r="E216" s="77"/>
      <c r="F216" s="77"/>
      <c r="G216" s="51"/>
      <c r="H216" s="15" t="s">
        <v>745</v>
      </c>
      <c r="I216" s="4">
        <v>27</v>
      </c>
      <c r="J216" s="16">
        <v>5</v>
      </c>
      <c r="K216" s="14">
        <v>3</v>
      </c>
      <c r="L216" s="57" t="s">
        <v>711</v>
      </c>
      <c r="M216" s="58" t="s">
        <v>519</v>
      </c>
      <c r="N216" s="58" t="s">
        <v>520</v>
      </c>
      <c r="O216" s="58" t="s">
        <v>746</v>
      </c>
      <c r="P216" s="4"/>
      <c r="Q216" s="151">
        <f>Q217</f>
        <v>4999.8</v>
      </c>
      <c r="R216" s="151">
        <f>R217</f>
        <v>4999.8</v>
      </c>
      <c r="S216" s="282">
        <f t="shared" si="6"/>
        <v>1</v>
      </c>
    </row>
    <row r="217" spans="1:19" ht="27" customHeight="1">
      <c r="A217" s="59"/>
      <c r="B217" s="60"/>
      <c r="C217" s="59"/>
      <c r="D217" s="63"/>
      <c r="E217" s="77"/>
      <c r="F217" s="77"/>
      <c r="G217" s="51"/>
      <c r="H217" s="78" t="s">
        <v>583</v>
      </c>
      <c r="I217" s="4">
        <v>27</v>
      </c>
      <c r="J217" s="16">
        <v>5</v>
      </c>
      <c r="K217" s="14">
        <v>3</v>
      </c>
      <c r="L217" s="57" t="s">
        <v>711</v>
      </c>
      <c r="M217" s="58" t="s">
        <v>519</v>
      </c>
      <c r="N217" s="58" t="s">
        <v>520</v>
      </c>
      <c r="O217" s="58" t="s">
        <v>746</v>
      </c>
      <c r="P217" s="4">
        <v>540</v>
      </c>
      <c r="Q217" s="151">
        <f>5000-0.2</f>
        <v>4999.8</v>
      </c>
      <c r="R217" s="151">
        <f>5000-0.2</f>
        <v>4999.8</v>
      </c>
      <c r="S217" s="282">
        <f t="shared" si="6"/>
        <v>1</v>
      </c>
    </row>
    <row r="218" spans="1:19" s="135" customFormat="1" ht="24.75" customHeight="1">
      <c r="A218" s="101"/>
      <c r="B218" s="102"/>
      <c r="C218" s="101"/>
      <c r="D218" s="109"/>
      <c r="E218" s="110"/>
      <c r="F218" s="110"/>
      <c r="G218" s="95"/>
      <c r="H218" s="176" t="s">
        <v>582</v>
      </c>
      <c r="I218" s="177">
        <v>27</v>
      </c>
      <c r="J218" s="106">
        <v>5</v>
      </c>
      <c r="K218" s="98">
        <v>5</v>
      </c>
      <c r="L218" s="99"/>
      <c r="M218" s="100"/>
      <c r="N218" s="100"/>
      <c r="O218" s="100"/>
      <c r="P218" s="105"/>
      <c r="Q218" s="152">
        <f>Q219+Q224</f>
        <v>4571.599999999999</v>
      </c>
      <c r="R218" s="152">
        <f>R219+R224</f>
        <v>4554.7</v>
      </c>
      <c r="S218" s="282">
        <f t="shared" si="6"/>
        <v>0.996303263627614</v>
      </c>
    </row>
    <row r="219" spans="1:19" s="135" customFormat="1" ht="24.75" customHeight="1">
      <c r="A219" s="101"/>
      <c r="B219" s="102"/>
      <c r="C219" s="101"/>
      <c r="D219" s="109"/>
      <c r="E219" s="110"/>
      <c r="F219" s="110"/>
      <c r="G219" s="95"/>
      <c r="H219" s="9" t="s">
        <v>267</v>
      </c>
      <c r="I219" s="4">
        <v>27</v>
      </c>
      <c r="J219" s="16">
        <v>5</v>
      </c>
      <c r="K219" s="14">
        <v>5</v>
      </c>
      <c r="L219" s="57" t="s">
        <v>536</v>
      </c>
      <c r="M219" s="58" t="s">
        <v>519</v>
      </c>
      <c r="N219" s="58" t="s">
        <v>539</v>
      </c>
      <c r="O219" s="58" t="s">
        <v>556</v>
      </c>
      <c r="P219" s="105"/>
      <c r="Q219" s="152">
        <f>Q220+Q222</f>
        <v>4150.9</v>
      </c>
      <c r="R219" s="152">
        <f>R220+R222</f>
        <v>4150.9</v>
      </c>
      <c r="S219" s="282">
        <f t="shared" si="6"/>
        <v>1</v>
      </c>
    </row>
    <row r="220" spans="1:19" ht="48" customHeight="1">
      <c r="A220" s="61"/>
      <c r="B220" s="60"/>
      <c r="C220" s="59"/>
      <c r="D220" s="63"/>
      <c r="E220" s="77"/>
      <c r="F220" s="77"/>
      <c r="G220" s="51"/>
      <c r="H220" s="78" t="s">
        <v>232</v>
      </c>
      <c r="I220" s="6">
        <v>27</v>
      </c>
      <c r="J220" s="16">
        <v>5</v>
      </c>
      <c r="K220" s="14">
        <v>5</v>
      </c>
      <c r="L220" s="57" t="s">
        <v>536</v>
      </c>
      <c r="M220" s="58" t="s">
        <v>519</v>
      </c>
      <c r="N220" s="58" t="s">
        <v>539</v>
      </c>
      <c r="O220" s="58" t="s">
        <v>588</v>
      </c>
      <c r="P220" s="4"/>
      <c r="Q220" s="151">
        <f>Q221</f>
        <v>1874.1999999999998</v>
      </c>
      <c r="R220" s="151">
        <f>R221</f>
        <v>1874.1999999999998</v>
      </c>
      <c r="S220" s="282">
        <f t="shared" si="6"/>
        <v>1</v>
      </c>
    </row>
    <row r="221" spans="1:19" ht="26.25" customHeight="1">
      <c r="A221" s="61"/>
      <c r="B221" s="60"/>
      <c r="C221" s="59"/>
      <c r="D221" s="63"/>
      <c r="E221" s="77"/>
      <c r="F221" s="77"/>
      <c r="G221" s="51"/>
      <c r="H221" s="78" t="s">
        <v>583</v>
      </c>
      <c r="I221" s="6">
        <v>27</v>
      </c>
      <c r="J221" s="16">
        <v>5</v>
      </c>
      <c r="K221" s="14">
        <v>5</v>
      </c>
      <c r="L221" s="57" t="s">
        <v>536</v>
      </c>
      <c r="M221" s="58" t="s">
        <v>519</v>
      </c>
      <c r="N221" s="58" t="s">
        <v>539</v>
      </c>
      <c r="O221" s="58" t="s">
        <v>588</v>
      </c>
      <c r="P221" s="4">
        <v>540</v>
      </c>
      <c r="Q221" s="150">
        <f>1359.1+15.1+500</f>
        <v>1874.1999999999998</v>
      </c>
      <c r="R221" s="150">
        <f>1359.1+15.1+500</f>
        <v>1874.1999999999998</v>
      </c>
      <c r="S221" s="282">
        <f t="shared" si="6"/>
        <v>1</v>
      </c>
    </row>
    <row r="222" spans="1:19" ht="39" customHeight="1">
      <c r="A222" s="61"/>
      <c r="B222" s="60"/>
      <c r="C222" s="59"/>
      <c r="D222" s="63"/>
      <c r="E222" s="77"/>
      <c r="F222" s="77"/>
      <c r="G222" s="51"/>
      <c r="H222" s="78" t="s">
        <v>234</v>
      </c>
      <c r="I222" s="6">
        <v>27</v>
      </c>
      <c r="J222" s="16">
        <v>5</v>
      </c>
      <c r="K222" s="14">
        <v>5</v>
      </c>
      <c r="L222" s="57" t="s">
        <v>536</v>
      </c>
      <c r="M222" s="58" t="s">
        <v>519</v>
      </c>
      <c r="N222" s="58" t="s">
        <v>539</v>
      </c>
      <c r="O222" s="58" t="s">
        <v>233</v>
      </c>
      <c r="P222" s="4"/>
      <c r="Q222" s="151">
        <f>Q223</f>
        <v>2276.7</v>
      </c>
      <c r="R222" s="151">
        <f>R223</f>
        <v>2276.7</v>
      </c>
      <c r="S222" s="282">
        <f t="shared" si="6"/>
        <v>1</v>
      </c>
    </row>
    <row r="223" spans="1:19" ht="26.25" customHeight="1">
      <c r="A223" s="61"/>
      <c r="B223" s="60"/>
      <c r="C223" s="59"/>
      <c r="D223" s="63"/>
      <c r="E223" s="77"/>
      <c r="F223" s="77"/>
      <c r="G223" s="51"/>
      <c r="H223" s="78" t="s">
        <v>583</v>
      </c>
      <c r="I223" s="6">
        <v>27</v>
      </c>
      <c r="J223" s="16">
        <v>5</v>
      </c>
      <c r="K223" s="14">
        <v>5</v>
      </c>
      <c r="L223" s="57" t="s">
        <v>536</v>
      </c>
      <c r="M223" s="58" t="s">
        <v>519</v>
      </c>
      <c r="N223" s="58" t="s">
        <v>539</v>
      </c>
      <c r="O223" s="58" t="s">
        <v>233</v>
      </c>
      <c r="P223" s="4">
        <v>540</v>
      </c>
      <c r="Q223" s="150">
        <f>1140.9+250+607+134.2+10+134.5+0.1</f>
        <v>2276.7</v>
      </c>
      <c r="R223" s="150">
        <f>1140.9+250+607+134.2+10+134.5+0.1</f>
        <v>2276.7</v>
      </c>
      <c r="S223" s="282">
        <f t="shared" si="6"/>
        <v>1</v>
      </c>
    </row>
    <row r="224" spans="1:19" ht="28.5" customHeight="1">
      <c r="A224" s="61"/>
      <c r="B224" s="60"/>
      <c r="C224" s="59"/>
      <c r="D224" s="63"/>
      <c r="E224" s="77"/>
      <c r="F224" s="77"/>
      <c r="G224" s="51"/>
      <c r="H224" s="3" t="s">
        <v>235</v>
      </c>
      <c r="I224" s="6">
        <v>27</v>
      </c>
      <c r="J224" s="16">
        <v>5</v>
      </c>
      <c r="K224" s="14">
        <v>5</v>
      </c>
      <c r="L224" s="57" t="s">
        <v>541</v>
      </c>
      <c r="M224" s="58" t="s">
        <v>521</v>
      </c>
      <c r="N224" s="58" t="s">
        <v>539</v>
      </c>
      <c r="O224" s="58" t="s">
        <v>320</v>
      </c>
      <c r="P224" s="4"/>
      <c r="Q224" s="151">
        <f>Q225</f>
        <v>420.7</v>
      </c>
      <c r="R224" s="151">
        <f>R225</f>
        <v>403.8</v>
      </c>
      <c r="S224" s="282">
        <f t="shared" si="6"/>
        <v>0.9598288566674591</v>
      </c>
    </row>
    <row r="225" spans="1:19" ht="28.5" customHeight="1">
      <c r="A225" s="61"/>
      <c r="B225" s="60"/>
      <c r="C225" s="59"/>
      <c r="D225" s="63"/>
      <c r="E225" s="77"/>
      <c r="F225" s="77"/>
      <c r="G225" s="51"/>
      <c r="H225" s="79" t="s">
        <v>636</v>
      </c>
      <c r="I225" s="4">
        <v>27</v>
      </c>
      <c r="J225" s="16">
        <v>5</v>
      </c>
      <c r="K225" s="14">
        <v>5</v>
      </c>
      <c r="L225" s="57" t="s">
        <v>541</v>
      </c>
      <c r="M225" s="58" t="s">
        <v>521</v>
      </c>
      <c r="N225" s="58" t="s">
        <v>539</v>
      </c>
      <c r="O225" s="58" t="s">
        <v>320</v>
      </c>
      <c r="P225" s="4">
        <v>240</v>
      </c>
      <c r="Q225" s="151">
        <f>366+54.7</f>
        <v>420.7</v>
      </c>
      <c r="R225" s="151">
        <v>403.8</v>
      </c>
      <c r="S225" s="282">
        <f t="shared" si="6"/>
        <v>0.9598288566674591</v>
      </c>
    </row>
    <row r="226" spans="1:19" s="135" customFormat="1" ht="24" customHeight="1">
      <c r="A226" s="101"/>
      <c r="B226" s="102"/>
      <c r="C226" s="112"/>
      <c r="D226" s="109"/>
      <c r="E226" s="113"/>
      <c r="F226" s="113"/>
      <c r="G226" s="114">
        <v>611</v>
      </c>
      <c r="H226" s="108" t="s">
        <v>507</v>
      </c>
      <c r="I226" s="111">
        <v>27</v>
      </c>
      <c r="J226" s="115">
        <v>6</v>
      </c>
      <c r="K226" s="98"/>
      <c r="L226" s="99"/>
      <c r="M226" s="100"/>
      <c r="N226" s="100"/>
      <c r="O226" s="100"/>
      <c r="P226" s="105"/>
      <c r="Q226" s="152">
        <f>Q227+Q230</f>
        <v>1628.5</v>
      </c>
      <c r="R226" s="152">
        <f>R227+R230</f>
        <v>1628.5</v>
      </c>
      <c r="S226" s="282">
        <f t="shared" si="6"/>
        <v>1</v>
      </c>
    </row>
    <row r="227" spans="1:19" s="135" customFormat="1" ht="24" customHeight="1">
      <c r="A227" s="101"/>
      <c r="B227" s="102"/>
      <c r="C227" s="112"/>
      <c r="D227" s="109"/>
      <c r="E227" s="113"/>
      <c r="F227" s="113"/>
      <c r="G227" s="114"/>
      <c r="H227" s="108" t="s">
        <v>506</v>
      </c>
      <c r="I227" s="111">
        <v>27</v>
      </c>
      <c r="J227" s="115">
        <v>6</v>
      </c>
      <c r="K227" s="98">
        <v>3</v>
      </c>
      <c r="L227" s="99"/>
      <c r="M227" s="100"/>
      <c r="N227" s="100"/>
      <c r="O227" s="100"/>
      <c r="P227" s="105"/>
      <c r="Q227" s="152">
        <f>Q228</f>
        <v>1.5</v>
      </c>
      <c r="R227" s="152">
        <f>R228</f>
        <v>1.5</v>
      </c>
      <c r="S227" s="282">
        <f t="shared" si="6"/>
        <v>1</v>
      </c>
    </row>
    <row r="228" spans="1:19" ht="48" customHeight="1">
      <c r="A228" s="59"/>
      <c r="B228" s="60"/>
      <c r="C228" s="65"/>
      <c r="D228" s="63"/>
      <c r="E228" s="75"/>
      <c r="F228" s="75"/>
      <c r="G228" s="67"/>
      <c r="H228" s="3" t="s">
        <v>683</v>
      </c>
      <c r="I228" s="6">
        <v>27</v>
      </c>
      <c r="J228" s="18">
        <v>6</v>
      </c>
      <c r="K228" s="14">
        <v>3</v>
      </c>
      <c r="L228" s="57" t="s">
        <v>536</v>
      </c>
      <c r="M228" s="58" t="s">
        <v>519</v>
      </c>
      <c r="N228" s="58" t="s">
        <v>539</v>
      </c>
      <c r="O228" s="58" t="s">
        <v>682</v>
      </c>
      <c r="P228" s="4"/>
      <c r="Q228" s="151">
        <f>Q229</f>
        <v>1.5</v>
      </c>
      <c r="R228" s="151">
        <f>R229</f>
        <v>1.5</v>
      </c>
      <c r="S228" s="282">
        <f t="shared" si="6"/>
        <v>1</v>
      </c>
    </row>
    <row r="229" spans="1:19" ht="24" customHeight="1">
      <c r="A229" s="59"/>
      <c r="B229" s="60"/>
      <c r="C229" s="65"/>
      <c r="D229" s="63"/>
      <c r="E229" s="75"/>
      <c r="F229" s="75"/>
      <c r="G229" s="67"/>
      <c r="H229" s="3" t="s">
        <v>636</v>
      </c>
      <c r="I229" s="6">
        <v>27</v>
      </c>
      <c r="J229" s="18">
        <v>6</v>
      </c>
      <c r="K229" s="14">
        <v>3</v>
      </c>
      <c r="L229" s="57" t="s">
        <v>536</v>
      </c>
      <c r="M229" s="58" t="s">
        <v>519</v>
      </c>
      <c r="N229" s="58" t="s">
        <v>539</v>
      </c>
      <c r="O229" s="58" t="s">
        <v>682</v>
      </c>
      <c r="P229" s="4">
        <v>240</v>
      </c>
      <c r="Q229" s="151">
        <f>27.4-25.9</f>
        <v>1.5</v>
      </c>
      <c r="R229" s="151">
        <f>27.4-25.9</f>
        <v>1.5</v>
      </c>
      <c r="S229" s="282">
        <f t="shared" si="6"/>
        <v>1</v>
      </c>
    </row>
    <row r="230" spans="1:19" s="135" customFormat="1" ht="24.75" customHeight="1">
      <c r="A230" s="101"/>
      <c r="B230" s="102"/>
      <c r="C230" s="112"/>
      <c r="D230" s="109"/>
      <c r="E230" s="113"/>
      <c r="F230" s="113"/>
      <c r="G230" s="114">
        <v>621</v>
      </c>
      <c r="H230" s="108" t="s">
        <v>505</v>
      </c>
      <c r="I230" s="111">
        <v>27</v>
      </c>
      <c r="J230" s="115">
        <v>6</v>
      </c>
      <c r="K230" s="98">
        <v>5</v>
      </c>
      <c r="L230" s="99"/>
      <c r="M230" s="100"/>
      <c r="N230" s="100"/>
      <c r="O230" s="100"/>
      <c r="P230" s="105"/>
      <c r="Q230" s="152">
        <f>Q231+Q234</f>
        <v>1627</v>
      </c>
      <c r="R230" s="152">
        <f>R231+R234</f>
        <v>1627</v>
      </c>
      <c r="S230" s="282">
        <f t="shared" si="6"/>
        <v>1</v>
      </c>
    </row>
    <row r="231" spans="1:19" ht="18.75" customHeight="1">
      <c r="A231" s="61"/>
      <c r="B231" s="60"/>
      <c r="C231" s="65"/>
      <c r="D231" s="69"/>
      <c r="E231" s="66"/>
      <c r="F231" s="66"/>
      <c r="G231" s="67"/>
      <c r="H231" s="131" t="s">
        <v>727</v>
      </c>
      <c r="I231" s="6">
        <v>27</v>
      </c>
      <c r="J231" s="16">
        <v>6</v>
      </c>
      <c r="K231" s="14">
        <v>5</v>
      </c>
      <c r="L231" s="57" t="s">
        <v>536</v>
      </c>
      <c r="M231" s="58" t="s">
        <v>519</v>
      </c>
      <c r="N231" s="58" t="s">
        <v>539</v>
      </c>
      <c r="O231" s="58" t="s">
        <v>726</v>
      </c>
      <c r="P231" s="4"/>
      <c r="Q231" s="151">
        <f>SUM(Q232:Q233)</f>
        <v>132</v>
      </c>
      <c r="R231" s="151">
        <f>SUM(R232:R233)</f>
        <v>132</v>
      </c>
      <c r="S231" s="282">
        <f t="shared" si="6"/>
        <v>1</v>
      </c>
    </row>
    <row r="232" spans="1:19" ht="23.25" customHeight="1">
      <c r="A232" s="61"/>
      <c r="B232" s="60"/>
      <c r="C232" s="65"/>
      <c r="D232" s="69"/>
      <c r="E232" s="66"/>
      <c r="F232" s="66"/>
      <c r="G232" s="67"/>
      <c r="H232" s="2" t="s">
        <v>490</v>
      </c>
      <c r="I232" s="6">
        <v>27</v>
      </c>
      <c r="J232" s="16">
        <v>6</v>
      </c>
      <c r="K232" s="14">
        <v>5</v>
      </c>
      <c r="L232" s="57" t="s">
        <v>536</v>
      </c>
      <c r="M232" s="58" t="s">
        <v>519</v>
      </c>
      <c r="N232" s="58" t="s">
        <v>539</v>
      </c>
      <c r="O232" s="58" t="s">
        <v>726</v>
      </c>
      <c r="P232" s="4">
        <v>120</v>
      </c>
      <c r="Q232" s="151">
        <f>110-7+29</f>
        <v>132</v>
      </c>
      <c r="R232" s="151">
        <f>110-7+29</f>
        <v>132</v>
      </c>
      <c r="S232" s="282">
        <f t="shared" si="6"/>
        <v>1</v>
      </c>
    </row>
    <row r="233" spans="1:19" ht="23.25" customHeight="1" hidden="1">
      <c r="A233" s="61"/>
      <c r="B233" s="60"/>
      <c r="C233" s="65"/>
      <c r="D233" s="69"/>
      <c r="E233" s="66"/>
      <c r="F233" s="66"/>
      <c r="G233" s="67"/>
      <c r="H233" s="3" t="s">
        <v>636</v>
      </c>
      <c r="I233" s="6">
        <v>27</v>
      </c>
      <c r="J233" s="16">
        <v>6</v>
      </c>
      <c r="K233" s="14">
        <v>5</v>
      </c>
      <c r="L233" s="57" t="s">
        <v>536</v>
      </c>
      <c r="M233" s="58" t="s">
        <v>519</v>
      </c>
      <c r="N233" s="58" t="s">
        <v>539</v>
      </c>
      <c r="O233" s="58" t="s">
        <v>726</v>
      </c>
      <c r="P233" s="4">
        <v>240</v>
      </c>
      <c r="Q233" s="151">
        <v>0</v>
      </c>
      <c r="R233" s="151">
        <v>0</v>
      </c>
      <c r="S233" s="282" t="e">
        <f t="shared" si="6"/>
        <v>#DIV/0!</v>
      </c>
    </row>
    <row r="234" spans="1:19" ht="35.25" customHeight="1">
      <c r="A234" s="61"/>
      <c r="B234" s="60"/>
      <c r="C234" s="65"/>
      <c r="D234" s="71"/>
      <c r="E234" s="66"/>
      <c r="F234" s="66"/>
      <c r="G234" s="67">
        <v>622</v>
      </c>
      <c r="H234" s="2" t="s">
        <v>580</v>
      </c>
      <c r="I234" s="6">
        <v>27</v>
      </c>
      <c r="J234" s="18">
        <v>6</v>
      </c>
      <c r="K234" s="14">
        <v>5</v>
      </c>
      <c r="L234" s="57" t="s">
        <v>540</v>
      </c>
      <c r="M234" s="58" t="s">
        <v>519</v>
      </c>
      <c r="N234" s="58" t="s">
        <v>539</v>
      </c>
      <c r="O234" s="58" t="s">
        <v>556</v>
      </c>
      <c r="P234" s="4"/>
      <c r="Q234" s="151">
        <f aca="true" t="shared" si="7" ref="Q234:R236">Q235</f>
        <v>1495</v>
      </c>
      <c r="R234" s="151">
        <f t="shared" si="7"/>
        <v>1495</v>
      </c>
      <c r="S234" s="282">
        <f t="shared" si="6"/>
        <v>1</v>
      </c>
    </row>
    <row r="235" spans="1:19" ht="33.75" customHeight="1">
      <c r="A235" s="61"/>
      <c r="B235" s="60"/>
      <c r="C235" s="68"/>
      <c r="D235" s="69"/>
      <c r="E235" s="66"/>
      <c r="F235" s="66"/>
      <c r="G235" s="67"/>
      <c r="H235" s="78" t="s">
        <v>278</v>
      </c>
      <c r="I235" s="6">
        <v>27</v>
      </c>
      <c r="J235" s="18">
        <v>6</v>
      </c>
      <c r="K235" s="14">
        <v>5</v>
      </c>
      <c r="L235" s="57" t="s">
        <v>540</v>
      </c>
      <c r="M235" s="58" t="s">
        <v>519</v>
      </c>
      <c r="N235" s="58" t="s">
        <v>545</v>
      </c>
      <c r="O235" s="58" t="s">
        <v>556</v>
      </c>
      <c r="P235" s="4"/>
      <c r="Q235" s="151">
        <f t="shared" si="7"/>
        <v>1495</v>
      </c>
      <c r="R235" s="151">
        <f t="shared" si="7"/>
        <v>1495</v>
      </c>
      <c r="S235" s="282">
        <f t="shared" si="6"/>
        <v>1</v>
      </c>
    </row>
    <row r="236" spans="1:19" ht="24.75" customHeight="1">
      <c r="A236" s="61"/>
      <c r="B236" s="60"/>
      <c r="C236" s="68"/>
      <c r="D236" s="69"/>
      <c r="E236" s="66"/>
      <c r="F236" s="66"/>
      <c r="G236" s="67"/>
      <c r="H236" s="78" t="s">
        <v>237</v>
      </c>
      <c r="I236" s="6">
        <v>27</v>
      </c>
      <c r="J236" s="18">
        <v>6</v>
      </c>
      <c r="K236" s="14">
        <v>5</v>
      </c>
      <c r="L236" s="57" t="s">
        <v>540</v>
      </c>
      <c r="M236" s="58" t="s">
        <v>519</v>
      </c>
      <c r="N236" s="58" t="s">
        <v>545</v>
      </c>
      <c r="O236" s="58" t="s">
        <v>236</v>
      </c>
      <c r="P236" s="4"/>
      <c r="Q236" s="151">
        <f t="shared" si="7"/>
        <v>1495</v>
      </c>
      <c r="R236" s="151">
        <f t="shared" si="7"/>
        <v>1495</v>
      </c>
      <c r="S236" s="282">
        <f t="shared" si="6"/>
        <v>1</v>
      </c>
    </row>
    <row r="237" spans="1:19" ht="33.75" customHeight="1">
      <c r="A237" s="61"/>
      <c r="B237" s="60"/>
      <c r="C237" s="68"/>
      <c r="D237" s="69"/>
      <c r="E237" s="66"/>
      <c r="F237" s="66"/>
      <c r="G237" s="67"/>
      <c r="H237" s="78" t="s">
        <v>636</v>
      </c>
      <c r="I237" s="6">
        <v>27</v>
      </c>
      <c r="J237" s="18">
        <v>6</v>
      </c>
      <c r="K237" s="14">
        <v>5</v>
      </c>
      <c r="L237" s="57" t="s">
        <v>540</v>
      </c>
      <c r="M237" s="58" t="s">
        <v>519</v>
      </c>
      <c r="N237" s="58" t="s">
        <v>545</v>
      </c>
      <c r="O237" s="58" t="s">
        <v>236</v>
      </c>
      <c r="P237" s="4">
        <v>240</v>
      </c>
      <c r="Q237" s="151">
        <f>9675-2987-5180-13</f>
        <v>1495</v>
      </c>
      <c r="R237" s="151">
        <f>9675-2987-5180-13</f>
        <v>1495</v>
      </c>
      <c r="S237" s="282">
        <f t="shared" si="6"/>
        <v>1</v>
      </c>
    </row>
    <row r="238" spans="1:19" s="135" customFormat="1" ht="26.25" customHeight="1">
      <c r="A238" s="101"/>
      <c r="B238" s="102"/>
      <c r="C238" s="116"/>
      <c r="D238" s="103"/>
      <c r="E238" s="104"/>
      <c r="F238" s="104"/>
      <c r="G238" s="114">
        <v>612</v>
      </c>
      <c r="H238" s="108" t="s">
        <v>502</v>
      </c>
      <c r="I238" s="111">
        <v>27</v>
      </c>
      <c r="J238" s="115">
        <v>7</v>
      </c>
      <c r="K238" s="98"/>
      <c r="L238" s="99"/>
      <c r="M238" s="100"/>
      <c r="N238" s="100"/>
      <c r="O238" s="100"/>
      <c r="P238" s="105"/>
      <c r="Q238" s="152">
        <f>Q239+Q246</f>
        <v>7653.7</v>
      </c>
      <c r="R238" s="152">
        <f>R239+R246</f>
        <v>7645.7</v>
      </c>
      <c r="S238" s="282">
        <f t="shared" si="6"/>
        <v>0.9989547539098736</v>
      </c>
    </row>
    <row r="239" spans="1:19" s="135" customFormat="1" ht="20.25" customHeight="1">
      <c r="A239" s="101"/>
      <c r="B239" s="102"/>
      <c r="C239" s="291">
        <v>703</v>
      </c>
      <c r="D239" s="292"/>
      <c r="E239" s="292"/>
      <c r="F239" s="292"/>
      <c r="G239" s="95">
        <v>612</v>
      </c>
      <c r="H239" s="96" t="s">
        <v>314</v>
      </c>
      <c r="I239" s="105">
        <v>27</v>
      </c>
      <c r="J239" s="98">
        <v>7</v>
      </c>
      <c r="K239" s="98">
        <v>3</v>
      </c>
      <c r="L239" s="99"/>
      <c r="M239" s="100"/>
      <c r="N239" s="100"/>
      <c r="O239" s="100"/>
      <c r="P239" s="105"/>
      <c r="Q239" s="152">
        <f>Q240</f>
        <v>7529</v>
      </c>
      <c r="R239" s="152">
        <f>R240</f>
        <v>7529</v>
      </c>
      <c r="S239" s="282">
        <f t="shared" si="6"/>
        <v>1</v>
      </c>
    </row>
    <row r="240" spans="1:19" s="135" customFormat="1" ht="29.25" customHeight="1">
      <c r="A240" s="101"/>
      <c r="B240" s="102"/>
      <c r="C240" s="112"/>
      <c r="D240" s="170"/>
      <c r="E240" s="125"/>
      <c r="F240" s="125"/>
      <c r="G240" s="95"/>
      <c r="H240" s="183" t="s">
        <v>600</v>
      </c>
      <c r="I240" s="8">
        <v>27</v>
      </c>
      <c r="J240" s="14">
        <v>7</v>
      </c>
      <c r="K240" s="14">
        <v>3</v>
      </c>
      <c r="L240" s="57" t="s">
        <v>601</v>
      </c>
      <c r="M240" s="58" t="s">
        <v>519</v>
      </c>
      <c r="N240" s="58" t="s">
        <v>539</v>
      </c>
      <c r="O240" s="58" t="s">
        <v>556</v>
      </c>
      <c r="P240" s="4"/>
      <c r="Q240" s="151">
        <f>Q241</f>
        <v>7529</v>
      </c>
      <c r="R240" s="151">
        <f>R241</f>
        <v>7529</v>
      </c>
      <c r="S240" s="282">
        <f t="shared" si="6"/>
        <v>1</v>
      </c>
    </row>
    <row r="241" spans="1:19" s="135" customFormat="1" ht="35.25" customHeight="1">
      <c r="A241" s="101"/>
      <c r="B241" s="102"/>
      <c r="C241" s="112"/>
      <c r="D241" s="170"/>
      <c r="E241" s="125"/>
      <c r="F241" s="125"/>
      <c r="G241" s="95"/>
      <c r="H241" s="183" t="s">
        <v>602</v>
      </c>
      <c r="I241" s="8">
        <v>27</v>
      </c>
      <c r="J241" s="14">
        <v>7</v>
      </c>
      <c r="K241" s="14">
        <v>3</v>
      </c>
      <c r="L241" s="57" t="s">
        <v>601</v>
      </c>
      <c r="M241" s="58" t="s">
        <v>519</v>
      </c>
      <c r="N241" s="58" t="s">
        <v>544</v>
      </c>
      <c r="O241" s="58" t="s">
        <v>556</v>
      </c>
      <c r="P241" s="4"/>
      <c r="Q241" s="151">
        <f>Q242+Q244</f>
        <v>7529</v>
      </c>
      <c r="R241" s="151">
        <f>R242+R244</f>
        <v>7529</v>
      </c>
      <c r="S241" s="282">
        <f t="shared" si="6"/>
        <v>1</v>
      </c>
    </row>
    <row r="242" spans="1:19" s="135" customFormat="1" ht="20.25" customHeight="1">
      <c r="A242" s="101"/>
      <c r="B242" s="102"/>
      <c r="C242" s="112"/>
      <c r="D242" s="170"/>
      <c r="E242" s="125"/>
      <c r="F242" s="125"/>
      <c r="G242" s="95"/>
      <c r="H242" s="183" t="s">
        <v>303</v>
      </c>
      <c r="I242" s="8">
        <v>27</v>
      </c>
      <c r="J242" s="14">
        <v>7</v>
      </c>
      <c r="K242" s="14">
        <v>3</v>
      </c>
      <c r="L242" s="57" t="s">
        <v>601</v>
      </c>
      <c r="M242" s="58" t="s">
        <v>519</v>
      </c>
      <c r="N242" s="58" t="s">
        <v>544</v>
      </c>
      <c r="O242" s="58" t="s">
        <v>238</v>
      </c>
      <c r="P242" s="4"/>
      <c r="Q242" s="151">
        <f>Q243</f>
        <v>5758.1</v>
      </c>
      <c r="R242" s="151">
        <f>R243</f>
        <v>5758.1</v>
      </c>
      <c r="S242" s="282">
        <f t="shared" si="6"/>
        <v>1</v>
      </c>
    </row>
    <row r="243" spans="1:19" s="135" customFormat="1" ht="20.25" customHeight="1">
      <c r="A243" s="101"/>
      <c r="B243" s="102"/>
      <c r="C243" s="112"/>
      <c r="D243" s="170"/>
      <c r="E243" s="125"/>
      <c r="F243" s="125"/>
      <c r="G243" s="95"/>
      <c r="H243" s="183" t="s">
        <v>638</v>
      </c>
      <c r="I243" s="8">
        <v>27</v>
      </c>
      <c r="J243" s="14">
        <v>7</v>
      </c>
      <c r="K243" s="14">
        <v>3</v>
      </c>
      <c r="L243" s="57" t="s">
        <v>601</v>
      </c>
      <c r="M243" s="58" t="s">
        <v>519</v>
      </c>
      <c r="N243" s="58" t="s">
        <v>544</v>
      </c>
      <c r="O243" s="58" t="s">
        <v>238</v>
      </c>
      <c r="P243" s="4">
        <v>610</v>
      </c>
      <c r="Q243" s="151">
        <v>5758.1</v>
      </c>
      <c r="R243" s="151">
        <v>5758.1</v>
      </c>
      <c r="S243" s="282">
        <f t="shared" si="6"/>
        <v>1</v>
      </c>
    </row>
    <row r="244" spans="1:19" ht="31.5" customHeight="1">
      <c r="A244" s="59"/>
      <c r="B244" s="60"/>
      <c r="C244" s="65"/>
      <c r="D244" s="73"/>
      <c r="E244" s="76"/>
      <c r="F244" s="76"/>
      <c r="G244" s="51"/>
      <c r="H244" s="183" t="s">
        <v>50</v>
      </c>
      <c r="I244" s="8">
        <v>27</v>
      </c>
      <c r="J244" s="14">
        <v>7</v>
      </c>
      <c r="K244" s="14">
        <v>3</v>
      </c>
      <c r="L244" s="57" t="s">
        <v>601</v>
      </c>
      <c r="M244" s="58" t="s">
        <v>519</v>
      </c>
      <c r="N244" s="58" t="s">
        <v>544</v>
      </c>
      <c r="O244" s="58" t="s">
        <v>49</v>
      </c>
      <c r="P244" s="8"/>
      <c r="Q244" s="150">
        <f>Q245</f>
        <v>1770.9</v>
      </c>
      <c r="R244" s="150">
        <f>R245</f>
        <v>1770.9</v>
      </c>
      <c r="S244" s="282">
        <f t="shared" si="6"/>
        <v>1</v>
      </c>
    </row>
    <row r="245" spans="1:19" ht="20.25" customHeight="1">
      <c r="A245" s="59"/>
      <c r="B245" s="60"/>
      <c r="C245" s="65"/>
      <c r="D245" s="73"/>
      <c r="E245" s="76"/>
      <c r="F245" s="76"/>
      <c r="G245" s="51"/>
      <c r="H245" s="183" t="s">
        <v>638</v>
      </c>
      <c r="I245" s="8">
        <v>27</v>
      </c>
      <c r="J245" s="14">
        <v>7</v>
      </c>
      <c r="K245" s="14">
        <v>3</v>
      </c>
      <c r="L245" s="57" t="s">
        <v>601</v>
      </c>
      <c r="M245" s="58" t="s">
        <v>519</v>
      </c>
      <c r="N245" s="58" t="s">
        <v>544</v>
      </c>
      <c r="O245" s="58" t="s">
        <v>49</v>
      </c>
      <c r="P245" s="8">
        <v>610</v>
      </c>
      <c r="Q245" s="150">
        <f>1186.9+251.1+332.9</f>
        <v>1770.9</v>
      </c>
      <c r="R245" s="150">
        <f>1186.9+251.1+332.9</f>
        <v>1770.9</v>
      </c>
      <c r="S245" s="282">
        <f t="shared" si="6"/>
        <v>1</v>
      </c>
    </row>
    <row r="246" spans="1:19" s="135" customFormat="1" ht="18.75" customHeight="1">
      <c r="A246" s="101"/>
      <c r="B246" s="102"/>
      <c r="C246" s="291">
        <v>704</v>
      </c>
      <c r="D246" s="292"/>
      <c r="E246" s="292"/>
      <c r="F246" s="292"/>
      <c r="G246" s="95">
        <v>622</v>
      </c>
      <c r="H246" s="96" t="s">
        <v>306</v>
      </c>
      <c r="I246" s="105">
        <v>27</v>
      </c>
      <c r="J246" s="98">
        <v>7</v>
      </c>
      <c r="K246" s="98">
        <v>7</v>
      </c>
      <c r="L246" s="99"/>
      <c r="M246" s="100"/>
      <c r="N246" s="100"/>
      <c r="O246" s="100"/>
      <c r="P246" s="97"/>
      <c r="Q246" s="149">
        <f>Q247</f>
        <v>124.7</v>
      </c>
      <c r="R246" s="149">
        <f>R247</f>
        <v>116.7</v>
      </c>
      <c r="S246" s="282">
        <f t="shared" si="6"/>
        <v>0.9358460304731355</v>
      </c>
    </row>
    <row r="247" spans="1:19" ht="18.75" customHeight="1">
      <c r="A247" s="61"/>
      <c r="B247" s="60"/>
      <c r="C247" s="59"/>
      <c r="D247" s="56"/>
      <c r="E247" s="56"/>
      <c r="F247" s="56"/>
      <c r="G247" s="51"/>
      <c r="H247" s="3" t="s">
        <v>604</v>
      </c>
      <c r="I247" s="4">
        <v>27</v>
      </c>
      <c r="J247" s="14">
        <v>7</v>
      </c>
      <c r="K247" s="14">
        <v>7</v>
      </c>
      <c r="L247" s="57" t="s">
        <v>603</v>
      </c>
      <c r="M247" s="58" t="s">
        <v>519</v>
      </c>
      <c r="N247" s="58" t="s">
        <v>539</v>
      </c>
      <c r="O247" s="58" t="s">
        <v>556</v>
      </c>
      <c r="P247" s="8"/>
      <c r="Q247" s="150">
        <f>Q248+Q255+Q258</f>
        <v>124.7</v>
      </c>
      <c r="R247" s="150">
        <f>R248+R255+R258</f>
        <v>116.7</v>
      </c>
      <c r="S247" s="282">
        <f t="shared" si="6"/>
        <v>0.9358460304731355</v>
      </c>
    </row>
    <row r="248" spans="1:19" ht="38.25" customHeight="1">
      <c r="A248" s="61"/>
      <c r="B248" s="60"/>
      <c r="C248" s="59"/>
      <c r="D248" s="283">
        <v>4270000</v>
      </c>
      <c r="E248" s="283"/>
      <c r="F248" s="283"/>
      <c r="G248" s="51">
        <v>622</v>
      </c>
      <c r="H248" s="15" t="s">
        <v>606</v>
      </c>
      <c r="I248" s="4">
        <v>27</v>
      </c>
      <c r="J248" s="14">
        <v>7</v>
      </c>
      <c r="K248" s="14">
        <v>7</v>
      </c>
      <c r="L248" s="57" t="s">
        <v>603</v>
      </c>
      <c r="M248" s="58" t="s">
        <v>519</v>
      </c>
      <c r="N248" s="58" t="s">
        <v>520</v>
      </c>
      <c r="O248" s="58" t="s">
        <v>556</v>
      </c>
      <c r="P248" s="8"/>
      <c r="Q248" s="150">
        <f>Q249+Q253+Q251</f>
        <v>102.7</v>
      </c>
      <c r="R248" s="150">
        <f>R249+R253+R251</f>
        <v>94.7</v>
      </c>
      <c r="S248" s="282">
        <f t="shared" si="6"/>
        <v>0.9221032132424537</v>
      </c>
    </row>
    <row r="249" spans="1:19" ht="28.5" customHeight="1">
      <c r="A249" s="61"/>
      <c r="B249" s="60"/>
      <c r="C249" s="59"/>
      <c r="D249" s="63"/>
      <c r="E249" s="77"/>
      <c r="F249" s="77"/>
      <c r="G249" s="51"/>
      <c r="H249" s="15" t="s">
        <v>230</v>
      </c>
      <c r="I249" s="4">
        <v>27</v>
      </c>
      <c r="J249" s="14">
        <v>7</v>
      </c>
      <c r="K249" s="14">
        <v>7</v>
      </c>
      <c r="L249" s="57" t="s">
        <v>603</v>
      </c>
      <c r="M249" s="58" t="s">
        <v>519</v>
      </c>
      <c r="N249" s="58" t="s">
        <v>520</v>
      </c>
      <c r="O249" s="58" t="s">
        <v>231</v>
      </c>
      <c r="P249" s="4"/>
      <c r="Q249" s="151">
        <f>Q250</f>
        <v>22.700000000000003</v>
      </c>
      <c r="R249" s="151">
        <f>R250</f>
        <v>22.700000000000003</v>
      </c>
      <c r="S249" s="282">
        <f t="shared" si="6"/>
        <v>1</v>
      </c>
    </row>
    <row r="250" spans="1:19" ht="21.75" customHeight="1">
      <c r="A250" s="61"/>
      <c r="B250" s="60"/>
      <c r="C250" s="59"/>
      <c r="D250" s="63"/>
      <c r="E250" s="77"/>
      <c r="F250" s="77"/>
      <c r="G250" s="51"/>
      <c r="H250" s="183" t="s">
        <v>638</v>
      </c>
      <c r="I250" s="4">
        <v>27</v>
      </c>
      <c r="J250" s="14">
        <v>7</v>
      </c>
      <c r="K250" s="14">
        <v>7</v>
      </c>
      <c r="L250" s="57" t="s">
        <v>603</v>
      </c>
      <c r="M250" s="58" t="s">
        <v>519</v>
      </c>
      <c r="N250" s="58" t="s">
        <v>520</v>
      </c>
      <c r="O250" s="58" t="s">
        <v>231</v>
      </c>
      <c r="P250" s="4">
        <v>610</v>
      </c>
      <c r="Q250" s="151">
        <f>200-40-50-87.3</f>
        <v>22.700000000000003</v>
      </c>
      <c r="R250" s="151">
        <f>200-40-50-87.3</f>
        <v>22.700000000000003</v>
      </c>
      <c r="S250" s="282">
        <f t="shared" si="6"/>
        <v>1</v>
      </c>
    </row>
    <row r="251" spans="1:19" ht="21.75" customHeight="1">
      <c r="A251" s="61"/>
      <c r="B251" s="60"/>
      <c r="C251" s="59"/>
      <c r="D251" s="63"/>
      <c r="E251" s="77"/>
      <c r="F251" s="77"/>
      <c r="G251" s="51"/>
      <c r="H251" s="183" t="s">
        <v>163</v>
      </c>
      <c r="I251" s="4">
        <v>27</v>
      </c>
      <c r="J251" s="14">
        <v>7</v>
      </c>
      <c r="K251" s="14">
        <v>7</v>
      </c>
      <c r="L251" s="57" t="s">
        <v>603</v>
      </c>
      <c r="M251" s="58" t="s">
        <v>519</v>
      </c>
      <c r="N251" s="58" t="s">
        <v>520</v>
      </c>
      <c r="O251" s="58" t="s">
        <v>162</v>
      </c>
      <c r="P251" s="4"/>
      <c r="Q251" s="151">
        <f>Q252</f>
        <v>40</v>
      </c>
      <c r="R251" s="151">
        <f>R252</f>
        <v>32</v>
      </c>
      <c r="S251" s="282">
        <f t="shared" si="6"/>
        <v>0.8</v>
      </c>
    </row>
    <row r="252" spans="1:19" ht="21.75" customHeight="1">
      <c r="A252" s="61"/>
      <c r="B252" s="60"/>
      <c r="C252" s="59"/>
      <c r="D252" s="63"/>
      <c r="E252" s="77"/>
      <c r="F252" s="77"/>
      <c r="G252" s="51"/>
      <c r="H252" s="78" t="s">
        <v>636</v>
      </c>
      <c r="I252" s="4">
        <v>27</v>
      </c>
      <c r="J252" s="14">
        <v>7</v>
      </c>
      <c r="K252" s="14">
        <v>7</v>
      </c>
      <c r="L252" s="57" t="s">
        <v>603</v>
      </c>
      <c r="M252" s="58" t="s">
        <v>519</v>
      </c>
      <c r="N252" s="58" t="s">
        <v>520</v>
      </c>
      <c r="O252" s="58" t="s">
        <v>162</v>
      </c>
      <c r="P252" s="4">
        <v>240</v>
      </c>
      <c r="Q252" s="151">
        <v>40</v>
      </c>
      <c r="R252" s="151">
        <v>32</v>
      </c>
      <c r="S252" s="282">
        <f t="shared" si="6"/>
        <v>0.8</v>
      </c>
    </row>
    <row r="253" spans="1:19" ht="36.75" customHeight="1">
      <c r="A253" s="61"/>
      <c r="B253" s="60"/>
      <c r="C253" s="59"/>
      <c r="D253" s="63"/>
      <c r="E253" s="77"/>
      <c r="F253" s="77"/>
      <c r="G253" s="51"/>
      <c r="H253" s="3" t="s">
        <v>605</v>
      </c>
      <c r="I253" s="4">
        <v>27</v>
      </c>
      <c r="J253" s="14">
        <v>7</v>
      </c>
      <c r="K253" s="14">
        <v>7</v>
      </c>
      <c r="L253" s="57" t="s">
        <v>603</v>
      </c>
      <c r="M253" s="58" t="s">
        <v>519</v>
      </c>
      <c r="N253" s="58" t="s">
        <v>520</v>
      </c>
      <c r="O253" s="58" t="s">
        <v>209</v>
      </c>
      <c r="P253" s="4"/>
      <c r="Q253" s="151">
        <f>Q254</f>
        <v>40</v>
      </c>
      <c r="R253" s="151">
        <f>R254</f>
        <v>40</v>
      </c>
      <c r="S253" s="282">
        <f t="shared" si="6"/>
        <v>1</v>
      </c>
    </row>
    <row r="254" spans="1:19" ht="27" customHeight="1">
      <c r="A254" s="61"/>
      <c r="B254" s="60"/>
      <c r="C254" s="65"/>
      <c r="D254" s="63"/>
      <c r="E254" s="75"/>
      <c r="F254" s="75"/>
      <c r="G254" s="67"/>
      <c r="H254" s="183" t="s">
        <v>638</v>
      </c>
      <c r="I254" s="4">
        <v>27</v>
      </c>
      <c r="J254" s="16">
        <v>7</v>
      </c>
      <c r="K254" s="14">
        <v>7</v>
      </c>
      <c r="L254" s="57" t="s">
        <v>603</v>
      </c>
      <c r="M254" s="58" t="s">
        <v>519</v>
      </c>
      <c r="N254" s="58" t="s">
        <v>520</v>
      </c>
      <c r="O254" s="58" t="s">
        <v>209</v>
      </c>
      <c r="P254" s="4">
        <v>610</v>
      </c>
      <c r="Q254" s="151">
        <v>40</v>
      </c>
      <c r="R254" s="151">
        <v>40</v>
      </c>
      <c r="S254" s="282">
        <f t="shared" si="6"/>
        <v>1</v>
      </c>
    </row>
    <row r="255" spans="1:19" ht="33.75" customHeight="1">
      <c r="A255" s="61"/>
      <c r="B255" s="60"/>
      <c r="C255" s="65"/>
      <c r="D255" s="63"/>
      <c r="E255" s="75"/>
      <c r="F255" s="75"/>
      <c r="G255" s="67"/>
      <c r="H255" s="89" t="s">
        <v>607</v>
      </c>
      <c r="I255" s="4">
        <v>27</v>
      </c>
      <c r="J255" s="16">
        <v>7</v>
      </c>
      <c r="K255" s="14">
        <v>7</v>
      </c>
      <c r="L255" s="57" t="s">
        <v>603</v>
      </c>
      <c r="M255" s="58" t="s">
        <v>519</v>
      </c>
      <c r="N255" s="58" t="s">
        <v>545</v>
      </c>
      <c r="O255" s="58" t="s">
        <v>556</v>
      </c>
      <c r="P255" s="4"/>
      <c r="Q255" s="151">
        <f>Q256</f>
        <v>12.5</v>
      </c>
      <c r="R255" s="151">
        <f>R256</f>
        <v>12.5</v>
      </c>
      <c r="S255" s="282">
        <f t="shared" si="6"/>
        <v>1</v>
      </c>
    </row>
    <row r="256" spans="1:19" ht="27" customHeight="1">
      <c r="A256" s="61"/>
      <c r="B256" s="60"/>
      <c r="C256" s="65"/>
      <c r="D256" s="63"/>
      <c r="E256" s="75"/>
      <c r="F256" s="75"/>
      <c r="G256" s="67"/>
      <c r="H256" s="89" t="s">
        <v>230</v>
      </c>
      <c r="I256" s="4">
        <v>27</v>
      </c>
      <c r="J256" s="16">
        <v>7</v>
      </c>
      <c r="K256" s="14">
        <v>7</v>
      </c>
      <c r="L256" s="57" t="s">
        <v>603</v>
      </c>
      <c r="M256" s="58" t="s">
        <v>519</v>
      </c>
      <c r="N256" s="58" t="s">
        <v>545</v>
      </c>
      <c r="O256" s="58" t="s">
        <v>231</v>
      </c>
      <c r="P256" s="4"/>
      <c r="Q256" s="151">
        <f>Q257</f>
        <v>12.5</v>
      </c>
      <c r="R256" s="151">
        <f>R257</f>
        <v>12.5</v>
      </c>
      <c r="S256" s="282">
        <f t="shared" si="6"/>
        <v>1</v>
      </c>
    </row>
    <row r="257" spans="1:19" ht="27" customHeight="1">
      <c r="A257" s="61"/>
      <c r="B257" s="60"/>
      <c r="C257" s="65"/>
      <c r="D257" s="63"/>
      <c r="E257" s="75"/>
      <c r="F257" s="75"/>
      <c r="G257" s="67"/>
      <c r="H257" s="183" t="s">
        <v>638</v>
      </c>
      <c r="I257" s="4">
        <v>27</v>
      </c>
      <c r="J257" s="16">
        <v>7</v>
      </c>
      <c r="K257" s="14">
        <v>7</v>
      </c>
      <c r="L257" s="57" t="s">
        <v>603</v>
      </c>
      <c r="M257" s="58" t="s">
        <v>519</v>
      </c>
      <c r="N257" s="58" t="s">
        <v>545</v>
      </c>
      <c r="O257" s="58" t="s">
        <v>231</v>
      </c>
      <c r="P257" s="4">
        <v>610</v>
      </c>
      <c r="Q257" s="151">
        <f>100-50-37.5</f>
        <v>12.5</v>
      </c>
      <c r="R257" s="151">
        <f>100-50-37.5</f>
        <v>12.5</v>
      </c>
      <c r="S257" s="282">
        <f t="shared" si="6"/>
        <v>1</v>
      </c>
    </row>
    <row r="258" spans="1:19" ht="33" customHeight="1">
      <c r="A258" s="61"/>
      <c r="B258" s="60"/>
      <c r="C258" s="65"/>
      <c r="D258" s="63"/>
      <c r="E258" s="75"/>
      <c r="F258" s="75"/>
      <c r="G258" s="67"/>
      <c r="H258" s="89" t="s">
        <v>608</v>
      </c>
      <c r="I258" s="4">
        <v>27</v>
      </c>
      <c r="J258" s="16">
        <v>7</v>
      </c>
      <c r="K258" s="14">
        <v>7</v>
      </c>
      <c r="L258" s="57" t="s">
        <v>603</v>
      </c>
      <c r="M258" s="58" t="s">
        <v>519</v>
      </c>
      <c r="N258" s="58" t="s">
        <v>546</v>
      </c>
      <c r="O258" s="58" t="s">
        <v>556</v>
      </c>
      <c r="P258" s="4"/>
      <c r="Q258" s="151">
        <f>Q259</f>
        <v>9.5</v>
      </c>
      <c r="R258" s="151">
        <f>R259</f>
        <v>9.5</v>
      </c>
      <c r="S258" s="282">
        <f t="shared" si="6"/>
        <v>1</v>
      </c>
    </row>
    <row r="259" spans="1:19" ht="27" customHeight="1">
      <c r="A259" s="61"/>
      <c r="B259" s="60"/>
      <c r="C259" s="65"/>
      <c r="D259" s="63"/>
      <c r="E259" s="75"/>
      <c r="F259" s="75"/>
      <c r="G259" s="67"/>
      <c r="H259" s="89" t="s">
        <v>230</v>
      </c>
      <c r="I259" s="4">
        <v>27</v>
      </c>
      <c r="J259" s="16">
        <v>7</v>
      </c>
      <c r="K259" s="14">
        <v>7</v>
      </c>
      <c r="L259" s="57" t="s">
        <v>603</v>
      </c>
      <c r="M259" s="58" t="s">
        <v>519</v>
      </c>
      <c r="N259" s="58" t="s">
        <v>546</v>
      </c>
      <c r="O259" s="58" t="s">
        <v>231</v>
      </c>
      <c r="P259" s="4"/>
      <c r="Q259" s="151">
        <f>Q260</f>
        <v>9.5</v>
      </c>
      <c r="R259" s="151">
        <f>R260</f>
        <v>9.5</v>
      </c>
      <c r="S259" s="282">
        <f t="shared" si="6"/>
        <v>1</v>
      </c>
    </row>
    <row r="260" spans="1:19" ht="27" customHeight="1">
      <c r="A260" s="61"/>
      <c r="B260" s="60"/>
      <c r="C260" s="65"/>
      <c r="D260" s="63"/>
      <c r="E260" s="75"/>
      <c r="F260" s="75"/>
      <c r="G260" s="67"/>
      <c r="H260" s="183" t="s">
        <v>638</v>
      </c>
      <c r="I260" s="4">
        <v>27</v>
      </c>
      <c r="J260" s="16">
        <v>7</v>
      </c>
      <c r="K260" s="14">
        <v>7</v>
      </c>
      <c r="L260" s="57" t="s">
        <v>603</v>
      </c>
      <c r="M260" s="58" t="s">
        <v>519</v>
      </c>
      <c r="N260" s="58" t="s">
        <v>546</v>
      </c>
      <c r="O260" s="58" t="s">
        <v>231</v>
      </c>
      <c r="P260" s="4">
        <v>610</v>
      </c>
      <c r="Q260" s="151">
        <f>100-15.3-75.2</f>
        <v>9.5</v>
      </c>
      <c r="R260" s="151">
        <f>100-15.3-75.2</f>
        <v>9.5</v>
      </c>
      <c r="S260" s="282">
        <f t="shared" si="6"/>
        <v>1</v>
      </c>
    </row>
    <row r="261" spans="1:19" s="135" customFormat="1" ht="24.75" customHeight="1">
      <c r="A261" s="101"/>
      <c r="B261" s="102"/>
      <c r="C261" s="101"/>
      <c r="D261" s="286">
        <v>10000</v>
      </c>
      <c r="E261" s="287"/>
      <c r="F261" s="287"/>
      <c r="G261" s="95">
        <v>240</v>
      </c>
      <c r="H261" s="96" t="s">
        <v>499</v>
      </c>
      <c r="I261" s="97">
        <v>27</v>
      </c>
      <c r="J261" s="98">
        <v>8</v>
      </c>
      <c r="K261" s="98"/>
      <c r="L261" s="99"/>
      <c r="M261" s="100"/>
      <c r="N261" s="100"/>
      <c r="O261" s="100"/>
      <c r="P261" s="97"/>
      <c r="Q261" s="149">
        <f>Q262</f>
        <v>40005.2</v>
      </c>
      <c r="R261" s="149">
        <f>R262</f>
        <v>40002.4</v>
      </c>
      <c r="S261" s="282">
        <f t="shared" si="6"/>
        <v>0.9999300090988172</v>
      </c>
    </row>
    <row r="262" spans="1:19" s="135" customFormat="1" ht="25.5" customHeight="1">
      <c r="A262" s="101"/>
      <c r="B262" s="102"/>
      <c r="C262" s="112"/>
      <c r="D262" s="109"/>
      <c r="E262" s="288">
        <v>15200</v>
      </c>
      <c r="F262" s="288"/>
      <c r="G262" s="95">
        <v>240</v>
      </c>
      <c r="H262" s="96" t="s">
        <v>343</v>
      </c>
      <c r="I262" s="97">
        <v>27</v>
      </c>
      <c r="J262" s="98">
        <v>8</v>
      </c>
      <c r="K262" s="98">
        <v>1</v>
      </c>
      <c r="L262" s="99"/>
      <c r="M262" s="100"/>
      <c r="N262" s="100"/>
      <c r="O262" s="100"/>
      <c r="P262" s="97"/>
      <c r="Q262" s="149">
        <f>Q263</f>
        <v>40005.2</v>
      </c>
      <c r="R262" s="149">
        <f>R263</f>
        <v>40002.4</v>
      </c>
      <c r="S262" s="282">
        <f t="shared" si="6"/>
        <v>0.9999300090988172</v>
      </c>
    </row>
    <row r="263" spans="1:19" ht="25.5" customHeight="1">
      <c r="A263" s="61"/>
      <c r="B263" s="60"/>
      <c r="C263" s="65"/>
      <c r="D263" s="63"/>
      <c r="E263" s="285">
        <v>20400</v>
      </c>
      <c r="F263" s="285"/>
      <c r="G263" s="51">
        <v>850</v>
      </c>
      <c r="H263" s="3" t="s">
        <v>600</v>
      </c>
      <c r="I263" s="8">
        <v>27</v>
      </c>
      <c r="J263" s="14">
        <v>8</v>
      </c>
      <c r="K263" s="14">
        <v>1</v>
      </c>
      <c r="L263" s="57" t="s">
        <v>601</v>
      </c>
      <c r="M263" s="58" t="s">
        <v>519</v>
      </c>
      <c r="N263" s="58" t="s">
        <v>539</v>
      </c>
      <c r="O263" s="58" t="s">
        <v>556</v>
      </c>
      <c r="P263" s="8"/>
      <c r="Q263" s="150">
        <f>Q264+Q275+Q280</f>
        <v>40005.2</v>
      </c>
      <c r="R263" s="150">
        <f>R264+R275+R280</f>
        <v>40002.4</v>
      </c>
      <c r="S263" s="282">
        <f t="shared" si="6"/>
        <v>0.9999300090988172</v>
      </c>
    </row>
    <row r="264" spans="1:19" ht="39.75" customHeight="1">
      <c r="A264" s="61"/>
      <c r="B264" s="60"/>
      <c r="C264" s="65"/>
      <c r="D264" s="63"/>
      <c r="E264" s="75"/>
      <c r="F264" s="75"/>
      <c r="G264" s="67">
        <v>120</v>
      </c>
      <c r="H264" s="15" t="s">
        <v>269</v>
      </c>
      <c r="I264" s="4">
        <v>27</v>
      </c>
      <c r="J264" s="14">
        <v>8</v>
      </c>
      <c r="K264" s="14">
        <v>1</v>
      </c>
      <c r="L264" s="57" t="s">
        <v>601</v>
      </c>
      <c r="M264" s="58" t="s">
        <v>519</v>
      </c>
      <c r="N264" s="58" t="s">
        <v>520</v>
      </c>
      <c r="O264" s="58" t="s">
        <v>556</v>
      </c>
      <c r="P264" s="4"/>
      <c r="Q264" s="151">
        <f>Q265+Q271+Q273+Q269+Q267</f>
        <v>13174.1</v>
      </c>
      <c r="R264" s="151">
        <f>R265+R271+R273+R269+R267</f>
        <v>13171.800000000003</v>
      </c>
      <c r="S264" s="282">
        <f t="shared" si="6"/>
        <v>0.999825415018863</v>
      </c>
    </row>
    <row r="265" spans="1:19" ht="25.5" customHeight="1">
      <c r="A265" s="61"/>
      <c r="B265" s="60"/>
      <c r="C265" s="65"/>
      <c r="D265" s="63"/>
      <c r="E265" s="75"/>
      <c r="F265" s="75"/>
      <c r="G265" s="67"/>
      <c r="H265" s="15" t="s">
        <v>271</v>
      </c>
      <c r="I265" s="8">
        <v>27</v>
      </c>
      <c r="J265" s="14">
        <v>8</v>
      </c>
      <c r="K265" s="14">
        <v>1</v>
      </c>
      <c r="L265" s="57" t="s">
        <v>601</v>
      </c>
      <c r="M265" s="58" t="s">
        <v>519</v>
      </c>
      <c r="N265" s="58" t="s">
        <v>520</v>
      </c>
      <c r="O265" s="58" t="s">
        <v>270</v>
      </c>
      <c r="P265" s="4"/>
      <c r="Q265" s="151">
        <f>Q266</f>
        <v>9845.300000000001</v>
      </c>
      <c r="R265" s="151">
        <f>R266</f>
        <v>9845.300000000001</v>
      </c>
      <c r="S265" s="282">
        <f t="shared" si="6"/>
        <v>1</v>
      </c>
    </row>
    <row r="266" spans="1:19" ht="24.75" customHeight="1">
      <c r="A266" s="61"/>
      <c r="B266" s="60"/>
      <c r="C266" s="65"/>
      <c r="D266" s="63"/>
      <c r="E266" s="75"/>
      <c r="F266" s="75"/>
      <c r="G266" s="67"/>
      <c r="H266" s="183" t="s">
        <v>638</v>
      </c>
      <c r="I266" s="8">
        <v>27</v>
      </c>
      <c r="J266" s="14">
        <v>8</v>
      </c>
      <c r="K266" s="14">
        <v>1</v>
      </c>
      <c r="L266" s="57" t="s">
        <v>601</v>
      </c>
      <c r="M266" s="58" t="s">
        <v>519</v>
      </c>
      <c r="N266" s="58" t="s">
        <v>520</v>
      </c>
      <c r="O266" s="58" t="s">
        <v>270</v>
      </c>
      <c r="P266" s="4">
        <v>610</v>
      </c>
      <c r="Q266" s="151">
        <f>9887.2-0.2-21.4-20.3</f>
        <v>9845.300000000001</v>
      </c>
      <c r="R266" s="151">
        <f>9887.2-0.2-21.4-20.3</f>
        <v>9845.300000000001</v>
      </c>
      <c r="S266" s="282">
        <f t="shared" si="6"/>
        <v>1</v>
      </c>
    </row>
    <row r="267" spans="1:19" ht="46.5" customHeight="1">
      <c r="A267" s="61"/>
      <c r="B267" s="60"/>
      <c r="C267" s="65"/>
      <c r="D267" s="63"/>
      <c r="E267" s="75"/>
      <c r="F267" s="75"/>
      <c r="G267" s="67"/>
      <c r="H267" s="183" t="s">
        <v>753</v>
      </c>
      <c r="I267" s="8">
        <v>27</v>
      </c>
      <c r="J267" s="14">
        <v>8</v>
      </c>
      <c r="K267" s="14">
        <v>1</v>
      </c>
      <c r="L267" s="57" t="s">
        <v>601</v>
      </c>
      <c r="M267" s="58" t="s">
        <v>519</v>
      </c>
      <c r="N267" s="58" t="s">
        <v>520</v>
      </c>
      <c r="O267" s="58" t="s">
        <v>752</v>
      </c>
      <c r="P267" s="4"/>
      <c r="Q267" s="151">
        <f>Q268</f>
        <v>41.900000000000006</v>
      </c>
      <c r="R267" s="151">
        <f>R268</f>
        <v>41.7</v>
      </c>
      <c r="S267" s="282">
        <f t="shared" si="6"/>
        <v>0.9952267303102624</v>
      </c>
    </row>
    <row r="268" spans="1:19" ht="24.75" customHeight="1">
      <c r="A268" s="61"/>
      <c r="B268" s="60"/>
      <c r="C268" s="65"/>
      <c r="D268" s="63"/>
      <c r="E268" s="75"/>
      <c r="F268" s="75"/>
      <c r="G268" s="67"/>
      <c r="H268" s="183" t="s">
        <v>638</v>
      </c>
      <c r="I268" s="8">
        <v>27</v>
      </c>
      <c r="J268" s="14">
        <v>8</v>
      </c>
      <c r="K268" s="14">
        <v>1</v>
      </c>
      <c r="L268" s="57" t="s">
        <v>601</v>
      </c>
      <c r="M268" s="58" t="s">
        <v>519</v>
      </c>
      <c r="N268" s="58" t="s">
        <v>520</v>
      </c>
      <c r="O268" s="58" t="s">
        <v>752</v>
      </c>
      <c r="P268" s="4">
        <v>610</v>
      </c>
      <c r="Q268" s="151">
        <f>41.7+0.2</f>
        <v>41.900000000000006</v>
      </c>
      <c r="R268" s="151">
        <v>41.7</v>
      </c>
      <c r="S268" s="282">
        <f aca="true" t="shared" si="8" ref="S268:S331">R268/Q268</f>
        <v>0.9952267303102624</v>
      </c>
    </row>
    <row r="269" spans="1:19" ht="30" customHeight="1">
      <c r="A269" s="61"/>
      <c r="B269" s="60"/>
      <c r="C269" s="65"/>
      <c r="D269" s="63"/>
      <c r="E269" s="75"/>
      <c r="F269" s="75"/>
      <c r="G269" s="67"/>
      <c r="H269" s="183" t="s">
        <v>50</v>
      </c>
      <c r="I269" s="8">
        <v>27</v>
      </c>
      <c r="J269" s="14">
        <v>8</v>
      </c>
      <c r="K269" s="14">
        <v>1</v>
      </c>
      <c r="L269" s="57" t="s">
        <v>601</v>
      </c>
      <c r="M269" s="58" t="s">
        <v>519</v>
      </c>
      <c r="N269" s="58" t="s">
        <v>520</v>
      </c>
      <c r="O269" s="58" t="s">
        <v>49</v>
      </c>
      <c r="P269" s="4"/>
      <c r="Q269" s="151">
        <f>Q270</f>
        <v>1224.1</v>
      </c>
      <c r="R269" s="151">
        <f>R270</f>
        <v>1224.1</v>
      </c>
      <c r="S269" s="282">
        <f t="shared" si="8"/>
        <v>1</v>
      </c>
    </row>
    <row r="270" spans="1:19" ht="24.75" customHeight="1">
      <c r="A270" s="61"/>
      <c r="B270" s="60"/>
      <c r="C270" s="65"/>
      <c r="D270" s="63"/>
      <c r="E270" s="75"/>
      <c r="F270" s="75"/>
      <c r="G270" s="67"/>
      <c r="H270" s="183" t="s">
        <v>638</v>
      </c>
      <c r="I270" s="8">
        <v>27</v>
      </c>
      <c r="J270" s="14">
        <v>8</v>
      </c>
      <c r="K270" s="14">
        <v>1</v>
      </c>
      <c r="L270" s="57" t="s">
        <v>601</v>
      </c>
      <c r="M270" s="58" t="s">
        <v>519</v>
      </c>
      <c r="N270" s="58" t="s">
        <v>520</v>
      </c>
      <c r="O270" s="58" t="s">
        <v>49</v>
      </c>
      <c r="P270" s="4">
        <v>610</v>
      </c>
      <c r="Q270" s="151">
        <v>1224.1</v>
      </c>
      <c r="R270" s="151">
        <v>1224.1</v>
      </c>
      <c r="S270" s="282">
        <f t="shared" si="8"/>
        <v>1</v>
      </c>
    </row>
    <row r="271" spans="1:19" ht="24.75" customHeight="1">
      <c r="A271" s="61"/>
      <c r="B271" s="60"/>
      <c r="C271" s="65"/>
      <c r="D271" s="63"/>
      <c r="E271" s="75"/>
      <c r="F271" s="75"/>
      <c r="G271" s="67"/>
      <c r="H271" s="3" t="s">
        <v>725</v>
      </c>
      <c r="I271" s="8">
        <v>27</v>
      </c>
      <c r="J271" s="14">
        <v>8</v>
      </c>
      <c r="K271" s="14">
        <v>1</v>
      </c>
      <c r="L271" s="57" t="s">
        <v>601</v>
      </c>
      <c r="M271" s="58" t="s">
        <v>519</v>
      </c>
      <c r="N271" s="58" t="s">
        <v>520</v>
      </c>
      <c r="O271" s="58" t="s">
        <v>724</v>
      </c>
      <c r="P271" s="4"/>
      <c r="Q271" s="151">
        <f>Q272</f>
        <v>340</v>
      </c>
      <c r="R271" s="151">
        <f>R272</f>
        <v>340</v>
      </c>
      <c r="S271" s="282">
        <f t="shared" si="8"/>
        <v>1</v>
      </c>
    </row>
    <row r="272" spans="1:19" ht="24" customHeight="1">
      <c r="A272" s="61"/>
      <c r="B272" s="60"/>
      <c r="C272" s="65"/>
      <c r="D272" s="63"/>
      <c r="E272" s="75"/>
      <c r="F272" s="75"/>
      <c r="G272" s="67"/>
      <c r="H272" s="183" t="s">
        <v>638</v>
      </c>
      <c r="I272" s="8">
        <v>27</v>
      </c>
      <c r="J272" s="14">
        <v>8</v>
      </c>
      <c r="K272" s="14">
        <v>1</v>
      </c>
      <c r="L272" s="57" t="s">
        <v>601</v>
      </c>
      <c r="M272" s="58" t="s">
        <v>519</v>
      </c>
      <c r="N272" s="58" t="s">
        <v>520</v>
      </c>
      <c r="O272" s="58" t="s">
        <v>724</v>
      </c>
      <c r="P272" s="4">
        <v>610</v>
      </c>
      <c r="Q272" s="151">
        <v>340</v>
      </c>
      <c r="R272" s="151">
        <v>340</v>
      </c>
      <c r="S272" s="282">
        <f t="shared" si="8"/>
        <v>1</v>
      </c>
    </row>
    <row r="273" spans="1:19" ht="27" customHeight="1">
      <c r="A273" s="61"/>
      <c r="B273" s="60"/>
      <c r="C273" s="65"/>
      <c r="D273" s="63"/>
      <c r="E273" s="75"/>
      <c r="F273" s="75"/>
      <c r="G273" s="67"/>
      <c r="H273" s="3" t="s">
        <v>610</v>
      </c>
      <c r="I273" s="8">
        <v>27</v>
      </c>
      <c r="J273" s="14">
        <v>8</v>
      </c>
      <c r="K273" s="14">
        <v>1</v>
      </c>
      <c r="L273" s="57" t="s">
        <v>601</v>
      </c>
      <c r="M273" s="58" t="s">
        <v>519</v>
      </c>
      <c r="N273" s="58" t="s">
        <v>520</v>
      </c>
      <c r="O273" s="58" t="s">
        <v>3</v>
      </c>
      <c r="P273" s="4"/>
      <c r="Q273" s="151">
        <f>Q274</f>
        <v>1722.8</v>
      </c>
      <c r="R273" s="151">
        <f>R274</f>
        <v>1720.7</v>
      </c>
      <c r="S273" s="282">
        <f t="shared" si="8"/>
        <v>0.9987810540979801</v>
      </c>
    </row>
    <row r="274" spans="1:19" ht="30" customHeight="1">
      <c r="A274" s="61"/>
      <c r="B274" s="60"/>
      <c r="C274" s="65"/>
      <c r="D274" s="63"/>
      <c r="E274" s="75"/>
      <c r="F274" s="75"/>
      <c r="G274" s="67"/>
      <c r="H274" s="183" t="s">
        <v>638</v>
      </c>
      <c r="I274" s="8">
        <v>27</v>
      </c>
      <c r="J274" s="14">
        <v>8</v>
      </c>
      <c r="K274" s="14">
        <v>1</v>
      </c>
      <c r="L274" s="57" t="s">
        <v>601</v>
      </c>
      <c r="M274" s="58" t="s">
        <v>519</v>
      </c>
      <c r="N274" s="58" t="s">
        <v>520</v>
      </c>
      <c r="O274" s="58" t="s">
        <v>3</v>
      </c>
      <c r="P274" s="4">
        <v>610</v>
      </c>
      <c r="Q274" s="151">
        <f>1572+49.1-1.9+61.9+21.4+20.3</f>
        <v>1722.8</v>
      </c>
      <c r="R274" s="151">
        <v>1720.7</v>
      </c>
      <c r="S274" s="282">
        <f t="shared" si="8"/>
        <v>0.9987810540979801</v>
      </c>
    </row>
    <row r="275" spans="1:19" ht="32.25" customHeight="1">
      <c r="A275" s="61"/>
      <c r="B275" s="60"/>
      <c r="C275" s="65"/>
      <c r="D275" s="63"/>
      <c r="E275" s="75"/>
      <c r="F275" s="75"/>
      <c r="G275" s="67"/>
      <c r="H275" s="3" t="s">
        <v>611</v>
      </c>
      <c r="I275" s="8">
        <v>27</v>
      </c>
      <c r="J275" s="14">
        <v>8</v>
      </c>
      <c r="K275" s="14">
        <v>1</v>
      </c>
      <c r="L275" s="57" t="s">
        <v>601</v>
      </c>
      <c r="M275" s="58" t="s">
        <v>519</v>
      </c>
      <c r="N275" s="58" t="s">
        <v>545</v>
      </c>
      <c r="O275" s="58" t="s">
        <v>556</v>
      </c>
      <c r="P275" s="4"/>
      <c r="Q275" s="151">
        <f>Q276+Q278</f>
        <v>12142.6</v>
      </c>
      <c r="R275" s="151">
        <f>R276+R278</f>
        <v>12142.6</v>
      </c>
      <c r="S275" s="282">
        <f t="shared" si="8"/>
        <v>1</v>
      </c>
    </row>
    <row r="276" spans="1:19" ht="33" customHeight="1">
      <c r="A276" s="61"/>
      <c r="B276" s="60"/>
      <c r="C276" s="65"/>
      <c r="D276" s="63"/>
      <c r="E276" s="75"/>
      <c r="F276" s="75"/>
      <c r="G276" s="67"/>
      <c r="H276" s="3" t="s">
        <v>230</v>
      </c>
      <c r="I276" s="8">
        <v>27</v>
      </c>
      <c r="J276" s="14">
        <v>8</v>
      </c>
      <c r="K276" s="14">
        <v>1</v>
      </c>
      <c r="L276" s="57" t="s">
        <v>601</v>
      </c>
      <c r="M276" s="58" t="s">
        <v>519</v>
      </c>
      <c r="N276" s="58" t="s">
        <v>545</v>
      </c>
      <c r="O276" s="58" t="s">
        <v>231</v>
      </c>
      <c r="P276" s="4"/>
      <c r="Q276" s="151">
        <f>Q277</f>
        <v>9469.6</v>
      </c>
      <c r="R276" s="151">
        <f>R277</f>
        <v>9469.6</v>
      </c>
      <c r="S276" s="282">
        <f t="shared" si="8"/>
        <v>1</v>
      </c>
    </row>
    <row r="277" spans="1:19" ht="27" customHeight="1">
      <c r="A277" s="61"/>
      <c r="B277" s="60"/>
      <c r="C277" s="65"/>
      <c r="D277" s="63"/>
      <c r="E277" s="75"/>
      <c r="F277" s="75"/>
      <c r="G277" s="67"/>
      <c r="H277" s="3" t="s">
        <v>638</v>
      </c>
      <c r="I277" s="8">
        <v>27</v>
      </c>
      <c r="J277" s="14">
        <v>8</v>
      </c>
      <c r="K277" s="14">
        <v>1</v>
      </c>
      <c r="L277" s="57" t="s">
        <v>601</v>
      </c>
      <c r="M277" s="58" t="s">
        <v>519</v>
      </c>
      <c r="N277" s="58" t="s">
        <v>545</v>
      </c>
      <c r="O277" s="58" t="s">
        <v>231</v>
      </c>
      <c r="P277" s="4">
        <v>610</v>
      </c>
      <c r="Q277" s="151">
        <f>11247.6-2000-2200+2000+60+12+350</f>
        <v>9469.6</v>
      </c>
      <c r="R277" s="151">
        <f>11247.6-2000-2200+2000+60+12+350</f>
        <v>9469.6</v>
      </c>
      <c r="S277" s="282">
        <f t="shared" si="8"/>
        <v>1</v>
      </c>
    </row>
    <row r="278" spans="1:19" ht="33.75" customHeight="1">
      <c r="A278" s="61"/>
      <c r="B278" s="60"/>
      <c r="C278" s="65"/>
      <c r="D278" s="63"/>
      <c r="E278" s="75"/>
      <c r="F278" s="75"/>
      <c r="G278" s="67"/>
      <c r="H278" s="183" t="s">
        <v>50</v>
      </c>
      <c r="I278" s="8">
        <v>27</v>
      </c>
      <c r="J278" s="14">
        <v>8</v>
      </c>
      <c r="K278" s="14">
        <v>1</v>
      </c>
      <c r="L278" s="57" t="s">
        <v>601</v>
      </c>
      <c r="M278" s="58" t="s">
        <v>519</v>
      </c>
      <c r="N278" s="58" t="s">
        <v>545</v>
      </c>
      <c r="O278" s="58" t="s">
        <v>49</v>
      </c>
      <c r="P278" s="4"/>
      <c r="Q278" s="151">
        <f>Q279</f>
        <v>2673</v>
      </c>
      <c r="R278" s="151">
        <f>R279</f>
        <v>2673</v>
      </c>
      <c r="S278" s="282">
        <f t="shared" si="8"/>
        <v>1</v>
      </c>
    </row>
    <row r="279" spans="1:19" ht="27" customHeight="1">
      <c r="A279" s="61"/>
      <c r="B279" s="60"/>
      <c r="C279" s="65"/>
      <c r="D279" s="63"/>
      <c r="E279" s="75"/>
      <c r="F279" s="75"/>
      <c r="G279" s="67"/>
      <c r="H279" s="183" t="s">
        <v>638</v>
      </c>
      <c r="I279" s="8">
        <v>27</v>
      </c>
      <c r="J279" s="14">
        <v>8</v>
      </c>
      <c r="K279" s="14">
        <v>1</v>
      </c>
      <c r="L279" s="57" t="s">
        <v>601</v>
      </c>
      <c r="M279" s="58" t="s">
        <v>519</v>
      </c>
      <c r="N279" s="58" t="s">
        <v>545</v>
      </c>
      <c r="O279" s="58" t="s">
        <v>49</v>
      </c>
      <c r="P279" s="4">
        <v>610</v>
      </c>
      <c r="Q279" s="151">
        <v>2673</v>
      </c>
      <c r="R279" s="151">
        <v>2673</v>
      </c>
      <c r="S279" s="282">
        <f t="shared" si="8"/>
        <v>1</v>
      </c>
    </row>
    <row r="280" spans="1:19" ht="42" customHeight="1">
      <c r="A280" s="61"/>
      <c r="B280" s="60"/>
      <c r="C280" s="65"/>
      <c r="D280" s="63"/>
      <c r="E280" s="75"/>
      <c r="F280" s="75"/>
      <c r="G280" s="67"/>
      <c r="H280" s="3" t="s">
        <v>331</v>
      </c>
      <c r="I280" s="8">
        <v>27</v>
      </c>
      <c r="J280" s="14">
        <v>8</v>
      </c>
      <c r="K280" s="14">
        <v>1</v>
      </c>
      <c r="L280" s="57" t="s">
        <v>601</v>
      </c>
      <c r="M280" s="58" t="s">
        <v>519</v>
      </c>
      <c r="N280" s="58" t="s">
        <v>546</v>
      </c>
      <c r="O280" s="58" t="s">
        <v>556</v>
      </c>
      <c r="P280" s="4"/>
      <c r="Q280" s="151">
        <f>Q283+Q286+Q288+Q281</f>
        <v>14688.5</v>
      </c>
      <c r="R280" s="151">
        <f>R283+R286+R288+R281</f>
        <v>14688</v>
      </c>
      <c r="S280" s="282">
        <f t="shared" si="8"/>
        <v>0.9999659597644416</v>
      </c>
    </row>
    <row r="281" spans="1:19" ht="27" customHeight="1">
      <c r="A281" s="61"/>
      <c r="B281" s="60"/>
      <c r="C281" s="65"/>
      <c r="D281" s="63"/>
      <c r="E281" s="75"/>
      <c r="F281" s="75"/>
      <c r="G281" s="67"/>
      <c r="H281" s="3" t="s">
        <v>230</v>
      </c>
      <c r="I281" s="8">
        <v>27</v>
      </c>
      <c r="J281" s="14">
        <v>8</v>
      </c>
      <c r="K281" s="14">
        <v>1</v>
      </c>
      <c r="L281" s="57" t="s">
        <v>601</v>
      </c>
      <c r="M281" s="58" t="s">
        <v>519</v>
      </c>
      <c r="N281" s="58" t="s">
        <v>546</v>
      </c>
      <c r="O281" s="58" t="s">
        <v>231</v>
      </c>
      <c r="P281" s="4"/>
      <c r="Q281" s="151">
        <f>Q282</f>
        <v>2010</v>
      </c>
      <c r="R281" s="151">
        <f>R282</f>
        <v>2010</v>
      </c>
      <c r="S281" s="282">
        <f t="shared" si="8"/>
        <v>1</v>
      </c>
    </row>
    <row r="282" spans="1:19" ht="30" customHeight="1">
      <c r="A282" s="61"/>
      <c r="B282" s="60"/>
      <c r="C282" s="65"/>
      <c r="D282" s="63"/>
      <c r="E282" s="75"/>
      <c r="F282" s="75"/>
      <c r="G282" s="67"/>
      <c r="H282" s="3" t="s">
        <v>638</v>
      </c>
      <c r="I282" s="8">
        <v>27</v>
      </c>
      <c r="J282" s="14">
        <v>8</v>
      </c>
      <c r="K282" s="14">
        <v>1</v>
      </c>
      <c r="L282" s="57" t="s">
        <v>601</v>
      </c>
      <c r="M282" s="58" t="s">
        <v>519</v>
      </c>
      <c r="N282" s="58" t="s">
        <v>546</v>
      </c>
      <c r="O282" s="58" t="s">
        <v>231</v>
      </c>
      <c r="P282" s="4">
        <v>610</v>
      </c>
      <c r="Q282" s="151">
        <f>2200+2000-2200+10</f>
        <v>2010</v>
      </c>
      <c r="R282" s="151">
        <f>2200+2000-2200+10</f>
        <v>2010</v>
      </c>
      <c r="S282" s="282">
        <f t="shared" si="8"/>
        <v>1</v>
      </c>
    </row>
    <row r="283" spans="1:19" ht="24" customHeight="1">
      <c r="A283" s="61"/>
      <c r="B283" s="60"/>
      <c r="C283" s="65"/>
      <c r="D283" s="63"/>
      <c r="E283" s="75"/>
      <c r="F283" s="75"/>
      <c r="G283" s="67"/>
      <c r="H283" s="3" t="s">
        <v>612</v>
      </c>
      <c r="I283" s="8">
        <v>27</v>
      </c>
      <c r="J283" s="14">
        <v>8</v>
      </c>
      <c r="K283" s="14">
        <v>1</v>
      </c>
      <c r="L283" s="57" t="s">
        <v>601</v>
      </c>
      <c r="M283" s="58" t="s">
        <v>519</v>
      </c>
      <c r="N283" s="58" t="s">
        <v>546</v>
      </c>
      <c r="O283" s="58" t="s">
        <v>609</v>
      </c>
      <c r="P283" s="4"/>
      <c r="Q283" s="151">
        <f>Q285+Q284</f>
        <v>105</v>
      </c>
      <c r="R283" s="151">
        <f>R285+R284</f>
        <v>105</v>
      </c>
      <c r="S283" s="282">
        <f t="shared" si="8"/>
        <v>1</v>
      </c>
    </row>
    <row r="284" spans="1:19" ht="24" customHeight="1">
      <c r="A284" s="61"/>
      <c r="B284" s="60"/>
      <c r="C284" s="65"/>
      <c r="D284" s="69"/>
      <c r="E284" s="66"/>
      <c r="F284" s="66"/>
      <c r="G284" s="67"/>
      <c r="H284" s="3" t="s">
        <v>763</v>
      </c>
      <c r="I284" s="8">
        <v>27</v>
      </c>
      <c r="J284" s="14">
        <v>8</v>
      </c>
      <c r="K284" s="14">
        <v>1</v>
      </c>
      <c r="L284" s="57" t="s">
        <v>601</v>
      </c>
      <c r="M284" s="58" t="s">
        <v>519</v>
      </c>
      <c r="N284" s="58" t="s">
        <v>546</v>
      </c>
      <c r="O284" s="58" t="s">
        <v>609</v>
      </c>
      <c r="P284" s="4">
        <v>350</v>
      </c>
      <c r="Q284" s="151">
        <v>35</v>
      </c>
      <c r="R284" s="151">
        <v>35</v>
      </c>
      <c r="S284" s="282">
        <f t="shared" si="8"/>
        <v>1</v>
      </c>
    </row>
    <row r="285" spans="1:19" ht="27.75" customHeight="1">
      <c r="A285" s="61"/>
      <c r="B285" s="60"/>
      <c r="C285" s="65"/>
      <c r="D285" s="69"/>
      <c r="E285" s="66"/>
      <c r="F285" s="66"/>
      <c r="G285" s="67"/>
      <c r="H285" s="3" t="s">
        <v>638</v>
      </c>
      <c r="I285" s="11">
        <v>27</v>
      </c>
      <c r="J285" s="14">
        <v>8</v>
      </c>
      <c r="K285" s="14">
        <v>1</v>
      </c>
      <c r="L285" s="57" t="s">
        <v>601</v>
      </c>
      <c r="M285" s="58" t="s">
        <v>519</v>
      </c>
      <c r="N285" s="58" t="s">
        <v>546</v>
      </c>
      <c r="O285" s="58" t="s">
        <v>609</v>
      </c>
      <c r="P285" s="4">
        <v>610</v>
      </c>
      <c r="Q285" s="151">
        <f>200+20-150</f>
        <v>70</v>
      </c>
      <c r="R285" s="151">
        <f>200+20-150</f>
        <v>70</v>
      </c>
      <c r="S285" s="282">
        <f t="shared" si="8"/>
        <v>1</v>
      </c>
    </row>
    <row r="286" spans="1:19" ht="26.25" customHeight="1">
      <c r="A286" s="61"/>
      <c r="B286" s="60"/>
      <c r="C286" s="65"/>
      <c r="D286" s="69"/>
      <c r="E286" s="66"/>
      <c r="F286" s="66"/>
      <c r="G286" s="67"/>
      <c r="H286" s="3" t="s">
        <v>262</v>
      </c>
      <c r="I286" s="11">
        <v>27</v>
      </c>
      <c r="J286" s="14">
        <v>8</v>
      </c>
      <c r="K286" s="14">
        <v>1</v>
      </c>
      <c r="L286" s="57" t="s">
        <v>601</v>
      </c>
      <c r="M286" s="58" t="s">
        <v>519</v>
      </c>
      <c r="N286" s="58" t="s">
        <v>546</v>
      </c>
      <c r="O286" s="58" t="s">
        <v>263</v>
      </c>
      <c r="P286" s="4"/>
      <c r="Q286" s="151">
        <f>Q287</f>
        <v>10523</v>
      </c>
      <c r="R286" s="151">
        <f>R287</f>
        <v>10523</v>
      </c>
      <c r="S286" s="282">
        <f t="shared" si="8"/>
        <v>1</v>
      </c>
    </row>
    <row r="287" spans="1:19" ht="27.75" customHeight="1">
      <c r="A287" s="61"/>
      <c r="B287" s="60"/>
      <c r="C287" s="65"/>
      <c r="D287" s="71"/>
      <c r="E287" s="66"/>
      <c r="F287" s="66"/>
      <c r="G287" s="67">
        <v>850</v>
      </c>
      <c r="H287" s="15" t="s">
        <v>638</v>
      </c>
      <c r="I287" s="11">
        <v>27</v>
      </c>
      <c r="J287" s="14">
        <v>8</v>
      </c>
      <c r="K287" s="14">
        <v>1</v>
      </c>
      <c r="L287" s="57" t="s">
        <v>601</v>
      </c>
      <c r="M287" s="58" t="s">
        <v>519</v>
      </c>
      <c r="N287" s="58" t="s">
        <v>546</v>
      </c>
      <c r="O287" s="58" t="s">
        <v>263</v>
      </c>
      <c r="P287" s="4">
        <v>610</v>
      </c>
      <c r="Q287" s="151">
        <f>13000+25+350-30.8+399.1-3124.6-95.7</f>
        <v>10523</v>
      </c>
      <c r="R287" s="151">
        <f>13000+25+350-30.8+399.1-3124.6-95.7</f>
        <v>10523</v>
      </c>
      <c r="S287" s="282">
        <f t="shared" si="8"/>
        <v>1</v>
      </c>
    </row>
    <row r="288" spans="1:19" ht="27.75" customHeight="1">
      <c r="A288" s="61"/>
      <c r="B288" s="60"/>
      <c r="C288" s="59"/>
      <c r="D288" s="71"/>
      <c r="E288" s="66"/>
      <c r="F288" s="66"/>
      <c r="G288" s="51"/>
      <c r="H288" s="15" t="s">
        <v>99</v>
      </c>
      <c r="I288" s="11">
        <v>27</v>
      </c>
      <c r="J288" s="14">
        <v>8</v>
      </c>
      <c r="K288" s="14">
        <v>1</v>
      </c>
      <c r="L288" s="57" t="s">
        <v>601</v>
      </c>
      <c r="M288" s="58" t="s">
        <v>519</v>
      </c>
      <c r="N288" s="58" t="s">
        <v>79</v>
      </c>
      <c r="O288" s="58" t="s">
        <v>556</v>
      </c>
      <c r="P288" s="8"/>
      <c r="Q288" s="150">
        <f>Q289</f>
        <v>2050.5</v>
      </c>
      <c r="R288" s="150">
        <f>R289</f>
        <v>2050</v>
      </c>
      <c r="S288" s="282">
        <f t="shared" si="8"/>
        <v>0.9997561570348695</v>
      </c>
    </row>
    <row r="289" spans="1:19" ht="33.75" customHeight="1">
      <c r="A289" s="61"/>
      <c r="B289" s="60"/>
      <c r="C289" s="59"/>
      <c r="D289" s="283">
        <v>4360000</v>
      </c>
      <c r="E289" s="284"/>
      <c r="F289" s="284"/>
      <c r="G289" s="51">
        <v>340</v>
      </c>
      <c r="H289" s="230" t="s">
        <v>710</v>
      </c>
      <c r="I289" s="8">
        <v>27</v>
      </c>
      <c r="J289" s="14">
        <v>8</v>
      </c>
      <c r="K289" s="14">
        <v>1</v>
      </c>
      <c r="L289" s="57" t="s">
        <v>601</v>
      </c>
      <c r="M289" s="58" t="s">
        <v>519</v>
      </c>
      <c r="N289" s="58" t="s">
        <v>79</v>
      </c>
      <c r="O289" s="58" t="s">
        <v>709</v>
      </c>
      <c r="P289" s="8"/>
      <c r="Q289" s="150">
        <f>Q290</f>
        <v>2050.5</v>
      </c>
      <c r="R289" s="150">
        <f>R290</f>
        <v>2050</v>
      </c>
      <c r="S289" s="282">
        <f t="shared" si="8"/>
        <v>0.9997561570348695</v>
      </c>
    </row>
    <row r="290" spans="1:19" ht="20.25" customHeight="1">
      <c r="A290" s="61"/>
      <c r="B290" s="60"/>
      <c r="C290" s="59"/>
      <c r="D290" s="63"/>
      <c r="E290" s="62"/>
      <c r="F290" s="62"/>
      <c r="G290" s="51"/>
      <c r="H290" s="3" t="s">
        <v>638</v>
      </c>
      <c r="I290" s="11">
        <v>27</v>
      </c>
      <c r="J290" s="14">
        <v>8</v>
      </c>
      <c r="K290" s="14">
        <v>1</v>
      </c>
      <c r="L290" s="57" t="s">
        <v>601</v>
      </c>
      <c r="M290" s="58" t="s">
        <v>519</v>
      </c>
      <c r="N290" s="58" t="s">
        <v>79</v>
      </c>
      <c r="O290" s="58" t="s">
        <v>709</v>
      </c>
      <c r="P290" s="8">
        <v>610</v>
      </c>
      <c r="Q290" s="150">
        <f>2600+60+30.8-10-606.8-23.5</f>
        <v>2050.5</v>
      </c>
      <c r="R290" s="150">
        <v>2050</v>
      </c>
      <c r="S290" s="282">
        <f t="shared" si="8"/>
        <v>0.9997561570348695</v>
      </c>
    </row>
    <row r="291" spans="1:19" s="135" customFormat="1" ht="21" customHeight="1">
      <c r="A291" s="101"/>
      <c r="B291" s="102"/>
      <c r="C291" s="112"/>
      <c r="D291" s="109"/>
      <c r="E291" s="113"/>
      <c r="F291" s="113"/>
      <c r="G291" s="114"/>
      <c r="H291" s="108" t="s">
        <v>558</v>
      </c>
      <c r="I291" s="97">
        <v>27</v>
      </c>
      <c r="J291" s="98">
        <v>9</v>
      </c>
      <c r="K291" s="98" t="s">
        <v>557</v>
      </c>
      <c r="L291" s="99"/>
      <c r="M291" s="100"/>
      <c r="N291" s="100"/>
      <c r="O291" s="100"/>
      <c r="P291" s="105"/>
      <c r="Q291" s="152">
        <f aca="true" t="shared" si="9" ref="Q291:R293">Q292</f>
        <v>77.2</v>
      </c>
      <c r="R291" s="152">
        <f t="shared" si="9"/>
        <v>77.2</v>
      </c>
      <c r="S291" s="282">
        <f t="shared" si="8"/>
        <v>1</v>
      </c>
    </row>
    <row r="292" spans="1:19" s="135" customFormat="1" ht="21" customHeight="1">
      <c r="A292" s="101"/>
      <c r="B292" s="102"/>
      <c r="C292" s="112"/>
      <c r="D292" s="109"/>
      <c r="E292" s="113"/>
      <c r="F292" s="113"/>
      <c r="G292" s="114"/>
      <c r="H292" s="108" t="s">
        <v>523</v>
      </c>
      <c r="I292" s="105">
        <v>27</v>
      </c>
      <c r="J292" s="98">
        <v>9</v>
      </c>
      <c r="K292" s="98">
        <v>7</v>
      </c>
      <c r="L292" s="98" t="s">
        <v>491</v>
      </c>
      <c r="M292" s="100" t="s">
        <v>491</v>
      </c>
      <c r="N292" s="100"/>
      <c r="O292" s="100" t="s">
        <v>491</v>
      </c>
      <c r="P292" s="105"/>
      <c r="Q292" s="149">
        <f t="shared" si="9"/>
        <v>77.2</v>
      </c>
      <c r="R292" s="149">
        <f t="shared" si="9"/>
        <v>77.2</v>
      </c>
      <c r="S292" s="282">
        <f t="shared" si="8"/>
        <v>1</v>
      </c>
    </row>
    <row r="293" spans="1:19" ht="48" customHeight="1">
      <c r="A293" s="61"/>
      <c r="B293" s="60"/>
      <c r="C293" s="65"/>
      <c r="D293" s="63"/>
      <c r="E293" s="75"/>
      <c r="F293" s="75"/>
      <c r="G293" s="67"/>
      <c r="H293" s="31" t="s">
        <v>635</v>
      </c>
      <c r="I293" s="4">
        <v>27</v>
      </c>
      <c r="J293" s="14">
        <v>9</v>
      </c>
      <c r="K293" s="14">
        <v>7</v>
      </c>
      <c r="L293" s="14">
        <v>91</v>
      </c>
      <c r="M293" s="58" t="s">
        <v>519</v>
      </c>
      <c r="N293" s="58" t="s">
        <v>539</v>
      </c>
      <c r="O293" s="58" t="s">
        <v>586</v>
      </c>
      <c r="P293" s="4"/>
      <c r="Q293" s="150">
        <f t="shared" si="9"/>
        <v>77.2</v>
      </c>
      <c r="R293" s="150">
        <f t="shared" si="9"/>
        <v>77.2</v>
      </c>
      <c r="S293" s="282">
        <f t="shared" si="8"/>
        <v>1</v>
      </c>
    </row>
    <row r="294" spans="1:19" ht="27" customHeight="1">
      <c r="A294" s="61"/>
      <c r="B294" s="60"/>
      <c r="C294" s="65"/>
      <c r="D294" s="63"/>
      <c r="E294" s="75"/>
      <c r="F294" s="75"/>
      <c r="G294" s="67"/>
      <c r="H294" s="31" t="s">
        <v>636</v>
      </c>
      <c r="I294" s="4">
        <v>27</v>
      </c>
      <c r="J294" s="14">
        <v>9</v>
      </c>
      <c r="K294" s="14">
        <v>7</v>
      </c>
      <c r="L294" s="14">
        <v>91</v>
      </c>
      <c r="M294" s="58" t="s">
        <v>519</v>
      </c>
      <c r="N294" s="58" t="s">
        <v>539</v>
      </c>
      <c r="O294" s="58" t="s">
        <v>586</v>
      </c>
      <c r="P294" s="4">
        <v>240</v>
      </c>
      <c r="Q294" s="150">
        <f>81.3-4.1</f>
        <v>77.2</v>
      </c>
      <c r="R294" s="150">
        <f>81.3-4.1</f>
        <v>77.2</v>
      </c>
      <c r="S294" s="282">
        <f t="shared" si="8"/>
        <v>1</v>
      </c>
    </row>
    <row r="295" spans="1:19" s="135" customFormat="1" ht="24" customHeight="1">
      <c r="A295" s="101"/>
      <c r="B295" s="102"/>
      <c r="C295" s="112"/>
      <c r="D295" s="109"/>
      <c r="E295" s="113"/>
      <c r="F295" s="113"/>
      <c r="G295" s="114">
        <v>321</v>
      </c>
      <c r="H295" s="108" t="s">
        <v>498</v>
      </c>
      <c r="I295" s="111">
        <v>27</v>
      </c>
      <c r="J295" s="115">
        <v>10</v>
      </c>
      <c r="K295" s="98"/>
      <c r="L295" s="99"/>
      <c r="M295" s="100"/>
      <c r="N295" s="100"/>
      <c r="O295" s="100"/>
      <c r="P295" s="105"/>
      <c r="Q295" s="152">
        <f>Q296+Q299+Q311</f>
        <v>6530.8</v>
      </c>
      <c r="R295" s="152">
        <f>R296+R299+R311</f>
        <v>6437.299999999999</v>
      </c>
      <c r="S295" s="282">
        <f t="shared" si="8"/>
        <v>0.9856832241073068</v>
      </c>
    </row>
    <row r="296" spans="1:19" s="135" customFormat="1" ht="18.75" customHeight="1">
      <c r="A296" s="101"/>
      <c r="B296" s="102"/>
      <c r="C296" s="112"/>
      <c r="D296" s="109"/>
      <c r="E296" s="113"/>
      <c r="F296" s="113"/>
      <c r="G296" s="114">
        <v>612</v>
      </c>
      <c r="H296" s="108" t="s">
        <v>342</v>
      </c>
      <c r="I296" s="111">
        <v>27</v>
      </c>
      <c r="J296" s="115">
        <v>10</v>
      </c>
      <c r="K296" s="98">
        <v>1</v>
      </c>
      <c r="L296" s="99"/>
      <c r="M296" s="100"/>
      <c r="N296" s="100"/>
      <c r="O296" s="100"/>
      <c r="P296" s="105"/>
      <c r="Q296" s="152">
        <f>Q297</f>
        <v>1849.5</v>
      </c>
      <c r="R296" s="152">
        <f>R297</f>
        <v>1775.6</v>
      </c>
      <c r="S296" s="282">
        <f t="shared" si="8"/>
        <v>0.9600432549337659</v>
      </c>
    </row>
    <row r="297" spans="1:19" ht="30.75" customHeight="1">
      <c r="A297" s="61"/>
      <c r="B297" s="60"/>
      <c r="C297" s="65"/>
      <c r="D297" s="63"/>
      <c r="E297" s="285">
        <v>4360400</v>
      </c>
      <c r="F297" s="285"/>
      <c r="G297" s="51">
        <v>340</v>
      </c>
      <c r="H297" s="9" t="s">
        <v>272</v>
      </c>
      <c r="I297" s="4">
        <v>27</v>
      </c>
      <c r="J297" s="18">
        <v>10</v>
      </c>
      <c r="K297" s="14">
        <v>1</v>
      </c>
      <c r="L297" s="57" t="s">
        <v>536</v>
      </c>
      <c r="M297" s="58" t="s">
        <v>519</v>
      </c>
      <c r="N297" s="58" t="s">
        <v>539</v>
      </c>
      <c r="O297" s="58" t="s">
        <v>273</v>
      </c>
      <c r="P297" s="8"/>
      <c r="Q297" s="150">
        <f>Q298</f>
        <v>1849.5</v>
      </c>
      <c r="R297" s="150">
        <f>R298</f>
        <v>1775.6</v>
      </c>
      <c r="S297" s="282">
        <f t="shared" si="8"/>
        <v>0.9600432549337659</v>
      </c>
    </row>
    <row r="298" spans="1:19" ht="30.75" customHeight="1">
      <c r="A298" s="61"/>
      <c r="B298" s="60"/>
      <c r="C298" s="65"/>
      <c r="D298" s="69"/>
      <c r="E298" s="66"/>
      <c r="F298" s="66"/>
      <c r="G298" s="51"/>
      <c r="H298" s="9" t="s">
        <v>641</v>
      </c>
      <c r="I298" s="4">
        <v>27</v>
      </c>
      <c r="J298" s="18">
        <v>10</v>
      </c>
      <c r="K298" s="14">
        <v>1</v>
      </c>
      <c r="L298" s="81" t="s">
        <v>536</v>
      </c>
      <c r="M298" s="82" t="s">
        <v>519</v>
      </c>
      <c r="N298" s="82" t="s">
        <v>539</v>
      </c>
      <c r="O298" s="82" t="s">
        <v>273</v>
      </c>
      <c r="P298" s="8">
        <v>320</v>
      </c>
      <c r="Q298" s="150">
        <f>2058-208.5</f>
        <v>1849.5</v>
      </c>
      <c r="R298" s="150">
        <v>1775.6</v>
      </c>
      <c r="S298" s="282">
        <f t="shared" si="8"/>
        <v>0.9600432549337659</v>
      </c>
    </row>
    <row r="299" spans="1:19" s="135" customFormat="1" ht="27" customHeight="1">
      <c r="A299" s="101"/>
      <c r="B299" s="102"/>
      <c r="C299" s="101"/>
      <c r="D299" s="286">
        <v>4520000</v>
      </c>
      <c r="E299" s="286"/>
      <c r="F299" s="286"/>
      <c r="G299" s="95">
        <v>612</v>
      </c>
      <c r="H299" s="231" t="s">
        <v>497</v>
      </c>
      <c r="I299" s="97">
        <v>27</v>
      </c>
      <c r="J299" s="98">
        <v>10</v>
      </c>
      <c r="K299" s="98">
        <v>3</v>
      </c>
      <c r="L299" s="99"/>
      <c r="M299" s="100"/>
      <c r="N299" s="100"/>
      <c r="O299" s="173"/>
      <c r="P299" s="111"/>
      <c r="Q299" s="153">
        <f>Q300+Q304</f>
        <v>3331.8</v>
      </c>
      <c r="R299" s="153">
        <f>R300+R304</f>
        <v>3312.2</v>
      </c>
      <c r="S299" s="282">
        <f t="shared" si="8"/>
        <v>0.9941172939552193</v>
      </c>
    </row>
    <row r="300" spans="1:19" ht="27" customHeight="1">
      <c r="A300" s="61"/>
      <c r="B300" s="60"/>
      <c r="C300" s="59"/>
      <c r="D300" s="69"/>
      <c r="E300" s="64"/>
      <c r="F300" s="64"/>
      <c r="G300" s="51"/>
      <c r="H300" s="143" t="s">
        <v>604</v>
      </c>
      <c r="I300" s="22">
        <v>27</v>
      </c>
      <c r="J300" s="83">
        <v>10</v>
      </c>
      <c r="K300" s="23">
        <v>3</v>
      </c>
      <c r="L300" s="84" t="s">
        <v>603</v>
      </c>
      <c r="M300" s="85" t="s">
        <v>519</v>
      </c>
      <c r="N300" s="85" t="s">
        <v>539</v>
      </c>
      <c r="O300" s="85" t="s">
        <v>556</v>
      </c>
      <c r="P300" s="4"/>
      <c r="Q300" s="150">
        <f aca="true" t="shared" si="10" ref="Q300:R302">Q301</f>
        <v>1021.8</v>
      </c>
      <c r="R300" s="150">
        <f t="shared" si="10"/>
        <v>1021.8</v>
      </c>
      <c r="S300" s="282">
        <f t="shared" si="8"/>
        <v>1</v>
      </c>
    </row>
    <row r="301" spans="1:19" ht="29.25" customHeight="1">
      <c r="A301" s="61"/>
      <c r="B301" s="60"/>
      <c r="C301" s="59"/>
      <c r="D301" s="69"/>
      <c r="E301" s="64"/>
      <c r="F301" s="64"/>
      <c r="G301" s="51"/>
      <c r="H301" s="143" t="s">
        <v>613</v>
      </c>
      <c r="I301" s="22">
        <v>27</v>
      </c>
      <c r="J301" s="83">
        <v>10</v>
      </c>
      <c r="K301" s="23">
        <v>3</v>
      </c>
      <c r="L301" s="84" t="s">
        <v>603</v>
      </c>
      <c r="M301" s="85" t="s">
        <v>519</v>
      </c>
      <c r="N301" s="85" t="s">
        <v>544</v>
      </c>
      <c r="O301" s="85" t="s">
        <v>556</v>
      </c>
      <c r="P301" s="4"/>
      <c r="Q301" s="150">
        <f t="shared" si="10"/>
        <v>1021.8</v>
      </c>
      <c r="R301" s="150">
        <f t="shared" si="10"/>
        <v>1021.8</v>
      </c>
      <c r="S301" s="282">
        <f t="shared" si="8"/>
        <v>1</v>
      </c>
    </row>
    <row r="302" spans="1:19" ht="21.75" customHeight="1">
      <c r="A302" s="61"/>
      <c r="B302" s="60"/>
      <c r="C302" s="59"/>
      <c r="D302" s="69"/>
      <c r="E302" s="64"/>
      <c r="F302" s="64"/>
      <c r="G302" s="51"/>
      <c r="H302" s="143" t="s">
        <v>614</v>
      </c>
      <c r="I302" s="22">
        <v>27</v>
      </c>
      <c r="J302" s="83">
        <v>10</v>
      </c>
      <c r="K302" s="23">
        <v>3</v>
      </c>
      <c r="L302" s="84" t="s">
        <v>603</v>
      </c>
      <c r="M302" s="85" t="s">
        <v>519</v>
      </c>
      <c r="N302" s="85" t="s">
        <v>544</v>
      </c>
      <c r="O302" s="85" t="s">
        <v>240</v>
      </c>
      <c r="P302" s="4"/>
      <c r="Q302" s="150">
        <f t="shared" si="10"/>
        <v>1021.8</v>
      </c>
      <c r="R302" s="150">
        <f t="shared" si="10"/>
        <v>1021.8</v>
      </c>
      <c r="S302" s="282">
        <f t="shared" si="8"/>
        <v>1</v>
      </c>
    </row>
    <row r="303" spans="1:19" ht="29.25" customHeight="1">
      <c r="A303" s="61"/>
      <c r="B303" s="60"/>
      <c r="C303" s="59"/>
      <c r="D303" s="69"/>
      <c r="E303" s="64"/>
      <c r="F303" s="64"/>
      <c r="G303" s="51"/>
      <c r="H303" s="31" t="s">
        <v>641</v>
      </c>
      <c r="I303" s="22">
        <v>27</v>
      </c>
      <c r="J303" s="83">
        <v>10</v>
      </c>
      <c r="K303" s="23">
        <v>3</v>
      </c>
      <c r="L303" s="84" t="s">
        <v>603</v>
      </c>
      <c r="M303" s="85" t="s">
        <v>519</v>
      </c>
      <c r="N303" s="85" t="s">
        <v>544</v>
      </c>
      <c r="O303" s="85" t="s">
        <v>240</v>
      </c>
      <c r="P303" s="4">
        <v>320</v>
      </c>
      <c r="Q303" s="150">
        <f>270.8+751</f>
        <v>1021.8</v>
      </c>
      <c r="R303" s="150">
        <f>270.8+751</f>
        <v>1021.8</v>
      </c>
      <c r="S303" s="282">
        <f t="shared" si="8"/>
        <v>1</v>
      </c>
    </row>
    <row r="304" spans="1:19" ht="29.25" customHeight="1">
      <c r="A304" s="61"/>
      <c r="B304" s="60"/>
      <c r="C304" s="59"/>
      <c r="D304" s="69"/>
      <c r="E304" s="64"/>
      <c r="F304" s="64"/>
      <c r="G304" s="51"/>
      <c r="H304" s="31" t="s">
        <v>267</v>
      </c>
      <c r="I304" s="22">
        <v>27</v>
      </c>
      <c r="J304" s="83">
        <v>10</v>
      </c>
      <c r="K304" s="23">
        <v>3</v>
      </c>
      <c r="L304" s="84" t="s">
        <v>536</v>
      </c>
      <c r="M304" s="85" t="s">
        <v>519</v>
      </c>
      <c r="N304" s="85" t="s">
        <v>539</v>
      </c>
      <c r="O304" s="85" t="s">
        <v>556</v>
      </c>
      <c r="P304" s="4"/>
      <c r="Q304" s="151">
        <f>Q305+Q307+Q309</f>
        <v>2310</v>
      </c>
      <c r="R304" s="151">
        <f>R305+R307+R309</f>
        <v>2290.4</v>
      </c>
      <c r="S304" s="282">
        <f t="shared" si="8"/>
        <v>0.9915151515151516</v>
      </c>
    </row>
    <row r="305" spans="1:19" ht="57.75" customHeight="1">
      <c r="A305" s="61"/>
      <c r="B305" s="60"/>
      <c r="C305" s="59"/>
      <c r="D305" s="283">
        <v>5220000</v>
      </c>
      <c r="E305" s="284"/>
      <c r="F305" s="284"/>
      <c r="G305" s="51">
        <v>612</v>
      </c>
      <c r="H305" s="9" t="s">
        <v>496</v>
      </c>
      <c r="I305" s="4">
        <v>27</v>
      </c>
      <c r="J305" s="18">
        <v>10</v>
      </c>
      <c r="K305" s="14">
        <v>3</v>
      </c>
      <c r="L305" s="57" t="s">
        <v>536</v>
      </c>
      <c r="M305" s="58" t="s">
        <v>519</v>
      </c>
      <c r="N305" s="58" t="s">
        <v>539</v>
      </c>
      <c r="O305" s="86" t="s">
        <v>587</v>
      </c>
      <c r="P305" s="6"/>
      <c r="Q305" s="151">
        <f>Q306</f>
        <v>1294</v>
      </c>
      <c r="R305" s="151">
        <f>R306</f>
        <v>1293.5</v>
      </c>
      <c r="S305" s="282">
        <f t="shared" si="8"/>
        <v>0.999613601236476</v>
      </c>
    </row>
    <row r="306" spans="1:19" ht="28.5" customHeight="1">
      <c r="A306" s="61"/>
      <c r="B306" s="60"/>
      <c r="C306" s="59"/>
      <c r="D306" s="63"/>
      <c r="E306" s="62"/>
      <c r="F306" s="62"/>
      <c r="G306" s="51"/>
      <c r="H306" s="9" t="s">
        <v>641</v>
      </c>
      <c r="I306" s="4">
        <v>27</v>
      </c>
      <c r="J306" s="18">
        <v>10</v>
      </c>
      <c r="K306" s="14">
        <v>3</v>
      </c>
      <c r="L306" s="57" t="s">
        <v>536</v>
      </c>
      <c r="M306" s="58" t="s">
        <v>519</v>
      </c>
      <c r="N306" s="58" t="s">
        <v>539</v>
      </c>
      <c r="O306" s="86" t="s">
        <v>587</v>
      </c>
      <c r="P306" s="11">
        <v>320</v>
      </c>
      <c r="Q306" s="150">
        <f>1273.5+10.5+10</f>
        <v>1294</v>
      </c>
      <c r="R306" s="150">
        <v>1293.5</v>
      </c>
      <c r="S306" s="282">
        <f t="shared" si="8"/>
        <v>0.999613601236476</v>
      </c>
    </row>
    <row r="307" spans="1:19" ht="42" customHeight="1">
      <c r="A307" s="61"/>
      <c r="B307" s="60"/>
      <c r="C307" s="65"/>
      <c r="D307" s="63"/>
      <c r="E307" s="75"/>
      <c r="F307" s="75"/>
      <c r="G307" s="51"/>
      <c r="H307" s="9" t="s">
        <v>265</v>
      </c>
      <c r="I307" s="8">
        <v>27</v>
      </c>
      <c r="J307" s="5">
        <v>10</v>
      </c>
      <c r="K307" s="14">
        <v>3</v>
      </c>
      <c r="L307" s="57" t="s">
        <v>536</v>
      </c>
      <c r="M307" s="58" t="s">
        <v>519</v>
      </c>
      <c r="N307" s="58" t="s">
        <v>539</v>
      </c>
      <c r="O307" s="58" t="s">
        <v>264</v>
      </c>
      <c r="P307" s="8"/>
      <c r="Q307" s="150">
        <f>Q308</f>
        <v>642</v>
      </c>
      <c r="R307" s="150">
        <f>R308</f>
        <v>641.9</v>
      </c>
      <c r="S307" s="282">
        <f t="shared" si="8"/>
        <v>0.9998442367601246</v>
      </c>
    </row>
    <row r="308" spans="1:19" ht="32.25" customHeight="1">
      <c r="A308" s="61"/>
      <c r="B308" s="60"/>
      <c r="C308" s="65"/>
      <c r="D308" s="63"/>
      <c r="E308" s="75"/>
      <c r="F308" s="75"/>
      <c r="G308" s="51"/>
      <c r="H308" s="9" t="s">
        <v>641</v>
      </c>
      <c r="I308" s="8">
        <v>27</v>
      </c>
      <c r="J308" s="5">
        <v>10</v>
      </c>
      <c r="K308" s="14">
        <v>3</v>
      </c>
      <c r="L308" s="57" t="s">
        <v>536</v>
      </c>
      <c r="M308" s="58" t="s">
        <v>519</v>
      </c>
      <c r="N308" s="58" t="s">
        <v>539</v>
      </c>
      <c r="O308" s="58" t="s">
        <v>264</v>
      </c>
      <c r="P308" s="8">
        <v>320</v>
      </c>
      <c r="Q308" s="150">
        <f>636.8+5.2</f>
        <v>642</v>
      </c>
      <c r="R308" s="150">
        <v>641.9</v>
      </c>
      <c r="S308" s="282">
        <f t="shared" si="8"/>
        <v>0.9998442367601246</v>
      </c>
    </row>
    <row r="309" spans="1:19" ht="27" customHeight="1">
      <c r="A309" s="61"/>
      <c r="B309" s="60"/>
      <c r="C309" s="65"/>
      <c r="D309" s="63"/>
      <c r="E309" s="75"/>
      <c r="F309" s="75"/>
      <c r="G309" s="51"/>
      <c r="H309" s="3" t="s">
        <v>275</v>
      </c>
      <c r="I309" s="4">
        <v>27</v>
      </c>
      <c r="J309" s="16">
        <v>10</v>
      </c>
      <c r="K309" s="14">
        <v>3</v>
      </c>
      <c r="L309" s="57" t="s">
        <v>536</v>
      </c>
      <c r="M309" s="58" t="s">
        <v>519</v>
      </c>
      <c r="N309" s="58" t="s">
        <v>539</v>
      </c>
      <c r="O309" s="58" t="s">
        <v>274</v>
      </c>
      <c r="P309" s="4"/>
      <c r="Q309" s="150">
        <f>Q310</f>
        <v>374</v>
      </c>
      <c r="R309" s="150">
        <f>R310</f>
        <v>355</v>
      </c>
      <c r="S309" s="282">
        <f t="shared" si="8"/>
        <v>0.9491978609625669</v>
      </c>
    </row>
    <row r="310" spans="1:19" ht="27" customHeight="1">
      <c r="A310" s="61"/>
      <c r="B310" s="60"/>
      <c r="C310" s="65"/>
      <c r="D310" s="63"/>
      <c r="E310" s="75"/>
      <c r="F310" s="75"/>
      <c r="G310" s="51"/>
      <c r="H310" s="3" t="s">
        <v>640</v>
      </c>
      <c r="I310" s="6">
        <v>27</v>
      </c>
      <c r="J310" s="16">
        <v>10</v>
      </c>
      <c r="K310" s="14">
        <v>3</v>
      </c>
      <c r="L310" s="57" t="s">
        <v>536</v>
      </c>
      <c r="M310" s="58" t="s">
        <v>519</v>
      </c>
      <c r="N310" s="58" t="s">
        <v>539</v>
      </c>
      <c r="O310" s="58" t="s">
        <v>274</v>
      </c>
      <c r="P310" s="4">
        <v>310</v>
      </c>
      <c r="Q310" s="150">
        <v>374</v>
      </c>
      <c r="R310" s="150">
        <v>355</v>
      </c>
      <c r="S310" s="282">
        <f t="shared" si="8"/>
        <v>0.9491978609625669</v>
      </c>
    </row>
    <row r="311" spans="1:19" s="135" customFormat="1" ht="25.5" customHeight="1">
      <c r="A311" s="101"/>
      <c r="B311" s="102"/>
      <c r="C311" s="112"/>
      <c r="D311" s="109"/>
      <c r="E311" s="104"/>
      <c r="F311" s="104"/>
      <c r="G311" s="114">
        <v>622</v>
      </c>
      <c r="H311" s="108" t="s">
        <v>495</v>
      </c>
      <c r="I311" s="111">
        <v>27</v>
      </c>
      <c r="J311" s="115">
        <v>10</v>
      </c>
      <c r="K311" s="98">
        <v>6</v>
      </c>
      <c r="L311" s="141"/>
      <c r="M311" s="142"/>
      <c r="N311" s="142"/>
      <c r="O311" s="142"/>
      <c r="P311" s="105"/>
      <c r="Q311" s="152">
        <f>Q312</f>
        <v>1349.5</v>
      </c>
      <c r="R311" s="152">
        <f>R312</f>
        <v>1349.5</v>
      </c>
      <c r="S311" s="282">
        <f t="shared" si="8"/>
        <v>1</v>
      </c>
    </row>
    <row r="312" spans="1:19" s="135" customFormat="1" ht="25.5" customHeight="1">
      <c r="A312" s="101"/>
      <c r="B312" s="102"/>
      <c r="C312" s="112"/>
      <c r="D312" s="109"/>
      <c r="E312" s="104"/>
      <c r="F312" s="104"/>
      <c r="G312" s="95"/>
      <c r="H312" s="9" t="s">
        <v>267</v>
      </c>
      <c r="I312" s="4">
        <v>27</v>
      </c>
      <c r="J312" s="16">
        <v>10</v>
      </c>
      <c r="K312" s="14">
        <v>6</v>
      </c>
      <c r="L312" s="84" t="s">
        <v>536</v>
      </c>
      <c r="M312" s="85" t="s">
        <v>519</v>
      </c>
      <c r="N312" s="85" t="s">
        <v>539</v>
      </c>
      <c r="O312" s="85" t="s">
        <v>556</v>
      </c>
      <c r="P312" s="4"/>
      <c r="Q312" s="151">
        <f>Q313+Q315+Q318</f>
        <v>1349.5</v>
      </c>
      <c r="R312" s="151">
        <f>R313+R315+R318</f>
        <v>1349.5</v>
      </c>
      <c r="S312" s="282">
        <f t="shared" si="8"/>
        <v>1</v>
      </c>
    </row>
    <row r="313" spans="1:19" ht="30.75" customHeight="1">
      <c r="A313" s="61"/>
      <c r="B313" s="60"/>
      <c r="C313" s="65"/>
      <c r="D313" s="63"/>
      <c r="E313" s="285">
        <v>5225700</v>
      </c>
      <c r="F313" s="285"/>
      <c r="G313" s="51">
        <v>612</v>
      </c>
      <c r="H313" s="9" t="s">
        <v>43</v>
      </c>
      <c r="I313" s="8">
        <v>27</v>
      </c>
      <c r="J313" s="14">
        <v>10</v>
      </c>
      <c r="K313" s="14">
        <v>6</v>
      </c>
      <c r="L313" s="57" t="s">
        <v>536</v>
      </c>
      <c r="M313" s="58" t="s">
        <v>519</v>
      </c>
      <c r="N313" s="58" t="s">
        <v>539</v>
      </c>
      <c r="O313" s="58" t="s">
        <v>42</v>
      </c>
      <c r="P313" s="4"/>
      <c r="Q313" s="151">
        <f>Q314</f>
        <v>45</v>
      </c>
      <c r="R313" s="151">
        <f>R314</f>
        <v>45</v>
      </c>
      <c r="S313" s="282">
        <f t="shared" si="8"/>
        <v>1</v>
      </c>
    </row>
    <row r="314" spans="1:19" ht="21.75" customHeight="1">
      <c r="A314" s="61"/>
      <c r="B314" s="60"/>
      <c r="C314" s="65"/>
      <c r="D314" s="63"/>
      <c r="E314" s="66"/>
      <c r="F314" s="66"/>
      <c r="G314" s="51"/>
      <c r="H314" s="3" t="s">
        <v>483</v>
      </c>
      <c r="I314" s="8">
        <v>27</v>
      </c>
      <c r="J314" s="14">
        <v>10</v>
      </c>
      <c r="K314" s="14">
        <v>6</v>
      </c>
      <c r="L314" s="57" t="s">
        <v>536</v>
      </c>
      <c r="M314" s="58" t="s">
        <v>519</v>
      </c>
      <c r="N314" s="58" t="s">
        <v>539</v>
      </c>
      <c r="O314" s="58" t="s">
        <v>42</v>
      </c>
      <c r="P314" s="8">
        <v>630</v>
      </c>
      <c r="Q314" s="150">
        <v>45</v>
      </c>
      <c r="R314" s="150">
        <v>45</v>
      </c>
      <c r="S314" s="282">
        <f t="shared" si="8"/>
        <v>1</v>
      </c>
    </row>
    <row r="315" spans="1:19" ht="30.75" customHeight="1">
      <c r="A315" s="61"/>
      <c r="B315" s="60"/>
      <c r="C315" s="65"/>
      <c r="D315" s="63"/>
      <c r="E315" s="66"/>
      <c r="F315" s="66"/>
      <c r="G315" s="51"/>
      <c r="H315" s="9" t="s">
        <v>727</v>
      </c>
      <c r="I315" s="8">
        <v>27</v>
      </c>
      <c r="J315" s="14">
        <v>10</v>
      </c>
      <c r="K315" s="14">
        <v>6</v>
      </c>
      <c r="L315" s="57" t="s">
        <v>536</v>
      </c>
      <c r="M315" s="58" t="s">
        <v>519</v>
      </c>
      <c r="N315" s="58" t="s">
        <v>539</v>
      </c>
      <c r="O315" s="58" t="s">
        <v>726</v>
      </c>
      <c r="P315" s="4"/>
      <c r="Q315" s="151">
        <f>Q316+Q317</f>
        <v>1304.5</v>
      </c>
      <c r="R315" s="151">
        <f>R316+R317</f>
        <v>1304.5</v>
      </c>
      <c r="S315" s="282">
        <f t="shared" si="8"/>
        <v>1</v>
      </c>
    </row>
    <row r="316" spans="1:19" ht="26.25" customHeight="1">
      <c r="A316" s="61"/>
      <c r="B316" s="60"/>
      <c r="C316" s="65"/>
      <c r="D316" s="63"/>
      <c r="E316" s="66"/>
      <c r="F316" s="66"/>
      <c r="G316" s="51"/>
      <c r="H316" s="9" t="s">
        <v>490</v>
      </c>
      <c r="I316" s="8">
        <v>27</v>
      </c>
      <c r="J316" s="14">
        <v>10</v>
      </c>
      <c r="K316" s="14">
        <v>6</v>
      </c>
      <c r="L316" s="57" t="s">
        <v>536</v>
      </c>
      <c r="M316" s="58" t="s">
        <v>519</v>
      </c>
      <c r="N316" s="58" t="s">
        <v>539</v>
      </c>
      <c r="O316" s="58" t="s">
        <v>726</v>
      </c>
      <c r="P316" s="4">
        <v>120</v>
      </c>
      <c r="Q316" s="151">
        <f>1087.1-0.1+189.7+0.7</f>
        <v>1277.4</v>
      </c>
      <c r="R316" s="151">
        <f>1087.1-0.1+189.7+0.7</f>
        <v>1277.4</v>
      </c>
      <c r="S316" s="282">
        <f t="shared" si="8"/>
        <v>1</v>
      </c>
    </row>
    <row r="317" spans="1:19" ht="26.25" customHeight="1">
      <c r="A317" s="61"/>
      <c r="B317" s="60"/>
      <c r="C317" s="65"/>
      <c r="D317" s="69"/>
      <c r="E317" s="66"/>
      <c r="F317" s="66"/>
      <c r="G317" s="51"/>
      <c r="H317" s="146" t="s">
        <v>636</v>
      </c>
      <c r="I317" s="8">
        <v>27</v>
      </c>
      <c r="J317" s="5">
        <v>10</v>
      </c>
      <c r="K317" s="14">
        <v>6</v>
      </c>
      <c r="L317" s="57" t="s">
        <v>536</v>
      </c>
      <c r="M317" s="58" t="s">
        <v>519</v>
      </c>
      <c r="N317" s="58" t="s">
        <v>539</v>
      </c>
      <c r="O317" s="58" t="s">
        <v>726</v>
      </c>
      <c r="P317" s="4">
        <v>240</v>
      </c>
      <c r="Q317" s="151">
        <f>0.1+27.7-0.7</f>
        <v>27.1</v>
      </c>
      <c r="R317" s="151">
        <f>0.1+27.7-0.7</f>
        <v>27.1</v>
      </c>
      <c r="S317" s="282">
        <f t="shared" si="8"/>
        <v>1</v>
      </c>
    </row>
    <row r="318" spans="1:19" ht="34.5" customHeight="1" hidden="1">
      <c r="A318" s="61"/>
      <c r="B318" s="60"/>
      <c r="C318" s="65"/>
      <c r="D318" s="69"/>
      <c r="E318" s="66"/>
      <c r="F318" s="66"/>
      <c r="G318" s="51"/>
      <c r="H318" s="9" t="s">
        <v>616</v>
      </c>
      <c r="I318" s="4">
        <v>27</v>
      </c>
      <c r="J318" s="16">
        <v>10</v>
      </c>
      <c r="K318" s="14">
        <v>6</v>
      </c>
      <c r="L318" s="57" t="s">
        <v>536</v>
      </c>
      <c r="M318" s="58" t="s">
        <v>519</v>
      </c>
      <c r="N318" s="58" t="s">
        <v>539</v>
      </c>
      <c r="O318" s="58" t="s">
        <v>615</v>
      </c>
      <c r="P318" s="4"/>
      <c r="Q318" s="151">
        <f>Q319</f>
        <v>0</v>
      </c>
      <c r="R318" s="151">
        <f>R319</f>
        <v>0</v>
      </c>
      <c r="S318" s="282" t="e">
        <f t="shared" si="8"/>
        <v>#DIV/0!</v>
      </c>
    </row>
    <row r="319" spans="1:19" ht="26.25" customHeight="1" hidden="1">
      <c r="A319" s="61"/>
      <c r="B319" s="60"/>
      <c r="C319" s="65"/>
      <c r="D319" s="69"/>
      <c r="E319" s="66"/>
      <c r="F319" s="66"/>
      <c r="G319" s="51"/>
      <c r="H319" s="146" t="s">
        <v>636</v>
      </c>
      <c r="I319" s="4">
        <v>27</v>
      </c>
      <c r="J319" s="16">
        <v>10</v>
      </c>
      <c r="K319" s="14">
        <v>6</v>
      </c>
      <c r="L319" s="57" t="s">
        <v>536</v>
      </c>
      <c r="M319" s="58" t="s">
        <v>519</v>
      </c>
      <c r="N319" s="58" t="s">
        <v>539</v>
      </c>
      <c r="O319" s="58" t="s">
        <v>615</v>
      </c>
      <c r="P319" s="4">
        <v>240</v>
      </c>
      <c r="Q319" s="151">
        <f>515-515</f>
        <v>0</v>
      </c>
      <c r="R319" s="151">
        <f>515-515</f>
        <v>0</v>
      </c>
      <c r="S319" s="282" t="e">
        <f t="shared" si="8"/>
        <v>#DIV/0!</v>
      </c>
    </row>
    <row r="320" spans="1:19" s="135" customFormat="1" ht="18.75" customHeight="1">
      <c r="A320" s="101"/>
      <c r="B320" s="102"/>
      <c r="C320" s="112"/>
      <c r="D320" s="103"/>
      <c r="E320" s="104"/>
      <c r="F320" s="104"/>
      <c r="G320" s="114">
        <v>612</v>
      </c>
      <c r="H320" s="108" t="s">
        <v>494</v>
      </c>
      <c r="I320" s="111">
        <v>27</v>
      </c>
      <c r="J320" s="115">
        <v>11</v>
      </c>
      <c r="K320" s="98"/>
      <c r="L320" s="99"/>
      <c r="M320" s="100"/>
      <c r="N320" s="100"/>
      <c r="O320" s="100"/>
      <c r="P320" s="105"/>
      <c r="Q320" s="152">
        <f>Q321</f>
        <v>36946.3</v>
      </c>
      <c r="R320" s="152">
        <f>R321</f>
        <v>16530.199999999997</v>
      </c>
      <c r="S320" s="282">
        <f t="shared" si="8"/>
        <v>0.4474115134668423</v>
      </c>
    </row>
    <row r="321" spans="1:19" s="135" customFormat="1" ht="19.5" customHeight="1">
      <c r="A321" s="101"/>
      <c r="B321" s="102"/>
      <c r="C321" s="101"/>
      <c r="D321" s="286">
        <v>5250000</v>
      </c>
      <c r="E321" s="287"/>
      <c r="F321" s="287"/>
      <c r="G321" s="95">
        <v>530</v>
      </c>
      <c r="H321" s="96" t="s">
        <v>341</v>
      </c>
      <c r="I321" s="97">
        <v>27</v>
      </c>
      <c r="J321" s="98">
        <v>11</v>
      </c>
      <c r="K321" s="98">
        <v>1</v>
      </c>
      <c r="L321" s="99"/>
      <c r="M321" s="100"/>
      <c r="N321" s="100"/>
      <c r="O321" s="100"/>
      <c r="P321" s="97"/>
      <c r="Q321" s="149">
        <f>Q322</f>
        <v>36946.3</v>
      </c>
      <c r="R321" s="149">
        <f>R322</f>
        <v>16530.199999999997</v>
      </c>
      <c r="S321" s="282">
        <f t="shared" si="8"/>
        <v>0.4474115134668423</v>
      </c>
    </row>
    <row r="322" spans="1:19" ht="34.5" customHeight="1">
      <c r="A322" s="61"/>
      <c r="B322" s="60"/>
      <c r="C322" s="65"/>
      <c r="D322" s="63"/>
      <c r="E322" s="75"/>
      <c r="F322" s="75"/>
      <c r="G322" s="67"/>
      <c r="H322" s="3" t="s">
        <v>617</v>
      </c>
      <c r="I322" s="4">
        <v>27</v>
      </c>
      <c r="J322" s="5">
        <v>11</v>
      </c>
      <c r="K322" s="14">
        <v>1</v>
      </c>
      <c r="L322" s="57" t="s">
        <v>618</v>
      </c>
      <c r="M322" s="58" t="s">
        <v>519</v>
      </c>
      <c r="N322" s="58" t="s">
        <v>539</v>
      </c>
      <c r="O322" s="58" t="s">
        <v>556</v>
      </c>
      <c r="P322" s="4"/>
      <c r="Q322" s="150">
        <f>Q326+Q323+Q331</f>
        <v>36946.3</v>
      </c>
      <c r="R322" s="150">
        <f>R326+R323+R331</f>
        <v>16530.199999999997</v>
      </c>
      <c r="S322" s="282">
        <f t="shared" si="8"/>
        <v>0.4474115134668423</v>
      </c>
    </row>
    <row r="323" spans="1:19" ht="34.5" customHeight="1">
      <c r="A323" s="61"/>
      <c r="B323" s="60"/>
      <c r="C323" s="65"/>
      <c r="D323" s="63"/>
      <c r="E323" s="75"/>
      <c r="F323" s="75"/>
      <c r="G323" s="51"/>
      <c r="H323" s="9" t="s">
        <v>81</v>
      </c>
      <c r="I323" s="8">
        <v>27</v>
      </c>
      <c r="J323" s="14">
        <v>11</v>
      </c>
      <c r="K323" s="14">
        <v>1</v>
      </c>
      <c r="L323" s="84" t="s">
        <v>618</v>
      </c>
      <c r="M323" s="85" t="s">
        <v>519</v>
      </c>
      <c r="N323" s="85" t="s">
        <v>520</v>
      </c>
      <c r="O323" s="85" t="s">
        <v>556</v>
      </c>
      <c r="P323" s="8"/>
      <c r="Q323" s="150">
        <f>Q324</f>
        <v>142.1</v>
      </c>
      <c r="R323" s="150">
        <f>R324</f>
        <v>132.9</v>
      </c>
      <c r="S323" s="282">
        <f t="shared" si="8"/>
        <v>0.9352568613652358</v>
      </c>
    </row>
    <row r="324" spans="1:19" ht="26.25" customHeight="1">
      <c r="A324" s="61"/>
      <c r="B324" s="60"/>
      <c r="C324" s="65"/>
      <c r="D324" s="63"/>
      <c r="E324" s="75"/>
      <c r="F324" s="75"/>
      <c r="G324" s="51"/>
      <c r="H324" s="9" t="s">
        <v>282</v>
      </c>
      <c r="I324" s="8">
        <v>27</v>
      </c>
      <c r="J324" s="14">
        <v>11</v>
      </c>
      <c r="K324" s="14">
        <v>1</v>
      </c>
      <c r="L324" s="84" t="s">
        <v>618</v>
      </c>
      <c r="M324" s="85" t="s">
        <v>519</v>
      </c>
      <c r="N324" s="85" t="s">
        <v>520</v>
      </c>
      <c r="O324" s="85" t="s">
        <v>281</v>
      </c>
      <c r="P324" s="8"/>
      <c r="Q324" s="150">
        <f>Q325</f>
        <v>142.1</v>
      </c>
      <c r="R324" s="150">
        <f>R325</f>
        <v>132.9</v>
      </c>
      <c r="S324" s="282">
        <f t="shared" si="8"/>
        <v>0.9352568613652358</v>
      </c>
    </row>
    <row r="325" spans="1:19" ht="27.75" customHeight="1">
      <c r="A325" s="61"/>
      <c r="B325" s="60"/>
      <c r="C325" s="65"/>
      <c r="D325" s="63"/>
      <c r="E325" s="75"/>
      <c r="F325" s="75"/>
      <c r="G325" s="51"/>
      <c r="H325" s="9" t="s">
        <v>638</v>
      </c>
      <c r="I325" s="8">
        <v>27</v>
      </c>
      <c r="J325" s="14">
        <v>11</v>
      </c>
      <c r="K325" s="14">
        <v>1</v>
      </c>
      <c r="L325" s="84" t="s">
        <v>618</v>
      </c>
      <c r="M325" s="85" t="s">
        <v>519</v>
      </c>
      <c r="N325" s="85" t="s">
        <v>520</v>
      </c>
      <c r="O325" s="85" t="s">
        <v>281</v>
      </c>
      <c r="P325" s="8">
        <v>610</v>
      </c>
      <c r="Q325" s="150">
        <f>150-13.1+5.2</f>
        <v>142.1</v>
      </c>
      <c r="R325" s="150">
        <v>132.9</v>
      </c>
      <c r="S325" s="282">
        <f t="shared" si="8"/>
        <v>0.9352568613652358</v>
      </c>
    </row>
    <row r="326" spans="1:19" ht="24.75" customHeight="1">
      <c r="A326" s="61"/>
      <c r="B326" s="60"/>
      <c r="C326" s="65"/>
      <c r="D326" s="63"/>
      <c r="E326" s="75"/>
      <c r="F326" s="75"/>
      <c r="G326" s="51"/>
      <c r="H326" s="9" t="s">
        <v>283</v>
      </c>
      <c r="I326" s="8">
        <v>27</v>
      </c>
      <c r="J326" s="14">
        <v>11</v>
      </c>
      <c r="K326" s="14">
        <v>1</v>
      </c>
      <c r="L326" s="84" t="s">
        <v>618</v>
      </c>
      <c r="M326" s="85" t="s">
        <v>519</v>
      </c>
      <c r="N326" s="85" t="s">
        <v>545</v>
      </c>
      <c r="O326" s="85" t="s">
        <v>556</v>
      </c>
      <c r="P326" s="8"/>
      <c r="Q326" s="150">
        <f>Q327+Q329</f>
        <v>8305.600000000002</v>
      </c>
      <c r="R326" s="150">
        <f>R327+R329</f>
        <v>8286</v>
      </c>
      <c r="S326" s="282">
        <f t="shared" si="8"/>
        <v>0.9976401464072431</v>
      </c>
    </row>
    <row r="327" spans="1:19" ht="22.5" customHeight="1">
      <c r="A327" s="61"/>
      <c r="B327" s="60"/>
      <c r="C327" s="65"/>
      <c r="D327" s="63"/>
      <c r="E327" s="75"/>
      <c r="F327" s="75"/>
      <c r="G327" s="51"/>
      <c r="H327" s="9" t="s">
        <v>282</v>
      </c>
      <c r="I327" s="8">
        <v>27</v>
      </c>
      <c r="J327" s="14">
        <v>11</v>
      </c>
      <c r="K327" s="14">
        <v>1</v>
      </c>
      <c r="L327" s="84" t="s">
        <v>618</v>
      </c>
      <c r="M327" s="85" t="s">
        <v>519</v>
      </c>
      <c r="N327" s="85" t="s">
        <v>545</v>
      </c>
      <c r="O327" s="85" t="s">
        <v>281</v>
      </c>
      <c r="P327" s="8"/>
      <c r="Q327" s="150">
        <f>Q328</f>
        <v>6781.100000000001</v>
      </c>
      <c r="R327" s="150">
        <f>R328</f>
        <v>6761.5</v>
      </c>
      <c r="S327" s="282">
        <f t="shared" si="8"/>
        <v>0.9971096134845377</v>
      </c>
    </row>
    <row r="328" spans="1:19" ht="22.5" customHeight="1">
      <c r="A328" s="61"/>
      <c r="B328" s="60"/>
      <c r="C328" s="65"/>
      <c r="D328" s="63"/>
      <c r="E328" s="75"/>
      <c r="F328" s="75"/>
      <c r="G328" s="51"/>
      <c r="H328" s="9" t="s">
        <v>638</v>
      </c>
      <c r="I328" s="8">
        <v>27</v>
      </c>
      <c r="J328" s="14">
        <v>11</v>
      </c>
      <c r="K328" s="14">
        <v>1</v>
      </c>
      <c r="L328" s="84" t="s">
        <v>618</v>
      </c>
      <c r="M328" s="85" t="s">
        <v>519</v>
      </c>
      <c r="N328" s="85" t="s">
        <v>545</v>
      </c>
      <c r="O328" s="85" t="s">
        <v>281</v>
      </c>
      <c r="P328" s="8">
        <v>610</v>
      </c>
      <c r="Q328" s="150">
        <f>6257.1-300+150+500+0.1+120.8+40+13.1</f>
        <v>6781.100000000001</v>
      </c>
      <c r="R328" s="150">
        <v>6761.5</v>
      </c>
      <c r="S328" s="282">
        <f t="shared" si="8"/>
        <v>0.9971096134845377</v>
      </c>
    </row>
    <row r="329" spans="1:19" ht="37.5" customHeight="1">
      <c r="A329" s="61"/>
      <c r="B329" s="60"/>
      <c r="C329" s="65"/>
      <c r="D329" s="63"/>
      <c r="E329" s="75"/>
      <c r="F329" s="75"/>
      <c r="G329" s="51"/>
      <c r="H329" s="9" t="s">
        <v>50</v>
      </c>
      <c r="I329" s="8">
        <v>27</v>
      </c>
      <c r="J329" s="14">
        <v>11</v>
      </c>
      <c r="K329" s="14">
        <v>1</v>
      </c>
      <c r="L329" s="84" t="s">
        <v>618</v>
      </c>
      <c r="M329" s="85" t="s">
        <v>519</v>
      </c>
      <c r="N329" s="85" t="s">
        <v>545</v>
      </c>
      <c r="O329" s="85" t="s">
        <v>49</v>
      </c>
      <c r="P329" s="8"/>
      <c r="Q329" s="150">
        <f>Q330</f>
        <v>1524.5</v>
      </c>
      <c r="R329" s="150">
        <f>R330</f>
        <v>1524.5</v>
      </c>
      <c r="S329" s="282">
        <f t="shared" si="8"/>
        <v>1</v>
      </c>
    </row>
    <row r="330" spans="1:19" ht="27" customHeight="1">
      <c r="A330" s="61"/>
      <c r="B330" s="60"/>
      <c r="C330" s="65"/>
      <c r="D330" s="63"/>
      <c r="E330" s="75"/>
      <c r="F330" s="75"/>
      <c r="G330" s="51"/>
      <c r="H330" s="9" t="s">
        <v>638</v>
      </c>
      <c r="I330" s="8">
        <v>27</v>
      </c>
      <c r="J330" s="14">
        <v>11</v>
      </c>
      <c r="K330" s="14">
        <v>1</v>
      </c>
      <c r="L330" s="84" t="s">
        <v>618</v>
      </c>
      <c r="M330" s="85" t="s">
        <v>519</v>
      </c>
      <c r="N330" s="85" t="s">
        <v>545</v>
      </c>
      <c r="O330" s="85" t="s">
        <v>49</v>
      </c>
      <c r="P330" s="8">
        <v>610</v>
      </c>
      <c r="Q330" s="150">
        <f>932.7+591.8</f>
        <v>1524.5</v>
      </c>
      <c r="R330" s="150">
        <f>932.7+591.8</f>
        <v>1524.5</v>
      </c>
      <c r="S330" s="282">
        <f t="shared" si="8"/>
        <v>1</v>
      </c>
    </row>
    <row r="331" spans="1:19" ht="36" customHeight="1">
      <c r="A331" s="61"/>
      <c r="B331" s="60"/>
      <c r="C331" s="65"/>
      <c r="D331" s="63"/>
      <c r="E331" s="75"/>
      <c r="F331" s="75"/>
      <c r="G331" s="51"/>
      <c r="H331" s="9" t="s">
        <v>176</v>
      </c>
      <c r="I331" s="8">
        <v>27</v>
      </c>
      <c r="J331" s="14">
        <v>11</v>
      </c>
      <c r="K331" s="14">
        <v>1</v>
      </c>
      <c r="L331" s="84" t="s">
        <v>618</v>
      </c>
      <c r="M331" s="85" t="s">
        <v>519</v>
      </c>
      <c r="N331" s="85" t="s">
        <v>546</v>
      </c>
      <c r="O331" s="85" t="s">
        <v>556</v>
      </c>
      <c r="P331" s="8"/>
      <c r="Q331" s="150">
        <f>Q332+Q334+Q336</f>
        <v>28498.600000000002</v>
      </c>
      <c r="R331" s="150">
        <f>R332+R334+R336</f>
        <v>8111.299999999999</v>
      </c>
      <c r="S331" s="282">
        <f t="shared" si="8"/>
        <v>0.284620998926263</v>
      </c>
    </row>
    <row r="332" spans="1:19" ht="36.75" customHeight="1">
      <c r="A332" s="61"/>
      <c r="B332" s="60"/>
      <c r="C332" s="65"/>
      <c r="D332" s="63"/>
      <c r="E332" s="75"/>
      <c r="F332" s="75"/>
      <c r="G332" s="51"/>
      <c r="H332" s="9" t="s">
        <v>177</v>
      </c>
      <c r="I332" s="8">
        <v>27</v>
      </c>
      <c r="J332" s="14">
        <v>11</v>
      </c>
      <c r="K332" s="14">
        <v>1</v>
      </c>
      <c r="L332" s="84" t="s">
        <v>618</v>
      </c>
      <c r="M332" s="85" t="s">
        <v>519</v>
      </c>
      <c r="N332" s="85" t="s">
        <v>546</v>
      </c>
      <c r="O332" s="85" t="s">
        <v>175</v>
      </c>
      <c r="P332" s="8"/>
      <c r="Q332" s="150">
        <f>Q333</f>
        <v>7611.7</v>
      </c>
      <c r="R332" s="150">
        <f>R333</f>
        <v>7421.9</v>
      </c>
      <c r="S332" s="282">
        <f aca="true" t="shared" si="11" ref="S332:S395">R332/Q332</f>
        <v>0.9750647030229778</v>
      </c>
    </row>
    <row r="333" spans="1:19" ht="27" customHeight="1">
      <c r="A333" s="61"/>
      <c r="B333" s="60"/>
      <c r="C333" s="65"/>
      <c r="D333" s="63"/>
      <c r="E333" s="75"/>
      <c r="F333" s="75"/>
      <c r="G333" s="51"/>
      <c r="H333" s="9" t="s">
        <v>638</v>
      </c>
      <c r="I333" s="8">
        <v>27</v>
      </c>
      <c r="J333" s="14">
        <v>11</v>
      </c>
      <c r="K333" s="14">
        <v>1</v>
      </c>
      <c r="L333" s="84" t="s">
        <v>618</v>
      </c>
      <c r="M333" s="85" t="s">
        <v>519</v>
      </c>
      <c r="N333" s="85" t="s">
        <v>546</v>
      </c>
      <c r="O333" s="85" t="s">
        <v>175</v>
      </c>
      <c r="P333" s="8">
        <v>610</v>
      </c>
      <c r="Q333" s="150">
        <f>8130-120.8-397.5</f>
        <v>7611.7</v>
      </c>
      <c r="R333" s="150">
        <v>7421.9</v>
      </c>
      <c r="S333" s="282">
        <f t="shared" si="11"/>
        <v>0.9750647030229778</v>
      </c>
    </row>
    <row r="334" spans="1:19" ht="33.75" customHeight="1" hidden="1">
      <c r="A334" s="61"/>
      <c r="B334" s="60"/>
      <c r="C334" s="65"/>
      <c r="D334" s="63"/>
      <c r="E334" s="75"/>
      <c r="F334" s="75"/>
      <c r="G334" s="51"/>
      <c r="H334" s="9" t="s">
        <v>191</v>
      </c>
      <c r="I334" s="8">
        <v>27</v>
      </c>
      <c r="J334" s="14">
        <v>11</v>
      </c>
      <c r="K334" s="14">
        <v>1</v>
      </c>
      <c r="L334" s="84" t="s">
        <v>618</v>
      </c>
      <c r="M334" s="85" t="s">
        <v>519</v>
      </c>
      <c r="N334" s="85" t="s">
        <v>546</v>
      </c>
      <c r="O334" s="85" t="s">
        <v>189</v>
      </c>
      <c r="P334" s="8"/>
      <c r="Q334" s="150">
        <f>Q335</f>
        <v>0</v>
      </c>
      <c r="R334" s="150">
        <f>R335</f>
        <v>0</v>
      </c>
      <c r="S334" s="282" t="e">
        <f t="shared" si="11"/>
        <v>#DIV/0!</v>
      </c>
    </row>
    <row r="335" spans="1:19" ht="27" customHeight="1" hidden="1">
      <c r="A335" s="61"/>
      <c r="B335" s="60"/>
      <c r="C335" s="65"/>
      <c r="D335" s="63"/>
      <c r="E335" s="75"/>
      <c r="F335" s="75"/>
      <c r="G335" s="51"/>
      <c r="H335" s="9" t="s">
        <v>638</v>
      </c>
      <c r="I335" s="8">
        <v>27</v>
      </c>
      <c r="J335" s="14">
        <v>11</v>
      </c>
      <c r="K335" s="14">
        <v>1</v>
      </c>
      <c r="L335" s="84" t="s">
        <v>618</v>
      </c>
      <c r="M335" s="85" t="s">
        <v>519</v>
      </c>
      <c r="N335" s="85" t="s">
        <v>546</v>
      </c>
      <c r="O335" s="85" t="s">
        <v>189</v>
      </c>
      <c r="P335" s="8">
        <v>610</v>
      </c>
      <c r="Q335" s="150">
        <v>0</v>
      </c>
      <c r="R335" s="150">
        <v>0</v>
      </c>
      <c r="S335" s="282" t="e">
        <f t="shared" si="11"/>
        <v>#DIV/0!</v>
      </c>
    </row>
    <row r="336" spans="1:19" ht="36" customHeight="1">
      <c r="A336" s="61"/>
      <c r="B336" s="60"/>
      <c r="C336" s="65"/>
      <c r="D336" s="63"/>
      <c r="E336" s="75"/>
      <c r="F336" s="75"/>
      <c r="G336" s="51"/>
      <c r="H336" s="9" t="s">
        <v>192</v>
      </c>
      <c r="I336" s="8">
        <v>27</v>
      </c>
      <c r="J336" s="14">
        <v>11</v>
      </c>
      <c r="K336" s="14">
        <v>1</v>
      </c>
      <c r="L336" s="84" t="s">
        <v>618</v>
      </c>
      <c r="M336" s="85" t="s">
        <v>519</v>
      </c>
      <c r="N336" s="85" t="s">
        <v>546</v>
      </c>
      <c r="O336" s="85" t="s">
        <v>190</v>
      </c>
      <c r="P336" s="8"/>
      <c r="Q336" s="150">
        <f>Q337</f>
        <v>20886.9</v>
      </c>
      <c r="R336" s="150">
        <f>R337</f>
        <v>689.4</v>
      </c>
      <c r="S336" s="282">
        <f t="shared" si="11"/>
        <v>0.03300633411372678</v>
      </c>
    </row>
    <row r="337" spans="1:19" ht="27" customHeight="1">
      <c r="A337" s="61"/>
      <c r="B337" s="60"/>
      <c r="C337" s="65"/>
      <c r="D337" s="63"/>
      <c r="E337" s="75"/>
      <c r="F337" s="75"/>
      <c r="G337" s="51"/>
      <c r="H337" s="9" t="s">
        <v>638</v>
      </c>
      <c r="I337" s="8">
        <v>27</v>
      </c>
      <c r="J337" s="14">
        <v>11</v>
      </c>
      <c r="K337" s="14">
        <v>1</v>
      </c>
      <c r="L337" s="84" t="s">
        <v>618</v>
      </c>
      <c r="M337" s="85" t="s">
        <v>519</v>
      </c>
      <c r="N337" s="85" t="s">
        <v>546</v>
      </c>
      <c r="O337" s="85" t="s">
        <v>190</v>
      </c>
      <c r="P337" s="8">
        <v>610</v>
      </c>
      <c r="Q337" s="150">
        <v>20886.9</v>
      </c>
      <c r="R337" s="150">
        <v>689.4</v>
      </c>
      <c r="S337" s="282">
        <f t="shared" si="11"/>
        <v>0.03300633411372678</v>
      </c>
    </row>
    <row r="338" spans="1:19" s="133" customFormat="1" ht="24.75" customHeight="1">
      <c r="A338" s="117"/>
      <c r="B338" s="136"/>
      <c r="C338" s="137"/>
      <c r="D338" s="138"/>
      <c r="E338" s="139"/>
      <c r="F338" s="139"/>
      <c r="G338" s="140"/>
      <c r="H338" s="30" t="s">
        <v>680</v>
      </c>
      <c r="I338" s="12">
        <v>28</v>
      </c>
      <c r="J338" s="13"/>
      <c r="K338" s="13"/>
      <c r="L338" s="123"/>
      <c r="M338" s="124"/>
      <c r="N338" s="124"/>
      <c r="O338" s="124"/>
      <c r="P338" s="12"/>
      <c r="Q338" s="148">
        <f>Q339+Q373</f>
        <v>5369.200000000001</v>
      </c>
      <c r="R338" s="148">
        <f>R339+R373</f>
        <v>5319.3</v>
      </c>
      <c r="S338" s="282">
        <f t="shared" si="11"/>
        <v>0.9907062504656187</v>
      </c>
    </row>
    <row r="339" spans="1:19" s="135" customFormat="1" ht="23.25" customHeight="1">
      <c r="A339" s="101"/>
      <c r="B339" s="102"/>
      <c r="C339" s="112"/>
      <c r="D339" s="109"/>
      <c r="E339" s="113"/>
      <c r="F339" s="113"/>
      <c r="G339" s="95"/>
      <c r="H339" s="96" t="s">
        <v>493</v>
      </c>
      <c r="I339" s="97">
        <v>28</v>
      </c>
      <c r="J339" s="98">
        <v>1</v>
      </c>
      <c r="K339" s="98" t="s">
        <v>557</v>
      </c>
      <c r="L339" s="141"/>
      <c r="M339" s="142"/>
      <c r="N339" s="142"/>
      <c r="O339" s="142"/>
      <c r="P339" s="97"/>
      <c r="Q339" s="149">
        <f>Q340+Q349+Q362</f>
        <v>5297.200000000001</v>
      </c>
      <c r="R339" s="149">
        <f>R340+R349+R362</f>
        <v>5256.3</v>
      </c>
      <c r="S339" s="282">
        <f t="shared" si="11"/>
        <v>0.9922789398172619</v>
      </c>
    </row>
    <row r="340" spans="1:19" s="135" customFormat="1" ht="36" customHeight="1">
      <c r="A340" s="101"/>
      <c r="B340" s="102"/>
      <c r="C340" s="112"/>
      <c r="D340" s="109"/>
      <c r="E340" s="113"/>
      <c r="F340" s="113"/>
      <c r="G340" s="95"/>
      <c r="H340" s="96" t="s">
        <v>525</v>
      </c>
      <c r="I340" s="97">
        <v>28</v>
      </c>
      <c r="J340" s="98">
        <v>1</v>
      </c>
      <c r="K340" s="98">
        <v>2</v>
      </c>
      <c r="L340" s="141"/>
      <c r="M340" s="142"/>
      <c r="N340" s="142"/>
      <c r="O340" s="142"/>
      <c r="P340" s="97"/>
      <c r="Q340" s="149">
        <f>Q341</f>
        <v>2017.9</v>
      </c>
      <c r="R340" s="149">
        <f>R341</f>
        <v>2017.7</v>
      </c>
      <c r="S340" s="282">
        <f t="shared" si="11"/>
        <v>0.9999008870608058</v>
      </c>
    </row>
    <row r="341" spans="1:19" s="135" customFormat="1" ht="21.75" customHeight="1">
      <c r="A341" s="101"/>
      <c r="B341" s="102"/>
      <c r="C341" s="112"/>
      <c r="D341" s="109"/>
      <c r="E341" s="113"/>
      <c r="F341" s="113"/>
      <c r="G341" s="95"/>
      <c r="H341" s="9" t="s">
        <v>537</v>
      </c>
      <c r="I341" s="8">
        <v>28</v>
      </c>
      <c r="J341" s="14">
        <v>1</v>
      </c>
      <c r="K341" s="14">
        <v>2</v>
      </c>
      <c r="L341" s="14" t="s">
        <v>538</v>
      </c>
      <c r="M341" s="58" t="s">
        <v>519</v>
      </c>
      <c r="N341" s="58" t="s">
        <v>539</v>
      </c>
      <c r="O341" s="58" t="s">
        <v>556</v>
      </c>
      <c r="P341" s="8" t="s">
        <v>491</v>
      </c>
      <c r="Q341" s="150">
        <f>Q342+Q347+Q345</f>
        <v>2017.9</v>
      </c>
      <c r="R341" s="150">
        <f>R342+R347+R345</f>
        <v>2017.7</v>
      </c>
      <c r="S341" s="282">
        <f t="shared" si="11"/>
        <v>0.9999008870608058</v>
      </c>
    </row>
    <row r="342" spans="1:19" ht="23.25" customHeight="1">
      <c r="A342" s="59"/>
      <c r="B342" s="60"/>
      <c r="C342" s="65"/>
      <c r="D342" s="63"/>
      <c r="E342" s="75"/>
      <c r="F342" s="75"/>
      <c r="G342" s="51"/>
      <c r="H342" s="9" t="s">
        <v>681</v>
      </c>
      <c r="I342" s="8">
        <v>28</v>
      </c>
      <c r="J342" s="14">
        <v>1</v>
      </c>
      <c r="K342" s="14">
        <v>2</v>
      </c>
      <c r="L342" s="84" t="s">
        <v>538</v>
      </c>
      <c r="M342" s="85" t="s">
        <v>519</v>
      </c>
      <c r="N342" s="85" t="s">
        <v>539</v>
      </c>
      <c r="O342" s="85" t="s">
        <v>584</v>
      </c>
      <c r="P342" s="8"/>
      <c r="Q342" s="150">
        <f>SUM(Q343:Q344)</f>
        <v>1695.7</v>
      </c>
      <c r="R342" s="150">
        <f>SUM(R343:R344)</f>
        <v>1695.5</v>
      </c>
      <c r="S342" s="282">
        <f t="shared" si="11"/>
        <v>0.9998820546087162</v>
      </c>
    </row>
    <row r="343" spans="1:19" ht="24.75" customHeight="1">
      <c r="A343" s="59"/>
      <c r="B343" s="60"/>
      <c r="C343" s="65"/>
      <c r="D343" s="63"/>
      <c r="E343" s="75"/>
      <c r="F343" s="75"/>
      <c r="G343" s="51"/>
      <c r="H343" s="9" t="s">
        <v>490</v>
      </c>
      <c r="I343" s="8">
        <v>28</v>
      </c>
      <c r="J343" s="14">
        <v>1</v>
      </c>
      <c r="K343" s="14">
        <v>2</v>
      </c>
      <c r="L343" s="84" t="s">
        <v>538</v>
      </c>
      <c r="M343" s="85" t="s">
        <v>519</v>
      </c>
      <c r="N343" s="85" t="s">
        <v>539</v>
      </c>
      <c r="O343" s="85" t="s">
        <v>584</v>
      </c>
      <c r="P343" s="8">
        <v>120</v>
      </c>
      <c r="Q343" s="150">
        <f>1633.7-31.5-3+166-18.5-15-36</f>
        <v>1695.7</v>
      </c>
      <c r="R343" s="150">
        <v>1695.5</v>
      </c>
      <c r="S343" s="282">
        <f t="shared" si="11"/>
        <v>0.9998820546087162</v>
      </c>
    </row>
    <row r="344" spans="1:19" ht="29.25" customHeight="1" hidden="1">
      <c r="A344" s="59"/>
      <c r="B344" s="60"/>
      <c r="C344" s="65"/>
      <c r="D344" s="63"/>
      <c r="E344" s="75"/>
      <c r="F344" s="75"/>
      <c r="G344" s="51"/>
      <c r="H344" s="9" t="s">
        <v>636</v>
      </c>
      <c r="I344" s="8">
        <v>28</v>
      </c>
      <c r="J344" s="14">
        <v>1</v>
      </c>
      <c r="K344" s="14">
        <v>2</v>
      </c>
      <c r="L344" s="84" t="s">
        <v>538</v>
      </c>
      <c r="M344" s="85" t="s">
        <v>519</v>
      </c>
      <c r="N344" s="85" t="s">
        <v>539</v>
      </c>
      <c r="O344" s="85" t="s">
        <v>584</v>
      </c>
      <c r="P344" s="8">
        <v>240</v>
      </c>
      <c r="Q344" s="150">
        <f>313.1-313.1</f>
        <v>0</v>
      </c>
      <c r="R344" s="150">
        <f>313.1-313.1</f>
        <v>0</v>
      </c>
      <c r="S344" s="282" t="e">
        <f t="shared" si="11"/>
        <v>#DIV/0!</v>
      </c>
    </row>
    <row r="345" spans="1:19" ht="50.25" customHeight="1">
      <c r="A345" s="59"/>
      <c r="B345" s="60"/>
      <c r="C345" s="65"/>
      <c r="D345" s="63"/>
      <c r="E345" s="75"/>
      <c r="F345" s="75"/>
      <c r="G345" s="51"/>
      <c r="H345" s="70" t="s">
        <v>775</v>
      </c>
      <c r="I345" s="8">
        <v>28</v>
      </c>
      <c r="J345" s="14">
        <v>1</v>
      </c>
      <c r="K345" s="14">
        <v>2</v>
      </c>
      <c r="L345" s="84" t="s">
        <v>538</v>
      </c>
      <c r="M345" s="85" t="s">
        <v>519</v>
      </c>
      <c r="N345" s="85" t="s">
        <v>539</v>
      </c>
      <c r="O345" s="85" t="s">
        <v>774</v>
      </c>
      <c r="P345" s="8"/>
      <c r="Q345" s="150">
        <f>Q346</f>
        <v>9</v>
      </c>
      <c r="R345" s="150">
        <f>R346</f>
        <v>9</v>
      </c>
      <c r="S345" s="282">
        <f t="shared" si="11"/>
        <v>1</v>
      </c>
    </row>
    <row r="346" spans="1:19" ht="29.25" customHeight="1">
      <c r="A346" s="59"/>
      <c r="B346" s="60"/>
      <c r="C346" s="65"/>
      <c r="D346" s="63"/>
      <c r="E346" s="75"/>
      <c r="F346" s="75"/>
      <c r="G346" s="51"/>
      <c r="H346" s="9" t="s">
        <v>490</v>
      </c>
      <c r="I346" s="8">
        <v>28</v>
      </c>
      <c r="J346" s="14">
        <v>1</v>
      </c>
      <c r="K346" s="14">
        <v>2</v>
      </c>
      <c r="L346" s="84" t="s">
        <v>538</v>
      </c>
      <c r="M346" s="85" t="s">
        <v>519</v>
      </c>
      <c r="N346" s="85" t="s">
        <v>539</v>
      </c>
      <c r="O346" s="85" t="s">
        <v>774</v>
      </c>
      <c r="P346" s="8">
        <v>120</v>
      </c>
      <c r="Q346" s="150">
        <v>9</v>
      </c>
      <c r="R346" s="150">
        <v>9</v>
      </c>
      <c r="S346" s="282">
        <f t="shared" si="11"/>
        <v>1</v>
      </c>
    </row>
    <row r="347" spans="1:19" ht="35.25" customHeight="1">
      <c r="A347" s="59"/>
      <c r="B347" s="60"/>
      <c r="C347" s="65"/>
      <c r="D347" s="63"/>
      <c r="E347" s="75"/>
      <c r="F347" s="75"/>
      <c r="G347" s="51"/>
      <c r="H347" s="9" t="s">
        <v>50</v>
      </c>
      <c r="I347" s="8">
        <v>28</v>
      </c>
      <c r="J347" s="14">
        <v>1</v>
      </c>
      <c r="K347" s="14">
        <v>2</v>
      </c>
      <c r="L347" s="84" t="s">
        <v>538</v>
      </c>
      <c r="M347" s="85" t="s">
        <v>519</v>
      </c>
      <c r="N347" s="85" t="s">
        <v>539</v>
      </c>
      <c r="O347" s="85" t="s">
        <v>49</v>
      </c>
      <c r="P347" s="8"/>
      <c r="Q347" s="150">
        <f>Q348</f>
        <v>313.2</v>
      </c>
      <c r="R347" s="150">
        <f>R348</f>
        <v>313.2</v>
      </c>
      <c r="S347" s="282">
        <f t="shared" si="11"/>
        <v>1</v>
      </c>
    </row>
    <row r="348" spans="1:19" ht="29.25" customHeight="1">
      <c r="A348" s="59"/>
      <c r="B348" s="60"/>
      <c r="C348" s="65"/>
      <c r="D348" s="63"/>
      <c r="E348" s="75"/>
      <c r="F348" s="75"/>
      <c r="G348" s="51"/>
      <c r="H348" s="9" t="s">
        <v>490</v>
      </c>
      <c r="I348" s="8">
        <v>28</v>
      </c>
      <c r="J348" s="14">
        <v>1</v>
      </c>
      <c r="K348" s="14">
        <v>2</v>
      </c>
      <c r="L348" s="84" t="s">
        <v>538</v>
      </c>
      <c r="M348" s="85" t="s">
        <v>519</v>
      </c>
      <c r="N348" s="85" t="s">
        <v>539</v>
      </c>
      <c r="O348" s="85" t="s">
        <v>49</v>
      </c>
      <c r="P348" s="8">
        <v>120</v>
      </c>
      <c r="Q348" s="150">
        <v>313.2</v>
      </c>
      <c r="R348" s="150">
        <v>313.2</v>
      </c>
      <c r="S348" s="282">
        <f t="shared" si="11"/>
        <v>1</v>
      </c>
    </row>
    <row r="349" spans="1:19" s="135" customFormat="1" ht="36" customHeight="1">
      <c r="A349" s="101"/>
      <c r="B349" s="102"/>
      <c r="C349" s="112"/>
      <c r="D349" s="109"/>
      <c r="E349" s="113"/>
      <c r="F349" s="113"/>
      <c r="G349" s="95"/>
      <c r="H349" s="96" t="s">
        <v>462</v>
      </c>
      <c r="I349" s="97">
        <v>28</v>
      </c>
      <c r="J349" s="98">
        <v>1</v>
      </c>
      <c r="K349" s="98">
        <v>3</v>
      </c>
      <c r="L349" s="141"/>
      <c r="M349" s="142"/>
      <c r="N349" s="142"/>
      <c r="O349" s="142"/>
      <c r="P349" s="97"/>
      <c r="Q349" s="149">
        <f>Q350</f>
        <v>3123.2000000000003</v>
      </c>
      <c r="R349" s="149">
        <f>R350</f>
        <v>3093.6000000000004</v>
      </c>
      <c r="S349" s="282">
        <f t="shared" si="11"/>
        <v>0.9905225409836066</v>
      </c>
    </row>
    <row r="350" spans="1:19" s="135" customFormat="1" ht="21.75" customHeight="1">
      <c r="A350" s="101"/>
      <c r="B350" s="102"/>
      <c r="C350" s="112"/>
      <c r="D350" s="109"/>
      <c r="E350" s="113"/>
      <c r="F350" s="113"/>
      <c r="G350" s="95"/>
      <c r="H350" s="9" t="s">
        <v>537</v>
      </c>
      <c r="I350" s="8">
        <v>28</v>
      </c>
      <c r="J350" s="14">
        <v>1</v>
      </c>
      <c r="K350" s="14">
        <v>3</v>
      </c>
      <c r="L350" s="14" t="s">
        <v>538</v>
      </c>
      <c r="M350" s="58" t="s">
        <v>519</v>
      </c>
      <c r="N350" s="58" t="s">
        <v>539</v>
      </c>
      <c r="O350" s="58" t="s">
        <v>556</v>
      </c>
      <c r="P350" s="97"/>
      <c r="Q350" s="149">
        <f>Q351+Q357+Q359+Q355</f>
        <v>3123.2000000000003</v>
      </c>
      <c r="R350" s="149">
        <f>R351+R357+R359+R355</f>
        <v>3093.6000000000004</v>
      </c>
      <c r="S350" s="282">
        <f t="shared" si="11"/>
        <v>0.9905225409836066</v>
      </c>
    </row>
    <row r="351" spans="1:19" ht="20.25" customHeight="1">
      <c r="A351" s="59"/>
      <c r="B351" s="60"/>
      <c r="C351" s="65"/>
      <c r="D351" s="63"/>
      <c r="E351" s="75"/>
      <c r="F351" s="75"/>
      <c r="G351" s="51"/>
      <c r="H351" s="9" t="s">
        <v>681</v>
      </c>
      <c r="I351" s="8">
        <v>28</v>
      </c>
      <c r="J351" s="14">
        <v>1</v>
      </c>
      <c r="K351" s="14">
        <v>3</v>
      </c>
      <c r="L351" s="84" t="s">
        <v>538</v>
      </c>
      <c r="M351" s="85" t="s">
        <v>519</v>
      </c>
      <c r="N351" s="85" t="s">
        <v>539</v>
      </c>
      <c r="O351" s="85" t="s">
        <v>584</v>
      </c>
      <c r="P351" s="8"/>
      <c r="Q351" s="150">
        <f>SUM(Q352:Q354)</f>
        <v>2648.2000000000003</v>
      </c>
      <c r="R351" s="150">
        <f>SUM(R352:R354)</f>
        <v>2620.7000000000003</v>
      </c>
      <c r="S351" s="282">
        <f t="shared" si="11"/>
        <v>0.9896155879465297</v>
      </c>
    </row>
    <row r="352" spans="1:19" ht="24.75" customHeight="1">
      <c r="A352" s="59"/>
      <c r="B352" s="60"/>
      <c r="C352" s="65"/>
      <c r="D352" s="63"/>
      <c r="E352" s="75"/>
      <c r="F352" s="75"/>
      <c r="G352" s="51"/>
      <c r="H352" s="9" t="s">
        <v>490</v>
      </c>
      <c r="I352" s="8">
        <v>28</v>
      </c>
      <c r="J352" s="14">
        <v>1</v>
      </c>
      <c r="K352" s="14">
        <v>3</v>
      </c>
      <c r="L352" s="84" t="s">
        <v>538</v>
      </c>
      <c r="M352" s="85" t="s">
        <v>519</v>
      </c>
      <c r="N352" s="85" t="s">
        <v>539</v>
      </c>
      <c r="O352" s="85" t="s">
        <v>584</v>
      </c>
      <c r="P352" s="8">
        <v>120</v>
      </c>
      <c r="Q352" s="150">
        <f>1125.7-0.3+373.2+64.1+3+28.9+67-13.1+6.3</f>
        <v>1654.8000000000002</v>
      </c>
      <c r="R352" s="150">
        <v>1637.9</v>
      </c>
      <c r="S352" s="282">
        <f t="shared" si="11"/>
        <v>0.9897872854725646</v>
      </c>
    </row>
    <row r="353" spans="1:19" ht="23.25" customHeight="1">
      <c r="A353" s="59"/>
      <c r="B353" s="60"/>
      <c r="C353" s="65"/>
      <c r="D353" s="63"/>
      <c r="E353" s="75"/>
      <c r="F353" s="75"/>
      <c r="G353" s="51"/>
      <c r="H353" s="9" t="s">
        <v>636</v>
      </c>
      <c r="I353" s="8">
        <v>28</v>
      </c>
      <c r="J353" s="14">
        <v>1</v>
      </c>
      <c r="K353" s="14">
        <v>3</v>
      </c>
      <c r="L353" s="84" t="s">
        <v>538</v>
      </c>
      <c r="M353" s="85" t="s">
        <v>519</v>
      </c>
      <c r="N353" s="85" t="s">
        <v>539</v>
      </c>
      <c r="O353" s="85" t="s">
        <v>584</v>
      </c>
      <c r="P353" s="8">
        <v>240</v>
      </c>
      <c r="Q353" s="150">
        <f>881.7-78.7+14-56+70+100+18.5+1.6-7+49</f>
        <v>993.1</v>
      </c>
      <c r="R353" s="150">
        <v>982.7</v>
      </c>
      <c r="S353" s="282">
        <f t="shared" si="11"/>
        <v>0.9895277414157688</v>
      </c>
    </row>
    <row r="354" spans="1:19" ht="23.25" customHeight="1">
      <c r="A354" s="59"/>
      <c r="B354" s="60"/>
      <c r="C354" s="65"/>
      <c r="D354" s="63"/>
      <c r="E354" s="75"/>
      <c r="F354" s="75"/>
      <c r="G354" s="51"/>
      <c r="H354" s="9" t="s">
        <v>637</v>
      </c>
      <c r="I354" s="8">
        <v>28</v>
      </c>
      <c r="J354" s="14">
        <v>1</v>
      </c>
      <c r="K354" s="14">
        <v>3</v>
      </c>
      <c r="L354" s="84" t="s">
        <v>538</v>
      </c>
      <c r="M354" s="85" t="s">
        <v>519</v>
      </c>
      <c r="N354" s="85" t="s">
        <v>539</v>
      </c>
      <c r="O354" s="85" t="s">
        <v>584</v>
      </c>
      <c r="P354" s="8">
        <v>850</v>
      </c>
      <c r="Q354" s="150">
        <v>0.3</v>
      </c>
      <c r="R354" s="150">
        <v>0.1</v>
      </c>
      <c r="S354" s="282">
        <f t="shared" si="11"/>
        <v>0.33333333333333337</v>
      </c>
    </row>
    <row r="355" spans="1:19" ht="48.75" customHeight="1">
      <c r="A355" s="59"/>
      <c r="B355" s="60"/>
      <c r="C355" s="65"/>
      <c r="D355" s="63"/>
      <c r="E355" s="75"/>
      <c r="F355" s="75"/>
      <c r="G355" s="51"/>
      <c r="H355" s="70" t="s">
        <v>775</v>
      </c>
      <c r="I355" s="8">
        <v>28</v>
      </c>
      <c r="J355" s="14">
        <v>1</v>
      </c>
      <c r="K355" s="14">
        <v>3</v>
      </c>
      <c r="L355" s="84" t="s">
        <v>538</v>
      </c>
      <c r="M355" s="85" t="s">
        <v>519</v>
      </c>
      <c r="N355" s="85" t="s">
        <v>539</v>
      </c>
      <c r="O355" s="85" t="s">
        <v>774</v>
      </c>
      <c r="P355" s="8"/>
      <c r="Q355" s="150">
        <f>Q356</f>
        <v>18</v>
      </c>
      <c r="R355" s="150">
        <f>R356</f>
        <v>18</v>
      </c>
      <c r="S355" s="282">
        <f t="shared" si="11"/>
        <v>1</v>
      </c>
    </row>
    <row r="356" spans="1:19" ht="23.25" customHeight="1">
      <c r="A356" s="59"/>
      <c r="B356" s="60"/>
      <c r="C356" s="65"/>
      <c r="D356" s="63"/>
      <c r="E356" s="75"/>
      <c r="F356" s="75"/>
      <c r="G356" s="51"/>
      <c r="H356" s="9" t="s">
        <v>490</v>
      </c>
      <c r="I356" s="8">
        <v>28</v>
      </c>
      <c r="J356" s="14">
        <v>1</v>
      </c>
      <c r="K356" s="14">
        <v>3</v>
      </c>
      <c r="L356" s="84" t="s">
        <v>538</v>
      </c>
      <c r="M356" s="85" t="s">
        <v>519</v>
      </c>
      <c r="N356" s="85" t="s">
        <v>539</v>
      </c>
      <c r="O356" s="85" t="s">
        <v>774</v>
      </c>
      <c r="P356" s="8">
        <v>120</v>
      </c>
      <c r="Q356" s="150">
        <v>18</v>
      </c>
      <c r="R356" s="150">
        <v>18</v>
      </c>
      <c r="S356" s="282">
        <f t="shared" si="11"/>
        <v>1</v>
      </c>
    </row>
    <row r="357" spans="1:19" ht="34.5" customHeight="1">
      <c r="A357" s="59"/>
      <c r="B357" s="60"/>
      <c r="C357" s="65"/>
      <c r="D357" s="63"/>
      <c r="E357" s="75"/>
      <c r="F357" s="75"/>
      <c r="G357" s="51"/>
      <c r="H357" s="9" t="s">
        <v>50</v>
      </c>
      <c r="I357" s="8">
        <v>28</v>
      </c>
      <c r="J357" s="14">
        <v>1</v>
      </c>
      <c r="K357" s="14">
        <v>3</v>
      </c>
      <c r="L357" s="84" t="s">
        <v>538</v>
      </c>
      <c r="M357" s="85" t="s">
        <v>519</v>
      </c>
      <c r="N357" s="85" t="s">
        <v>539</v>
      </c>
      <c r="O357" s="85" t="s">
        <v>49</v>
      </c>
      <c r="P357" s="8"/>
      <c r="Q357" s="150">
        <f>Q358</f>
        <v>378.59999999999997</v>
      </c>
      <c r="R357" s="150">
        <f>R358</f>
        <v>378.59999999999997</v>
      </c>
      <c r="S357" s="282">
        <f t="shared" si="11"/>
        <v>1</v>
      </c>
    </row>
    <row r="358" spans="1:19" ht="23.25" customHeight="1">
      <c r="A358" s="59"/>
      <c r="B358" s="60"/>
      <c r="C358" s="65"/>
      <c r="D358" s="63"/>
      <c r="E358" s="75"/>
      <c r="F358" s="75"/>
      <c r="G358" s="51"/>
      <c r="H358" s="9" t="s">
        <v>490</v>
      </c>
      <c r="I358" s="8">
        <v>28</v>
      </c>
      <c r="J358" s="14">
        <v>1</v>
      </c>
      <c r="K358" s="14">
        <v>3</v>
      </c>
      <c r="L358" s="84" t="s">
        <v>538</v>
      </c>
      <c r="M358" s="85" t="s">
        <v>519</v>
      </c>
      <c r="N358" s="85" t="s">
        <v>539</v>
      </c>
      <c r="O358" s="85" t="s">
        <v>49</v>
      </c>
      <c r="P358" s="8">
        <v>120</v>
      </c>
      <c r="Q358" s="150">
        <f>78.7+138.5+109+52.4</f>
        <v>378.59999999999997</v>
      </c>
      <c r="R358" s="150">
        <f>78.7+138.5+109+52.4</f>
        <v>378.59999999999997</v>
      </c>
      <c r="S358" s="282">
        <f t="shared" si="11"/>
        <v>1</v>
      </c>
    </row>
    <row r="359" spans="1:19" ht="23.25" customHeight="1">
      <c r="A359" s="59"/>
      <c r="B359" s="60"/>
      <c r="C359" s="65"/>
      <c r="D359" s="63"/>
      <c r="E359" s="75"/>
      <c r="F359" s="75"/>
      <c r="G359" s="51"/>
      <c r="H359" s="233" t="s">
        <v>755</v>
      </c>
      <c r="I359" s="8">
        <v>28</v>
      </c>
      <c r="J359" s="14">
        <v>1</v>
      </c>
      <c r="K359" s="14">
        <v>3</v>
      </c>
      <c r="L359" s="84" t="s">
        <v>538</v>
      </c>
      <c r="M359" s="85" t="s">
        <v>519</v>
      </c>
      <c r="N359" s="85" t="s">
        <v>539</v>
      </c>
      <c r="O359" s="85" t="s">
        <v>210</v>
      </c>
      <c r="P359" s="4"/>
      <c r="Q359" s="151">
        <f>SUM(Q360:Q361)</f>
        <v>78.4</v>
      </c>
      <c r="R359" s="151">
        <f>SUM(R360:R361)</f>
        <v>76.3</v>
      </c>
      <c r="S359" s="282">
        <f t="shared" si="11"/>
        <v>0.9732142857142856</v>
      </c>
    </row>
    <row r="360" spans="1:19" ht="23.25" customHeight="1">
      <c r="A360" s="59"/>
      <c r="B360" s="60"/>
      <c r="C360" s="65"/>
      <c r="D360" s="63"/>
      <c r="E360" s="75"/>
      <c r="F360" s="75"/>
      <c r="G360" s="51"/>
      <c r="H360" s="9" t="s">
        <v>490</v>
      </c>
      <c r="I360" s="8">
        <v>28</v>
      </c>
      <c r="J360" s="14">
        <v>1</v>
      </c>
      <c r="K360" s="14">
        <v>3</v>
      </c>
      <c r="L360" s="84" t="s">
        <v>538</v>
      </c>
      <c r="M360" s="85" t="s">
        <v>519</v>
      </c>
      <c r="N360" s="85" t="s">
        <v>539</v>
      </c>
      <c r="O360" s="85" t="s">
        <v>210</v>
      </c>
      <c r="P360" s="4">
        <v>120</v>
      </c>
      <c r="Q360" s="151">
        <v>75.4</v>
      </c>
      <c r="R360" s="151">
        <v>73.3</v>
      </c>
      <c r="S360" s="282">
        <f t="shared" si="11"/>
        <v>0.9721485411140582</v>
      </c>
    </row>
    <row r="361" spans="1:19" ht="23.25" customHeight="1">
      <c r="A361" s="59"/>
      <c r="B361" s="60"/>
      <c r="C361" s="65"/>
      <c r="D361" s="63"/>
      <c r="E361" s="75"/>
      <c r="F361" s="75"/>
      <c r="G361" s="51"/>
      <c r="H361" s="9" t="s">
        <v>636</v>
      </c>
      <c r="I361" s="8">
        <v>28</v>
      </c>
      <c r="J361" s="14">
        <v>1</v>
      </c>
      <c r="K361" s="14">
        <v>3</v>
      </c>
      <c r="L361" s="84" t="s">
        <v>538</v>
      </c>
      <c r="M361" s="85" t="s">
        <v>519</v>
      </c>
      <c r="N361" s="85" t="s">
        <v>539</v>
      </c>
      <c r="O361" s="85" t="s">
        <v>210</v>
      </c>
      <c r="P361" s="4">
        <v>240</v>
      </c>
      <c r="Q361" s="151">
        <v>3</v>
      </c>
      <c r="R361" s="151">
        <v>3</v>
      </c>
      <c r="S361" s="282">
        <f t="shared" si="11"/>
        <v>1</v>
      </c>
    </row>
    <row r="362" spans="1:19" ht="23.25" customHeight="1">
      <c r="A362" s="59"/>
      <c r="B362" s="60"/>
      <c r="C362" s="65"/>
      <c r="D362" s="63"/>
      <c r="E362" s="75"/>
      <c r="F362" s="75"/>
      <c r="G362" s="51"/>
      <c r="H362" s="178" t="s">
        <v>492</v>
      </c>
      <c r="I362" s="97">
        <v>28</v>
      </c>
      <c r="J362" s="98">
        <v>1</v>
      </c>
      <c r="K362" s="98">
        <v>13</v>
      </c>
      <c r="L362" s="84"/>
      <c r="M362" s="85"/>
      <c r="N362" s="85"/>
      <c r="O362" s="85"/>
      <c r="P362" s="4"/>
      <c r="Q362" s="152">
        <f>Q363+Q370</f>
        <v>156.1</v>
      </c>
      <c r="R362" s="152">
        <f>R363+R370</f>
        <v>145</v>
      </c>
      <c r="S362" s="282">
        <f t="shared" si="11"/>
        <v>0.928891736066624</v>
      </c>
    </row>
    <row r="363" spans="1:19" ht="33.75" customHeight="1">
      <c r="A363" s="61"/>
      <c r="B363" s="60"/>
      <c r="C363" s="65"/>
      <c r="D363" s="63"/>
      <c r="E363" s="75"/>
      <c r="F363" s="75"/>
      <c r="G363" s="67"/>
      <c r="H363" s="2" t="s">
        <v>21</v>
      </c>
      <c r="I363" s="4">
        <v>28</v>
      </c>
      <c r="J363" s="5">
        <v>1</v>
      </c>
      <c r="K363" s="14">
        <v>13</v>
      </c>
      <c r="L363" s="57" t="s">
        <v>546</v>
      </c>
      <c r="M363" s="58" t="s">
        <v>519</v>
      </c>
      <c r="N363" s="58" t="s">
        <v>539</v>
      </c>
      <c r="O363" s="58" t="s">
        <v>556</v>
      </c>
      <c r="P363" s="4"/>
      <c r="Q363" s="151">
        <f>Q364+Q367</f>
        <v>156.1</v>
      </c>
      <c r="R363" s="151">
        <f>R364+R367</f>
        <v>145</v>
      </c>
      <c r="S363" s="282">
        <f t="shared" si="11"/>
        <v>0.928891736066624</v>
      </c>
    </row>
    <row r="364" spans="1:19" ht="19.5" customHeight="1">
      <c r="A364" s="61"/>
      <c r="B364" s="60"/>
      <c r="C364" s="65"/>
      <c r="D364" s="63"/>
      <c r="E364" s="75"/>
      <c r="F364" s="75"/>
      <c r="G364" s="67"/>
      <c r="H364" s="2" t="s">
        <v>19</v>
      </c>
      <c r="I364" s="6">
        <v>28</v>
      </c>
      <c r="J364" s="5">
        <v>1</v>
      </c>
      <c r="K364" s="14">
        <v>13</v>
      </c>
      <c r="L364" s="57" t="s">
        <v>546</v>
      </c>
      <c r="M364" s="58" t="s">
        <v>519</v>
      </c>
      <c r="N364" s="58" t="s">
        <v>520</v>
      </c>
      <c r="O364" s="58" t="s">
        <v>556</v>
      </c>
      <c r="P364" s="4"/>
      <c r="Q364" s="151">
        <f>Q365</f>
        <v>101.1</v>
      </c>
      <c r="R364" s="151">
        <f>R365</f>
        <v>90</v>
      </c>
      <c r="S364" s="282">
        <f t="shared" si="11"/>
        <v>0.8902077151335313</v>
      </c>
    </row>
    <row r="365" spans="1:19" ht="36.75" customHeight="1">
      <c r="A365" s="61"/>
      <c r="B365" s="60"/>
      <c r="C365" s="65"/>
      <c r="D365" s="63"/>
      <c r="E365" s="75"/>
      <c r="F365" s="75"/>
      <c r="G365" s="67">
        <v>240</v>
      </c>
      <c r="H365" s="15" t="s">
        <v>218</v>
      </c>
      <c r="I365" s="6">
        <v>28</v>
      </c>
      <c r="J365" s="5">
        <v>1</v>
      </c>
      <c r="K365" s="14">
        <v>13</v>
      </c>
      <c r="L365" s="57" t="s">
        <v>546</v>
      </c>
      <c r="M365" s="58" t="s">
        <v>519</v>
      </c>
      <c r="N365" s="58" t="s">
        <v>520</v>
      </c>
      <c r="O365" s="58" t="s">
        <v>219</v>
      </c>
      <c r="P365" s="4"/>
      <c r="Q365" s="151">
        <f>Q366</f>
        <v>101.1</v>
      </c>
      <c r="R365" s="151">
        <f>R366</f>
        <v>90</v>
      </c>
      <c r="S365" s="282">
        <f t="shared" si="11"/>
        <v>0.8902077151335313</v>
      </c>
    </row>
    <row r="366" spans="1:19" ht="24.75" customHeight="1">
      <c r="A366" s="72"/>
      <c r="B366" s="73"/>
      <c r="C366" s="68"/>
      <c r="D366" s="69"/>
      <c r="E366" s="66"/>
      <c r="F366" s="66"/>
      <c r="G366" s="67"/>
      <c r="H366" s="3" t="s">
        <v>550</v>
      </c>
      <c r="I366" s="4">
        <v>28</v>
      </c>
      <c r="J366" s="5">
        <v>1</v>
      </c>
      <c r="K366" s="14">
        <v>13</v>
      </c>
      <c r="L366" s="57" t="s">
        <v>546</v>
      </c>
      <c r="M366" s="58" t="s">
        <v>519</v>
      </c>
      <c r="N366" s="58" t="s">
        <v>520</v>
      </c>
      <c r="O366" s="58" t="s">
        <v>219</v>
      </c>
      <c r="P366" s="4">
        <v>340</v>
      </c>
      <c r="Q366" s="150">
        <f>260-60-28.9-70</f>
        <v>101.1</v>
      </c>
      <c r="R366" s="150">
        <v>90</v>
      </c>
      <c r="S366" s="282">
        <f t="shared" si="11"/>
        <v>0.8902077151335313</v>
      </c>
    </row>
    <row r="367" spans="1:19" ht="24.75" customHeight="1">
      <c r="A367" s="72"/>
      <c r="B367" s="73"/>
      <c r="C367" s="68"/>
      <c r="D367" s="69"/>
      <c r="E367" s="66"/>
      <c r="F367" s="66"/>
      <c r="G367" s="67"/>
      <c r="H367" s="3" t="s">
        <v>20</v>
      </c>
      <c r="I367" s="4">
        <v>28</v>
      </c>
      <c r="J367" s="5">
        <v>1</v>
      </c>
      <c r="K367" s="14">
        <v>13</v>
      </c>
      <c r="L367" s="57" t="s">
        <v>546</v>
      </c>
      <c r="M367" s="58" t="s">
        <v>519</v>
      </c>
      <c r="N367" s="58" t="s">
        <v>545</v>
      </c>
      <c r="O367" s="58" t="s">
        <v>556</v>
      </c>
      <c r="P367" s="4"/>
      <c r="Q367" s="150">
        <f>Q368</f>
        <v>55</v>
      </c>
      <c r="R367" s="150">
        <f>R368</f>
        <v>55</v>
      </c>
      <c r="S367" s="282">
        <f t="shared" si="11"/>
        <v>1</v>
      </c>
    </row>
    <row r="368" spans="1:19" ht="36.75" customHeight="1">
      <c r="A368" s="72"/>
      <c r="B368" s="73"/>
      <c r="C368" s="68"/>
      <c r="D368" s="69"/>
      <c r="E368" s="66"/>
      <c r="F368" s="66"/>
      <c r="G368" s="67"/>
      <c r="H368" s="3" t="s">
        <v>218</v>
      </c>
      <c r="I368" s="4">
        <v>28</v>
      </c>
      <c r="J368" s="5">
        <v>1</v>
      </c>
      <c r="K368" s="14">
        <v>13</v>
      </c>
      <c r="L368" s="57" t="s">
        <v>546</v>
      </c>
      <c r="M368" s="58" t="s">
        <v>519</v>
      </c>
      <c r="N368" s="58" t="s">
        <v>545</v>
      </c>
      <c r="O368" s="58" t="s">
        <v>219</v>
      </c>
      <c r="P368" s="4"/>
      <c r="Q368" s="150">
        <f>Q369</f>
        <v>55</v>
      </c>
      <c r="R368" s="150">
        <f>R369</f>
        <v>55</v>
      </c>
      <c r="S368" s="282">
        <f t="shared" si="11"/>
        <v>1</v>
      </c>
    </row>
    <row r="369" spans="1:19" ht="24.75" customHeight="1">
      <c r="A369" s="72"/>
      <c r="B369" s="73"/>
      <c r="C369" s="68"/>
      <c r="D369" s="69"/>
      <c r="E369" s="66"/>
      <c r="F369" s="66"/>
      <c r="G369" s="67"/>
      <c r="H369" s="3" t="s">
        <v>636</v>
      </c>
      <c r="I369" s="4">
        <v>28</v>
      </c>
      <c r="J369" s="5">
        <v>1</v>
      </c>
      <c r="K369" s="14">
        <v>13</v>
      </c>
      <c r="L369" s="57" t="s">
        <v>546</v>
      </c>
      <c r="M369" s="58" t="s">
        <v>519</v>
      </c>
      <c r="N369" s="58" t="s">
        <v>545</v>
      </c>
      <c r="O369" s="58" t="s">
        <v>219</v>
      </c>
      <c r="P369" s="4">
        <v>240</v>
      </c>
      <c r="Q369" s="150">
        <f>60-5</f>
        <v>55</v>
      </c>
      <c r="R369" s="150">
        <f>60-5</f>
        <v>55</v>
      </c>
      <c r="S369" s="282">
        <f t="shared" si="11"/>
        <v>1</v>
      </c>
    </row>
    <row r="370" spans="1:19" ht="36" customHeight="1" hidden="1">
      <c r="A370" s="72"/>
      <c r="B370" s="73"/>
      <c r="C370" s="68"/>
      <c r="D370" s="69"/>
      <c r="E370" s="66"/>
      <c r="F370" s="66"/>
      <c r="G370" s="67"/>
      <c r="H370" s="3" t="s">
        <v>218</v>
      </c>
      <c r="I370" s="6">
        <v>28</v>
      </c>
      <c r="J370" s="18">
        <v>1</v>
      </c>
      <c r="K370" s="14">
        <v>13</v>
      </c>
      <c r="L370" s="57" t="s">
        <v>536</v>
      </c>
      <c r="M370" s="58" t="s">
        <v>519</v>
      </c>
      <c r="N370" s="58" t="s">
        <v>539</v>
      </c>
      <c r="O370" s="58" t="s">
        <v>219</v>
      </c>
      <c r="P370" s="4"/>
      <c r="Q370" s="150"/>
      <c r="R370" s="150"/>
      <c r="S370" s="282" t="e">
        <f t="shared" si="11"/>
        <v>#DIV/0!</v>
      </c>
    </row>
    <row r="371" spans="1:19" ht="24.75" customHeight="1" hidden="1">
      <c r="A371" s="72"/>
      <c r="B371" s="73"/>
      <c r="C371" s="68"/>
      <c r="D371" s="69"/>
      <c r="E371" s="66"/>
      <c r="F371" s="66"/>
      <c r="G371" s="67"/>
      <c r="H371" s="3" t="s">
        <v>636</v>
      </c>
      <c r="I371" s="6">
        <v>28</v>
      </c>
      <c r="J371" s="18">
        <v>1</v>
      </c>
      <c r="K371" s="14">
        <v>13</v>
      </c>
      <c r="L371" s="57" t="s">
        <v>536</v>
      </c>
      <c r="M371" s="58" t="s">
        <v>519</v>
      </c>
      <c r="N371" s="58" t="s">
        <v>539</v>
      </c>
      <c r="O371" s="58" t="s">
        <v>219</v>
      </c>
      <c r="P371" s="4">
        <v>240</v>
      </c>
      <c r="Q371" s="150">
        <v>0</v>
      </c>
      <c r="R371" s="150">
        <v>0</v>
      </c>
      <c r="S371" s="282" t="e">
        <f t="shared" si="11"/>
        <v>#DIV/0!</v>
      </c>
    </row>
    <row r="372" spans="1:19" ht="24.75" customHeight="1" hidden="1">
      <c r="A372" s="72"/>
      <c r="B372" s="73"/>
      <c r="C372" s="68"/>
      <c r="D372" s="69"/>
      <c r="E372" s="66"/>
      <c r="F372" s="66"/>
      <c r="G372" s="67"/>
      <c r="H372" s="3" t="s">
        <v>550</v>
      </c>
      <c r="I372" s="6">
        <v>28</v>
      </c>
      <c r="J372" s="18">
        <v>1</v>
      </c>
      <c r="K372" s="14">
        <v>13</v>
      </c>
      <c r="L372" s="57" t="s">
        <v>536</v>
      </c>
      <c r="M372" s="58" t="s">
        <v>519</v>
      </c>
      <c r="N372" s="58" t="s">
        <v>539</v>
      </c>
      <c r="O372" s="58" t="s">
        <v>219</v>
      </c>
      <c r="P372" s="4">
        <v>340</v>
      </c>
      <c r="Q372" s="150">
        <v>0</v>
      </c>
      <c r="R372" s="150">
        <v>0</v>
      </c>
      <c r="S372" s="282" t="e">
        <f t="shared" si="11"/>
        <v>#DIV/0!</v>
      </c>
    </row>
    <row r="373" spans="1:19" s="135" customFormat="1" ht="24.75" customHeight="1">
      <c r="A373" s="125"/>
      <c r="B373" s="170"/>
      <c r="C373" s="116"/>
      <c r="D373" s="129"/>
      <c r="E373" s="104"/>
      <c r="F373" s="104"/>
      <c r="G373" s="114"/>
      <c r="H373" s="161" t="s">
        <v>498</v>
      </c>
      <c r="I373" s="168">
        <v>28</v>
      </c>
      <c r="J373" s="169">
        <v>10</v>
      </c>
      <c r="K373" s="98"/>
      <c r="L373" s="99"/>
      <c r="M373" s="100"/>
      <c r="N373" s="100"/>
      <c r="O373" s="100"/>
      <c r="P373" s="105"/>
      <c r="Q373" s="149">
        <f aca="true" t="shared" si="12" ref="Q373:R376">Q374</f>
        <v>72</v>
      </c>
      <c r="R373" s="149">
        <f t="shared" si="12"/>
        <v>63</v>
      </c>
      <c r="S373" s="282">
        <f t="shared" si="11"/>
        <v>0.875</v>
      </c>
    </row>
    <row r="374" spans="1:19" s="90" customFormat="1" ht="24.75" customHeight="1">
      <c r="A374" s="72"/>
      <c r="B374" s="147"/>
      <c r="C374" s="157"/>
      <c r="D374" s="158"/>
      <c r="E374" s="159"/>
      <c r="F374" s="159"/>
      <c r="G374" s="160"/>
      <c r="H374" s="161" t="s">
        <v>497</v>
      </c>
      <c r="I374" s="162">
        <v>28</v>
      </c>
      <c r="J374" s="163">
        <v>10</v>
      </c>
      <c r="K374" s="164">
        <v>3</v>
      </c>
      <c r="L374" s="165"/>
      <c r="M374" s="166"/>
      <c r="N374" s="166"/>
      <c r="O374" s="166"/>
      <c r="P374" s="162"/>
      <c r="Q374" s="167">
        <f t="shared" si="12"/>
        <v>72</v>
      </c>
      <c r="R374" s="167">
        <f t="shared" si="12"/>
        <v>63</v>
      </c>
      <c r="S374" s="282">
        <f t="shared" si="11"/>
        <v>0.875</v>
      </c>
    </row>
    <row r="375" spans="1:19" ht="54.75" customHeight="1">
      <c r="A375" s="72"/>
      <c r="B375" s="73"/>
      <c r="C375" s="68"/>
      <c r="D375" s="69"/>
      <c r="E375" s="66"/>
      <c r="F375" s="66"/>
      <c r="G375" s="67"/>
      <c r="H375" s="3" t="s">
        <v>477</v>
      </c>
      <c r="I375" s="4">
        <v>28</v>
      </c>
      <c r="J375" s="5">
        <v>10</v>
      </c>
      <c r="K375" s="14">
        <v>3</v>
      </c>
      <c r="L375" s="57" t="s">
        <v>546</v>
      </c>
      <c r="M375" s="58" t="s">
        <v>519</v>
      </c>
      <c r="N375" s="58" t="s">
        <v>546</v>
      </c>
      <c r="O375" s="58" t="s">
        <v>556</v>
      </c>
      <c r="P375" s="4"/>
      <c r="Q375" s="150">
        <f t="shared" si="12"/>
        <v>72</v>
      </c>
      <c r="R375" s="150">
        <f t="shared" si="12"/>
        <v>63</v>
      </c>
      <c r="S375" s="282">
        <f t="shared" si="11"/>
        <v>0.875</v>
      </c>
    </row>
    <row r="376" spans="1:19" ht="34.5" customHeight="1">
      <c r="A376" s="72"/>
      <c r="B376" s="73"/>
      <c r="C376" s="68"/>
      <c r="D376" s="69"/>
      <c r="E376" s="66"/>
      <c r="F376" s="66"/>
      <c r="G376" s="67"/>
      <c r="H376" s="3" t="s">
        <v>218</v>
      </c>
      <c r="I376" s="4">
        <v>28</v>
      </c>
      <c r="J376" s="5">
        <v>10</v>
      </c>
      <c r="K376" s="14">
        <v>3</v>
      </c>
      <c r="L376" s="57" t="s">
        <v>546</v>
      </c>
      <c r="M376" s="58" t="s">
        <v>519</v>
      </c>
      <c r="N376" s="58" t="s">
        <v>546</v>
      </c>
      <c r="O376" s="58" t="s">
        <v>219</v>
      </c>
      <c r="P376" s="4"/>
      <c r="Q376" s="150">
        <f t="shared" si="12"/>
        <v>72</v>
      </c>
      <c r="R376" s="150">
        <f t="shared" si="12"/>
        <v>63</v>
      </c>
      <c r="S376" s="282">
        <f t="shared" si="11"/>
        <v>0.875</v>
      </c>
    </row>
    <row r="377" spans="1:19" ht="24.75" customHeight="1">
      <c r="A377" s="72"/>
      <c r="B377" s="73"/>
      <c r="C377" s="68"/>
      <c r="D377" s="69"/>
      <c r="E377" s="66"/>
      <c r="F377" s="66"/>
      <c r="G377" s="67"/>
      <c r="H377" s="3" t="s">
        <v>640</v>
      </c>
      <c r="I377" s="4">
        <v>28</v>
      </c>
      <c r="J377" s="5">
        <v>10</v>
      </c>
      <c r="K377" s="14">
        <v>3</v>
      </c>
      <c r="L377" s="57" t="s">
        <v>546</v>
      </c>
      <c r="M377" s="58" t="s">
        <v>519</v>
      </c>
      <c r="N377" s="58" t="s">
        <v>546</v>
      </c>
      <c r="O377" s="58" t="s">
        <v>219</v>
      </c>
      <c r="P377" s="4">
        <v>310</v>
      </c>
      <c r="Q377" s="150">
        <v>72</v>
      </c>
      <c r="R377" s="150">
        <v>63</v>
      </c>
      <c r="S377" s="282">
        <f t="shared" si="11"/>
        <v>0.875</v>
      </c>
    </row>
    <row r="378" spans="1:19" ht="51" customHeight="1" hidden="1">
      <c r="A378" s="72"/>
      <c r="B378" s="73"/>
      <c r="C378" s="68"/>
      <c r="D378" s="69"/>
      <c r="E378" s="66"/>
      <c r="F378" s="66"/>
      <c r="G378" s="67"/>
      <c r="H378" s="9" t="s">
        <v>218</v>
      </c>
      <c r="I378" s="8">
        <v>28</v>
      </c>
      <c r="J378" s="14">
        <v>10</v>
      </c>
      <c r="K378" s="14">
        <v>3</v>
      </c>
      <c r="L378" s="84" t="s">
        <v>536</v>
      </c>
      <c r="M378" s="85" t="s">
        <v>519</v>
      </c>
      <c r="N378" s="85" t="s">
        <v>539</v>
      </c>
      <c r="O378" s="85" t="s">
        <v>219</v>
      </c>
      <c r="P378" s="8"/>
      <c r="Q378" s="150"/>
      <c r="R378" s="150"/>
      <c r="S378" s="282" t="e">
        <f t="shared" si="11"/>
        <v>#DIV/0!</v>
      </c>
    </row>
    <row r="379" spans="1:19" ht="24" customHeight="1" hidden="1">
      <c r="A379" s="72"/>
      <c r="B379" s="73"/>
      <c r="C379" s="68"/>
      <c r="D379" s="69"/>
      <c r="E379" s="66"/>
      <c r="F379" s="66"/>
      <c r="G379" s="67"/>
      <c r="H379" s="9" t="s">
        <v>640</v>
      </c>
      <c r="I379" s="8">
        <v>28</v>
      </c>
      <c r="J379" s="14">
        <v>10</v>
      </c>
      <c r="K379" s="14">
        <v>3</v>
      </c>
      <c r="L379" s="84" t="s">
        <v>536</v>
      </c>
      <c r="M379" s="85" t="s">
        <v>519</v>
      </c>
      <c r="N379" s="85" t="s">
        <v>539</v>
      </c>
      <c r="O379" s="85" t="s">
        <v>219</v>
      </c>
      <c r="P379" s="8">
        <v>310</v>
      </c>
      <c r="Q379" s="150">
        <v>0</v>
      </c>
      <c r="R379" s="150">
        <v>0</v>
      </c>
      <c r="S379" s="282" t="e">
        <f t="shared" si="11"/>
        <v>#DIV/0!</v>
      </c>
    </row>
    <row r="380" spans="1:19" s="232" customFormat="1" ht="26.25" customHeight="1">
      <c r="A380" s="117"/>
      <c r="B380" s="118"/>
      <c r="C380" s="119"/>
      <c r="D380" s="120"/>
      <c r="E380" s="121"/>
      <c r="F380" s="121">
        <v>5250102</v>
      </c>
      <c r="G380" s="122">
        <v>530</v>
      </c>
      <c r="H380" s="30" t="s">
        <v>336</v>
      </c>
      <c r="I380" s="12">
        <v>658</v>
      </c>
      <c r="J380" s="13" t="s">
        <v>491</v>
      </c>
      <c r="K380" s="13" t="s">
        <v>491</v>
      </c>
      <c r="L380" s="123" t="s">
        <v>491</v>
      </c>
      <c r="M380" s="124" t="s">
        <v>491</v>
      </c>
      <c r="N380" s="124"/>
      <c r="O380" s="124" t="s">
        <v>491</v>
      </c>
      <c r="P380" s="12" t="s">
        <v>491</v>
      </c>
      <c r="Q380" s="148">
        <f>Q381</f>
        <v>1066.4999999999998</v>
      </c>
      <c r="R380" s="148">
        <f>R381</f>
        <v>1066.4999999999998</v>
      </c>
      <c r="S380" s="282">
        <f t="shared" si="11"/>
        <v>1</v>
      </c>
    </row>
    <row r="381" spans="1:19" s="135" customFormat="1" ht="33.75" customHeight="1">
      <c r="A381" s="101"/>
      <c r="B381" s="102"/>
      <c r="C381" s="112"/>
      <c r="D381" s="109"/>
      <c r="E381" s="113"/>
      <c r="F381" s="113"/>
      <c r="G381" s="114">
        <v>530</v>
      </c>
      <c r="H381" s="96" t="s">
        <v>493</v>
      </c>
      <c r="I381" s="97">
        <v>658</v>
      </c>
      <c r="J381" s="98">
        <v>1</v>
      </c>
      <c r="K381" s="98" t="s">
        <v>557</v>
      </c>
      <c r="L381" s="99" t="s">
        <v>491</v>
      </c>
      <c r="M381" s="100" t="s">
        <v>491</v>
      </c>
      <c r="N381" s="100"/>
      <c r="O381" s="100" t="s">
        <v>491</v>
      </c>
      <c r="P381" s="97" t="s">
        <v>491</v>
      </c>
      <c r="Q381" s="149">
        <f>Q382</f>
        <v>1066.4999999999998</v>
      </c>
      <c r="R381" s="149">
        <f>R382</f>
        <v>1066.4999999999998</v>
      </c>
      <c r="S381" s="282">
        <f t="shared" si="11"/>
        <v>1</v>
      </c>
    </row>
    <row r="382" spans="1:19" s="135" customFormat="1" ht="33.75" customHeight="1">
      <c r="A382" s="101"/>
      <c r="B382" s="102"/>
      <c r="C382" s="112"/>
      <c r="D382" s="109"/>
      <c r="E382" s="113"/>
      <c r="F382" s="113">
        <v>5250103</v>
      </c>
      <c r="G382" s="114">
        <v>530</v>
      </c>
      <c r="H382" s="96" t="s">
        <v>334</v>
      </c>
      <c r="I382" s="97">
        <v>658</v>
      </c>
      <c r="J382" s="98">
        <v>1</v>
      </c>
      <c r="K382" s="98">
        <v>6</v>
      </c>
      <c r="L382" s="99" t="s">
        <v>491</v>
      </c>
      <c r="M382" s="100" t="s">
        <v>491</v>
      </c>
      <c r="N382" s="100"/>
      <c r="O382" s="100" t="s">
        <v>491</v>
      </c>
      <c r="P382" s="97" t="s">
        <v>491</v>
      </c>
      <c r="Q382" s="149">
        <f>Q383+Q389+Q387</f>
        <v>1066.4999999999998</v>
      </c>
      <c r="R382" s="149">
        <f>R383+R389+R387</f>
        <v>1066.4999999999998</v>
      </c>
      <c r="S382" s="282">
        <f t="shared" si="11"/>
        <v>1</v>
      </c>
    </row>
    <row r="383" spans="1:19" ht="22.5" customHeight="1">
      <c r="A383" s="61"/>
      <c r="B383" s="60"/>
      <c r="C383" s="65"/>
      <c r="D383" s="63"/>
      <c r="E383" s="75"/>
      <c r="F383" s="75">
        <v>5250104</v>
      </c>
      <c r="G383" s="67">
        <v>530</v>
      </c>
      <c r="H383" s="9" t="s">
        <v>309</v>
      </c>
      <c r="I383" s="8">
        <v>658</v>
      </c>
      <c r="J383" s="14">
        <v>1</v>
      </c>
      <c r="K383" s="14">
        <v>6</v>
      </c>
      <c r="L383" s="14" t="s">
        <v>536</v>
      </c>
      <c r="M383" s="58" t="s">
        <v>519</v>
      </c>
      <c r="N383" s="58" t="s">
        <v>539</v>
      </c>
      <c r="O383" s="58" t="s">
        <v>584</v>
      </c>
      <c r="P383" s="8" t="s">
        <v>491</v>
      </c>
      <c r="Q383" s="150">
        <f>SUM(Q384:Q386)</f>
        <v>838.6999999999998</v>
      </c>
      <c r="R383" s="150">
        <f>SUM(R384:R386)</f>
        <v>838.6999999999998</v>
      </c>
      <c r="S383" s="282">
        <f t="shared" si="11"/>
        <v>1</v>
      </c>
    </row>
    <row r="384" spans="1:19" ht="22.5" customHeight="1">
      <c r="A384" s="61"/>
      <c r="B384" s="60"/>
      <c r="C384" s="65"/>
      <c r="D384" s="63"/>
      <c r="E384" s="75"/>
      <c r="F384" s="75"/>
      <c r="G384" s="67"/>
      <c r="H384" s="9" t="s">
        <v>490</v>
      </c>
      <c r="I384" s="4">
        <v>658</v>
      </c>
      <c r="J384" s="16">
        <v>1</v>
      </c>
      <c r="K384" s="14">
        <v>6</v>
      </c>
      <c r="L384" s="14">
        <v>91</v>
      </c>
      <c r="M384" s="58" t="s">
        <v>519</v>
      </c>
      <c r="N384" s="58" t="s">
        <v>539</v>
      </c>
      <c r="O384" s="58" t="s">
        <v>584</v>
      </c>
      <c r="P384" s="8">
        <v>120</v>
      </c>
      <c r="Q384" s="150">
        <f>1273.6-373.2-2.1-62</f>
        <v>836.2999999999998</v>
      </c>
      <c r="R384" s="150">
        <f>1273.6-373.2-2.1-62</f>
        <v>836.2999999999998</v>
      </c>
      <c r="S384" s="282">
        <f t="shared" si="11"/>
        <v>1</v>
      </c>
    </row>
    <row r="385" spans="1:19" ht="20.25" customHeight="1">
      <c r="A385" s="61"/>
      <c r="B385" s="60"/>
      <c r="C385" s="65"/>
      <c r="D385" s="63"/>
      <c r="E385" s="75"/>
      <c r="F385" s="75"/>
      <c r="G385" s="67"/>
      <c r="H385" s="3" t="s">
        <v>636</v>
      </c>
      <c r="I385" s="6">
        <v>658</v>
      </c>
      <c r="J385" s="18">
        <v>1</v>
      </c>
      <c r="K385" s="14">
        <v>6</v>
      </c>
      <c r="L385" s="14">
        <v>91</v>
      </c>
      <c r="M385" s="58" t="s">
        <v>519</v>
      </c>
      <c r="N385" s="58" t="s">
        <v>539</v>
      </c>
      <c r="O385" s="58" t="s">
        <v>584</v>
      </c>
      <c r="P385" s="4">
        <v>240</v>
      </c>
      <c r="Q385" s="150">
        <f>269.1-251.1-14-1.6</f>
        <v>2.4000000000000283</v>
      </c>
      <c r="R385" s="150">
        <f>269.1-251.1-14-1.6</f>
        <v>2.4000000000000283</v>
      </c>
      <c r="S385" s="282">
        <f t="shared" si="11"/>
        <v>1</v>
      </c>
    </row>
    <row r="386" spans="1:19" ht="20.25" customHeight="1" hidden="1">
      <c r="A386" s="61"/>
      <c r="B386" s="60"/>
      <c r="C386" s="65"/>
      <c r="D386" s="63"/>
      <c r="E386" s="66"/>
      <c r="F386" s="66"/>
      <c r="G386" s="51"/>
      <c r="H386" s="9" t="s">
        <v>637</v>
      </c>
      <c r="I386" s="4">
        <v>658</v>
      </c>
      <c r="J386" s="18">
        <v>1</v>
      </c>
      <c r="K386" s="14">
        <v>6</v>
      </c>
      <c r="L386" s="14">
        <v>91</v>
      </c>
      <c r="M386" s="58" t="s">
        <v>519</v>
      </c>
      <c r="N386" s="58" t="s">
        <v>539</v>
      </c>
      <c r="O386" s="58" t="s">
        <v>584</v>
      </c>
      <c r="P386" s="8">
        <v>850</v>
      </c>
      <c r="Q386" s="150">
        <f>0.1-0.1</f>
        <v>0</v>
      </c>
      <c r="R386" s="150">
        <f>0.1-0.1</f>
        <v>0</v>
      </c>
      <c r="S386" s="282" t="e">
        <f t="shared" si="11"/>
        <v>#DIV/0!</v>
      </c>
    </row>
    <row r="387" spans="1:19" ht="36.75" customHeight="1">
      <c r="A387" s="61"/>
      <c r="B387" s="60"/>
      <c r="C387" s="65"/>
      <c r="D387" s="63"/>
      <c r="E387" s="66"/>
      <c r="F387" s="66"/>
      <c r="G387" s="51"/>
      <c r="H387" s="9" t="s">
        <v>50</v>
      </c>
      <c r="I387" s="4">
        <v>658</v>
      </c>
      <c r="J387" s="5">
        <v>1</v>
      </c>
      <c r="K387" s="14">
        <v>6</v>
      </c>
      <c r="L387" s="14">
        <v>91</v>
      </c>
      <c r="M387" s="58" t="s">
        <v>519</v>
      </c>
      <c r="N387" s="58" t="s">
        <v>539</v>
      </c>
      <c r="O387" s="58" t="s">
        <v>49</v>
      </c>
      <c r="P387" s="8"/>
      <c r="Q387" s="150">
        <f>Q388</f>
        <v>89.69999999999999</v>
      </c>
      <c r="R387" s="150">
        <f>R388</f>
        <v>89.69999999999999</v>
      </c>
      <c r="S387" s="282">
        <f t="shared" si="11"/>
        <v>1</v>
      </c>
    </row>
    <row r="388" spans="1:19" ht="20.25" customHeight="1">
      <c r="A388" s="61"/>
      <c r="B388" s="60"/>
      <c r="C388" s="65"/>
      <c r="D388" s="63"/>
      <c r="E388" s="66"/>
      <c r="F388" s="66"/>
      <c r="G388" s="51"/>
      <c r="H388" s="9" t="s">
        <v>490</v>
      </c>
      <c r="I388" s="4">
        <v>658</v>
      </c>
      <c r="J388" s="5">
        <v>1</v>
      </c>
      <c r="K388" s="14">
        <v>6</v>
      </c>
      <c r="L388" s="14">
        <v>91</v>
      </c>
      <c r="M388" s="58" t="s">
        <v>519</v>
      </c>
      <c r="N388" s="58" t="s">
        <v>539</v>
      </c>
      <c r="O388" s="58" t="s">
        <v>49</v>
      </c>
      <c r="P388" s="8">
        <v>120</v>
      </c>
      <c r="Q388" s="150">
        <f>251.1-109-52.4</f>
        <v>89.69999999999999</v>
      </c>
      <c r="R388" s="150">
        <f>251.1-109-52.4</f>
        <v>89.69999999999999</v>
      </c>
      <c r="S388" s="282">
        <f t="shared" si="11"/>
        <v>1</v>
      </c>
    </row>
    <row r="389" spans="1:19" ht="21.75" customHeight="1">
      <c r="A389" s="61"/>
      <c r="B389" s="60"/>
      <c r="C389" s="65"/>
      <c r="D389" s="63"/>
      <c r="E389" s="66"/>
      <c r="F389" s="66"/>
      <c r="G389" s="51"/>
      <c r="H389" s="9" t="s">
        <v>211</v>
      </c>
      <c r="I389" s="8">
        <v>658</v>
      </c>
      <c r="J389" s="5">
        <v>1</v>
      </c>
      <c r="K389" s="14">
        <v>6</v>
      </c>
      <c r="L389" s="14">
        <v>91</v>
      </c>
      <c r="M389" s="58" t="s">
        <v>519</v>
      </c>
      <c r="N389" s="58" t="s">
        <v>539</v>
      </c>
      <c r="O389" s="58" t="s">
        <v>210</v>
      </c>
      <c r="P389" s="8"/>
      <c r="Q389" s="150">
        <f>SUM(Q390:Q391)</f>
        <v>138.1</v>
      </c>
      <c r="R389" s="150">
        <f>SUM(R390:R391)</f>
        <v>138.1</v>
      </c>
      <c r="S389" s="282">
        <f t="shared" si="11"/>
        <v>1</v>
      </c>
    </row>
    <row r="390" spans="1:19" ht="21" customHeight="1">
      <c r="A390" s="61"/>
      <c r="B390" s="60"/>
      <c r="C390" s="65"/>
      <c r="D390" s="63"/>
      <c r="E390" s="66"/>
      <c r="F390" s="66"/>
      <c r="G390" s="51"/>
      <c r="H390" s="9" t="s">
        <v>490</v>
      </c>
      <c r="I390" s="8">
        <v>658</v>
      </c>
      <c r="J390" s="5">
        <v>1</v>
      </c>
      <c r="K390" s="14">
        <v>6</v>
      </c>
      <c r="L390" s="14">
        <v>91</v>
      </c>
      <c r="M390" s="58" t="s">
        <v>519</v>
      </c>
      <c r="N390" s="58" t="s">
        <v>539</v>
      </c>
      <c r="O390" s="58" t="s">
        <v>210</v>
      </c>
      <c r="P390" s="8">
        <v>120</v>
      </c>
      <c r="Q390" s="150">
        <f>188.2+5.8-55-21-23</f>
        <v>95</v>
      </c>
      <c r="R390" s="150">
        <f>188.2+5.8-55-21-23</f>
        <v>95</v>
      </c>
      <c r="S390" s="282">
        <f t="shared" si="11"/>
        <v>1</v>
      </c>
    </row>
    <row r="391" spans="1:19" ht="28.5" customHeight="1">
      <c r="A391" s="61"/>
      <c r="B391" s="60"/>
      <c r="C391" s="65"/>
      <c r="D391" s="63"/>
      <c r="E391" s="66"/>
      <c r="F391" s="66"/>
      <c r="G391" s="51"/>
      <c r="H391" s="9" t="s">
        <v>636</v>
      </c>
      <c r="I391" s="8">
        <v>658</v>
      </c>
      <c r="J391" s="5">
        <v>1</v>
      </c>
      <c r="K391" s="14">
        <v>6</v>
      </c>
      <c r="L391" s="14">
        <v>91</v>
      </c>
      <c r="M391" s="58" t="s">
        <v>519</v>
      </c>
      <c r="N391" s="58" t="s">
        <v>539</v>
      </c>
      <c r="O391" s="58" t="s">
        <v>210</v>
      </c>
      <c r="P391" s="8">
        <v>240</v>
      </c>
      <c r="Q391" s="150">
        <f>25-5.8+3.3+55-23.7-10.7</f>
        <v>43.099999999999994</v>
      </c>
      <c r="R391" s="150">
        <f>25-5.8+3.3+55-23.7-10.7</f>
        <v>43.099999999999994</v>
      </c>
      <c r="S391" s="282">
        <f t="shared" si="11"/>
        <v>1</v>
      </c>
    </row>
    <row r="392" spans="1:19" ht="27" customHeight="1">
      <c r="A392" s="61"/>
      <c r="B392" s="60"/>
      <c r="C392" s="65"/>
      <c r="D392" s="63"/>
      <c r="E392" s="66"/>
      <c r="F392" s="66"/>
      <c r="G392" s="51"/>
      <c r="H392" s="9" t="s">
        <v>637</v>
      </c>
      <c r="I392" s="8">
        <v>658</v>
      </c>
      <c r="J392" s="5">
        <v>1</v>
      </c>
      <c r="K392" s="14">
        <v>6</v>
      </c>
      <c r="L392" s="14">
        <v>91</v>
      </c>
      <c r="M392" s="58" t="s">
        <v>519</v>
      </c>
      <c r="N392" s="58" t="s">
        <v>539</v>
      </c>
      <c r="O392" s="58" t="s">
        <v>210</v>
      </c>
      <c r="P392" s="8">
        <v>850</v>
      </c>
      <c r="Q392" s="150">
        <v>1</v>
      </c>
      <c r="R392" s="150">
        <v>1</v>
      </c>
      <c r="S392" s="282">
        <f t="shared" si="11"/>
        <v>1</v>
      </c>
    </row>
    <row r="393" spans="1:19" s="232" customFormat="1" ht="27.75" customHeight="1">
      <c r="A393" s="117"/>
      <c r="B393" s="118"/>
      <c r="C393" s="119"/>
      <c r="D393" s="120"/>
      <c r="E393" s="289">
        <v>5250300</v>
      </c>
      <c r="F393" s="289"/>
      <c r="G393" s="91">
        <v>530</v>
      </c>
      <c r="H393" s="30" t="s">
        <v>335</v>
      </c>
      <c r="I393" s="12">
        <v>660</v>
      </c>
      <c r="J393" s="13" t="s">
        <v>491</v>
      </c>
      <c r="K393" s="13" t="s">
        <v>491</v>
      </c>
      <c r="L393" s="92" t="s">
        <v>491</v>
      </c>
      <c r="M393" s="93" t="s">
        <v>491</v>
      </c>
      <c r="N393" s="93"/>
      <c r="O393" s="93" t="s">
        <v>491</v>
      </c>
      <c r="P393" s="12" t="s">
        <v>491</v>
      </c>
      <c r="Q393" s="148">
        <f aca="true" t="shared" si="13" ref="Q393:R395">Q394</f>
        <v>1359.9</v>
      </c>
      <c r="R393" s="148">
        <f t="shared" si="13"/>
        <v>1359.9</v>
      </c>
      <c r="S393" s="282">
        <f t="shared" si="11"/>
        <v>1</v>
      </c>
    </row>
    <row r="394" spans="1:19" s="135" customFormat="1" ht="18.75" customHeight="1">
      <c r="A394" s="125"/>
      <c r="B394" s="126"/>
      <c r="C394" s="116"/>
      <c r="D394" s="103"/>
      <c r="E394" s="104"/>
      <c r="F394" s="104"/>
      <c r="G394" s="114">
        <v>530</v>
      </c>
      <c r="H394" s="96" t="s">
        <v>493</v>
      </c>
      <c r="I394" s="97">
        <v>660</v>
      </c>
      <c r="J394" s="98">
        <v>1</v>
      </c>
      <c r="K394" s="98" t="s">
        <v>557</v>
      </c>
      <c r="L394" s="99" t="s">
        <v>491</v>
      </c>
      <c r="M394" s="100" t="s">
        <v>491</v>
      </c>
      <c r="N394" s="100"/>
      <c r="O394" s="100" t="s">
        <v>491</v>
      </c>
      <c r="P394" s="105" t="s">
        <v>491</v>
      </c>
      <c r="Q394" s="152">
        <f t="shared" si="13"/>
        <v>1359.9</v>
      </c>
      <c r="R394" s="152">
        <f t="shared" si="13"/>
        <v>1359.9</v>
      </c>
      <c r="S394" s="282">
        <f t="shared" si="11"/>
        <v>1</v>
      </c>
    </row>
    <row r="395" spans="1:19" s="135" customFormat="1" ht="18.75" customHeight="1">
      <c r="A395" s="291">
        <v>1000</v>
      </c>
      <c r="B395" s="291"/>
      <c r="C395" s="292"/>
      <c r="D395" s="292"/>
      <c r="E395" s="292"/>
      <c r="F395" s="292"/>
      <c r="G395" s="95">
        <v>530</v>
      </c>
      <c r="H395" s="96" t="s">
        <v>492</v>
      </c>
      <c r="I395" s="97">
        <v>660</v>
      </c>
      <c r="J395" s="98">
        <v>1</v>
      </c>
      <c r="K395" s="98">
        <v>13</v>
      </c>
      <c r="L395" s="99" t="s">
        <v>491</v>
      </c>
      <c r="M395" s="100" t="s">
        <v>491</v>
      </c>
      <c r="N395" s="100"/>
      <c r="O395" s="100" t="s">
        <v>491</v>
      </c>
      <c r="P395" s="97" t="s">
        <v>491</v>
      </c>
      <c r="Q395" s="149">
        <f t="shared" si="13"/>
        <v>1359.9</v>
      </c>
      <c r="R395" s="149">
        <f t="shared" si="13"/>
        <v>1359.9</v>
      </c>
      <c r="S395" s="282">
        <f t="shared" si="11"/>
        <v>1</v>
      </c>
    </row>
    <row r="396" spans="1:19" s="135" customFormat="1" ht="18.75" customHeight="1">
      <c r="A396" s="101"/>
      <c r="B396" s="102"/>
      <c r="C396" s="125"/>
      <c r="D396" s="94"/>
      <c r="E396" s="94"/>
      <c r="F396" s="94"/>
      <c r="G396" s="95"/>
      <c r="H396" s="9" t="s">
        <v>267</v>
      </c>
      <c r="I396" s="8">
        <v>660</v>
      </c>
      <c r="J396" s="14">
        <v>1</v>
      </c>
      <c r="K396" s="14">
        <v>13</v>
      </c>
      <c r="L396" s="57" t="s">
        <v>536</v>
      </c>
      <c r="M396" s="58" t="s">
        <v>519</v>
      </c>
      <c r="N396" s="58" t="s">
        <v>539</v>
      </c>
      <c r="O396" s="58" t="s">
        <v>556</v>
      </c>
      <c r="P396" s="97"/>
      <c r="Q396" s="150">
        <f>Q397+Q405+Q403+Q401</f>
        <v>1359.9</v>
      </c>
      <c r="R396" s="150">
        <f>R397+R405+R403+R401</f>
        <v>1359.9</v>
      </c>
      <c r="S396" s="282">
        <f aca="true" t="shared" si="14" ref="S396:S459">R396/Q396</f>
        <v>1</v>
      </c>
    </row>
    <row r="397" spans="1:19" ht="18.75" customHeight="1">
      <c r="A397" s="61"/>
      <c r="B397" s="60"/>
      <c r="C397" s="59"/>
      <c r="D397" s="283">
        <v>5050000</v>
      </c>
      <c r="E397" s="284"/>
      <c r="F397" s="284"/>
      <c r="G397" s="51">
        <v>321</v>
      </c>
      <c r="H397" s="9" t="s">
        <v>309</v>
      </c>
      <c r="I397" s="8">
        <v>660</v>
      </c>
      <c r="J397" s="14">
        <v>1</v>
      </c>
      <c r="K397" s="14">
        <v>13</v>
      </c>
      <c r="L397" s="14" t="s">
        <v>536</v>
      </c>
      <c r="M397" s="58" t="s">
        <v>519</v>
      </c>
      <c r="N397" s="58" t="s">
        <v>539</v>
      </c>
      <c r="O397" s="58" t="s">
        <v>584</v>
      </c>
      <c r="P397" s="8" t="s">
        <v>491</v>
      </c>
      <c r="Q397" s="150">
        <f>SUM(Q398:Q400)</f>
        <v>870.1</v>
      </c>
      <c r="R397" s="150">
        <f>SUM(R398:R400)</f>
        <v>870.1</v>
      </c>
      <c r="S397" s="282">
        <f t="shared" si="14"/>
        <v>1</v>
      </c>
    </row>
    <row r="398" spans="1:19" ht="26.25" customHeight="1">
      <c r="A398" s="61"/>
      <c r="B398" s="60"/>
      <c r="C398" s="59"/>
      <c r="D398" s="63"/>
      <c r="E398" s="62"/>
      <c r="F398" s="62"/>
      <c r="G398" s="51"/>
      <c r="H398" s="9" t="s">
        <v>490</v>
      </c>
      <c r="I398" s="4">
        <v>660</v>
      </c>
      <c r="J398" s="16">
        <v>1</v>
      </c>
      <c r="K398" s="14">
        <v>13</v>
      </c>
      <c r="L398" s="14">
        <v>91</v>
      </c>
      <c r="M398" s="58" t="s">
        <v>519</v>
      </c>
      <c r="N398" s="58" t="s">
        <v>539</v>
      </c>
      <c r="O398" s="58" t="s">
        <v>584</v>
      </c>
      <c r="P398" s="8">
        <v>120</v>
      </c>
      <c r="Q398" s="150">
        <f>869.3-0.9-0.1</f>
        <v>868.3</v>
      </c>
      <c r="R398" s="150">
        <f>869.3-0.9-0.1</f>
        <v>868.3</v>
      </c>
      <c r="S398" s="282">
        <f t="shared" si="14"/>
        <v>1</v>
      </c>
    </row>
    <row r="399" spans="1:19" ht="27.75" customHeight="1">
      <c r="A399" s="61"/>
      <c r="B399" s="60"/>
      <c r="C399" s="65"/>
      <c r="D399" s="63"/>
      <c r="E399" s="75"/>
      <c r="F399" s="75"/>
      <c r="G399" s="51"/>
      <c r="H399" s="3" t="s">
        <v>636</v>
      </c>
      <c r="I399" s="4">
        <v>660</v>
      </c>
      <c r="J399" s="18">
        <v>1</v>
      </c>
      <c r="K399" s="14">
        <v>13</v>
      </c>
      <c r="L399" s="14">
        <v>91</v>
      </c>
      <c r="M399" s="58" t="s">
        <v>519</v>
      </c>
      <c r="N399" s="58" t="s">
        <v>539</v>
      </c>
      <c r="O399" s="58" t="s">
        <v>584</v>
      </c>
      <c r="P399" s="4">
        <v>240</v>
      </c>
      <c r="Q399" s="150">
        <f>182-150.7+10-11.3-28.3</f>
        <v>1.70000000000001</v>
      </c>
      <c r="R399" s="150">
        <f>182-150.7+10-11.3-28.3</f>
        <v>1.70000000000001</v>
      </c>
      <c r="S399" s="282">
        <f t="shared" si="14"/>
        <v>1</v>
      </c>
    </row>
    <row r="400" spans="1:19" ht="27.75" customHeight="1">
      <c r="A400" s="61"/>
      <c r="B400" s="60"/>
      <c r="C400" s="65"/>
      <c r="D400" s="69"/>
      <c r="E400" s="66"/>
      <c r="F400" s="66"/>
      <c r="G400" s="51"/>
      <c r="H400" s="9" t="s">
        <v>637</v>
      </c>
      <c r="I400" s="4">
        <v>660</v>
      </c>
      <c r="J400" s="16">
        <v>1</v>
      </c>
      <c r="K400" s="14">
        <v>13</v>
      </c>
      <c r="L400" s="14">
        <v>91</v>
      </c>
      <c r="M400" s="58" t="s">
        <v>519</v>
      </c>
      <c r="N400" s="58" t="s">
        <v>539</v>
      </c>
      <c r="O400" s="58" t="s">
        <v>584</v>
      </c>
      <c r="P400" s="8">
        <v>850</v>
      </c>
      <c r="Q400" s="150">
        <v>0.1</v>
      </c>
      <c r="R400" s="150">
        <v>0.1</v>
      </c>
      <c r="S400" s="282">
        <f t="shared" si="14"/>
        <v>1</v>
      </c>
    </row>
    <row r="401" spans="1:19" ht="48" customHeight="1" hidden="1">
      <c r="A401" s="61"/>
      <c r="B401" s="60"/>
      <c r="C401" s="65"/>
      <c r="D401" s="69"/>
      <c r="E401" s="66"/>
      <c r="F401" s="66"/>
      <c r="G401" s="51"/>
      <c r="H401" s="70" t="s">
        <v>775</v>
      </c>
      <c r="I401" s="8">
        <v>660</v>
      </c>
      <c r="J401" s="5">
        <v>1</v>
      </c>
      <c r="K401" s="14">
        <v>13</v>
      </c>
      <c r="L401" s="14">
        <v>91</v>
      </c>
      <c r="M401" s="58" t="s">
        <v>519</v>
      </c>
      <c r="N401" s="58" t="s">
        <v>539</v>
      </c>
      <c r="O401" s="58" t="s">
        <v>774</v>
      </c>
      <c r="P401" s="4"/>
      <c r="Q401" s="151">
        <f>Q402</f>
        <v>0</v>
      </c>
      <c r="R401" s="151">
        <f>R402</f>
        <v>0</v>
      </c>
      <c r="S401" s="282" t="e">
        <f t="shared" si="14"/>
        <v>#DIV/0!</v>
      </c>
    </row>
    <row r="402" spans="1:19" ht="27.75" customHeight="1" hidden="1">
      <c r="A402" s="61"/>
      <c r="B402" s="60"/>
      <c r="C402" s="65"/>
      <c r="D402" s="69"/>
      <c r="E402" s="66"/>
      <c r="F402" s="66"/>
      <c r="G402" s="51"/>
      <c r="H402" s="9" t="s">
        <v>490</v>
      </c>
      <c r="I402" s="8">
        <v>660</v>
      </c>
      <c r="J402" s="5">
        <v>1</v>
      </c>
      <c r="K402" s="14">
        <v>13</v>
      </c>
      <c r="L402" s="14">
        <v>91</v>
      </c>
      <c r="M402" s="58" t="s">
        <v>519</v>
      </c>
      <c r="N402" s="58" t="s">
        <v>539</v>
      </c>
      <c r="O402" s="58" t="s">
        <v>774</v>
      </c>
      <c r="P402" s="4">
        <v>120</v>
      </c>
      <c r="Q402" s="151">
        <v>0</v>
      </c>
      <c r="R402" s="151">
        <v>0</v>
      </c>
      <c r="S402" s="282" t="e">
        <f t="shared" si="14"/>
        <v>#DIV/0!</v>
      </c>
    </row>
    <row r="403" spans="1:19" ht="39" customHeight="1">
      <c r="A403" s="61"/>
      <c r="B403" s="60"/>
      <c r="C403" s="65"/>
      <c r="D403" s="69"/>
      <c r="E403" s="66"/>
      <c r="F403" s="66"/>
      <c r="G403" s="51"/>
      <c r="H403" s="9" t="s">
        <v>50</v>
      </c>
      <c r="I403" s="8">
        <v>660</v>
      </c>
      <c r="J403" s="5">
        <v>1</v>
      </c>
      <c r="K403" s="14">
        <v>13</v>
      </c>
      <c r="L403" s="14">
        <v>91</v>
      </c>
      <c r="M403" s="58" t="s">
        <v>519</v>
      </c>
      <c r="N403" s="58" t="s">
        <v>539</v>
      </c>
      <c r="O403" s="58" t="s">
        <v>49</v>
      </c>
      <c r="P403" s="4"/>
      <c r="Q403" s="151">
        <f>Q404</f>
        <v>165</v>
      </c>
      <c r="R403" s="151">
        <f>R404</f>
        <v>165</v>
      </c>
      <c r="S403" s="282">
        <f t="shared" si="14"/>
        <v>1</v>
      </c>
    </row>
    <row r="404" spans="1:19" ht="27.75" customHeight="1">
      <c r="A404" s="61"/>
      <c r="B404" s="60"/>
      <c r="C404" s="65"/>
      <c r="D404" s="69"/>
      <c r="E404" s="66"/>
      <c r="F404" s="66"/>
      <c r="G404" s="51"/>
      <c r="H404" s="9" t="s">
        <v>490</v>
      </c>
      <c r="I404" s="8">
        <v>660</v>
      </c>
      <c r="J404" s="5">
        <v>1</v>
      </c>
      <c r="K404" s="14">
        <v>13</v>
      </c>
      <c r="L404" s="14">
        <v>91</v>
      </c>
      <c r="M404" s="58" t="s">
        <v>519</v>
      </c>
      <c r="N404" s="58" t="s">
        <v>539</v>
      </c>
      <c r="O404" s="58" t="s">
        <v>49</v>
      </c>
      <c r="P404" s="4">
        <v>120</v>
      </c>
      <c r="Q404" s="151">
        <v>165</v>
      </c>
      <c r="R404" s="151">
        <v>165</v>
      </c>
      <c r="S404" s="282">
        <f t="shared" si="14"/>
        <v>1</v>
      </c>
    </row>
    <row r="405" spans="1:19" ht="36.75" customHeight="1">
      <c r="A405" s="61"/>
      <c r="B405" s="60"/>
      <c r="C405" s="65"/>
      <c r="D405" s="69"/>
      <c r="E405" s="66"/>
      <c r="F405" s="66"/>
      <c r="G405" s="67"/>
      <c r="H405" s="9" t="s">
        <v>213</v>
      </c>
      <c r="I405" s="8">
        <v>660</v>
      </c>
      <c r="J405" s="5">
        <v>1</v>
      </c>
      <c r="K405" s="14">
        <v>13</v>
      </c>
      <c r="L405" s="14">
        <v>91</v>
      </c>
      <c r="M405" s="58" t="s">
        <v>519</v>
      </c>
      <c r="N405" s="58" t="s">
        <v>539</v>
      </c>
      <c r="O405" s="58" t="s">
        <v>212</v>
      </c>
      <c r="P405" s="4"/>
      <c r="Q405" s="151">
        <f>SUM(Q406:Q407)</f>
        <v>324.79999999999995</v>
      </c>
      <c r="R405" s="151">
        <f>SUM(R406:R407)</f>
        <v>324.79999999999995</v>
      </c>
      <c r="S405" s="282">
        <f t="shared" si="14"/>
        <v>1</v>
      </c>
    </row>
    <row r="406" spans="1:19" ht="30.75" customHeight="1">
      <c r="A406" s="61"/>
      <c r="B406" s="60"/>
      <c r="C406" s="65"/>
      <c r="D406" s="69"/>
      <c r="E406" s="66"/>
      <c r="F406" s="66"/>
      <c r="G406" s="67"/>
      <c r="H406" s="9" t="s">
        <v>490</v>
      </c>
      <c r="I406" s="8">
        <v>660</v>
      </c>
      <c r="J406" s="5">
        <v>1</v>
      </c>
      <c r="K406" s="14">
        <v>13</v>
      </c>
      <c r="L406" s="14">
        <v>91</v>
      </c>
      <c r="M406" s="58" t="s">
        <v>519</v>
      </c>
      <c r="N406" s="58" t="s">
        <v>539</v>
      </c>
      <c r="O406" s="58" t="s">
        <v>212</v>
      </c>
      <c r="P406" s="4">
        <v>120</v>
      </c>
      <c r="Q406" s="151">
        <v>323.9</v>
      </c>
      <c r="R406" s="151">
        <v>323.9</v>
      </c>
      <c r="S406" s="282">
        <f t="shared" si="14"/>
        <v>1</v>
      </c>
    </row>
    <row r="407" spans="1:19" ht="24.75" customHeight="1">
      <c r="A407" s="61"/>
      <c r="B407" s="60"/>
      <c r="C407" s="65"/>
      <c r="D407" s="69"/>
      <c r="E407" s="66"/>
      <c r="F407" s="66"/>
      <c r="G407" s="67"/>
      <c r="H407" s="9" t="s">
        <v>636</v>
      </c>
      <c r="I407" s="8">
        <v>660</v>
      </c>
      <c r="J407" s="5">
        <v>1</v>
      </c>
      <c r="K407" s="14">
        <v>13</v>
      </c>
      <c r="L407" s="14">
        <v>91</v>
      </c>
      <c r="M407" s="58" t="s">
        <v>519</v>
      </c>
      <c r="N407" s="58" t="s">
        <v>539</v>
      </c>
      <c r="O407" s="58" t="s">
        <v>212</v>
      </c>
      <c r="P407" s="4">
        <v>240</v>
      </c>
      <c r="Q407" s="150">
        <v>0.9</v>
      </c>
      <c r="R407" s="150">
        <v>0.9</v>
      </c>
      <c r="S407" s="282">
        <f t="shared" si="14"/>
        <v>1</v>
      </c>
    </row>
    <row r="408" spans="1:19" s="232" customFormat="1" ht="26.25" customHeight="1">
      <c r="A408" s="117"/>
      <c r="B408" s="118"/>
      <c r="C408" s="119"/>
      <c r="D408" s="127"/>
      <c r="E408" s="128"/>
      <c r="F408" s="128"/>
      <c r="G408" s="122">
        <v>321</v>
      </c>
      <c r="H408" s="30" t="s">
        <v>337</v>
      </c>
      <c r="I408" s="12">
        <v>661</v>
      </c>
      <c r="J408" s="13" t="s">
        <v>491</v>
      </c>
      <c r="K408" s="13" t="s">
        <v>491</v>
      </c>
      <c r="L408" s="92" t="s">
        <v>491</v>
      </c>
      <c r="M408" s="93" t="s">
        <v>491</v>
      </c>
      <c r="N408" s="93"/>
      <c r="O408" s="93" t="s">
        <v>491</v>
      </c>
      <c r="P408" s="25" t="s">
        <v>491</v>
      </c>
      <c r="Q408" s="155">
        <f>Q409+Q446+Q453</f>
        <v>41945.5</v>
      </c>
      <c r="R408" s="155">
        <f>R409+R446+R453</f>
        <v>41902.7</v>
      </c>
      <c r="S408" s="282">
        <f t="shared" si="14"/>
        <v>0.9989796283272341</v>
      </c>
    </row>
    <row r="409" spans="1:19" s="135" customFormat="1" ht="18.75" customHeight="1">
      <c r="A409" s="101"/>
      <c r="B409" s="102"/>
      <c r="C409" s="101"/>
      <c r="D409" s="286">
        <v>5200000</v>
      </c>
      <c r="E409" s="287"/>
      <c r="F409" s="287"/>
      <c r="G409" s="95">
        <v>530</v>
      </c>
      <c r="H409" s="96" t="s">
        <v>493</v>
      </c>
      <c r="I409" s="97">
        <v>661</v>
      </c>
      <c r="J409" s="98">
        <v>1</v>
      </c>
      <c r="K409" s="98" t="s">
        <v>557</v>
      </c>
      <c r="L409" s="99" t="s">
        <v>491</v>
      </c>
      <c r="M409" s="100" t="s">
        <v>491</v>
      </c>
      <c r="N409" s="100"/>
      <c r="O409" s="100" t="s">
        <v>491</v>
      </c>
      <c r="P409" s="105" t="s">
        <v>491</v>
      </c>
      <c r="Q409" s="152">
        <f>Q410+Q432</f>
        <v>22766</v>
      </c>
      <c r="R409" s="152">
        <f>R410+R432</f>
        <v>22723.2</v>
      </c>
      <c r="S409" s="282">
        <f t="shared" si="14"/>
        <v>0.9981200035140122</v>
      </c>
    </row>
    <row r="410" spans="1:19" s="135" customFormat="1" ht="36.75" customHeight="1">
      <c r="A410" s="101"/>
      <c r="B410" s="102"/>
      <c r="C410" s="112"/>
      <c r="D410" s="109"/>
      <c r="E410" s="288">
        <v>5201000</v>
      </c>
      <c r="F410" s="288"/>
      <c r="G410" s="95">
        <v>530</v>
      </c>
      <c r="H410" s="96" t="s">
        <v>334</v>
      </c>
      <c r="I410" s="97">
        <v>661</v>
      </c>
      <c r="J410" s="98">
        <v>1</v>
      </c>
      <c r="K410" s="98">
        <v>6</v>
      </c>
      <c r="L410" s="99" t="s">
        <v>491</v>
      </c>
      <c r="M410" s="100" t="s">
        <v>491</v>
      </c>
      <c r="N410" s="100"/>
      <c r="O410" s="100" t="s">
        <v>491</v>
      </c>
      <c r="P410" s="105" t="s">
        <v>491</v>
      </c>
      <c r="Q410" s="152">
        <f>Q411</f>
        <v>7038.599999999999</v>
      </c>
      <c r="R410" s="152">
        <f>R411</f>
        <v>7032.3</v>
      </c>
      <c r="S410" s="282">
        <f t="shared" si="14"/>
        <v>0.9991049356406104</v>
      </c>
    </row>
    <row r="411" spans="1:19" ht="36.75" customHeight="1">
      <c r="A411" s="59"/>
      <c r="B411" s="60"/>
      <c r="C411" s="65"/>
      <c r="D411" s="63"/>
      <c r="E411" s="66"/>
      <c r="F411" s="66"/>
      <c r="G411" s="51"/>
      <c r="H411" s="9" t="s">
        <v>27</v>
      </c>
      <c r="I411" s="8">
        <v>661</v>
      </c>
      <c r="J411" s="14">
        <v>1</v>
      </c>
      <c r="K411" s="14">
        <v>6</v>
      </c>
      <c r="L411" s="57" t="s">
        <v>548</v>
      </c>
      <c r="M411" s="58" t="s">
        <v>519</v>
      </c>
      <c r="N411" s="58" t="s">
        <v>539</v>
      </c>
      <c r="O411" s="58" t="s">
        <v>556</v>
      </c>
      <c r="P411" s="4"/>
      <c r="Q411" s="151">
        <f>Q412+Q416</f>
        <v>7038.599999999999</v>
      </c>
      <c r="R411" s="151">
        <f>R412+R416</f>
        <v>7032.3</v>
      </c>
      <c r="S411" s="282">
        <f t="shared" si="14"/>
        <v>0.9991049356406104</v>
      </c>
    </row>
    <row r="412" spans="1:19" ht="36.75" customHeight="1">
      <c r="A412" s="59"/>
      <c r="B412" s="60"/>
      <c r="C412" s="76"/>
      <c r="D412" s="69"/>
      <c r="E412" s="66"/>
      <c r="F412" s="66"/>
      <c r="G412" s="51"/>
      <c r="H412" s="9" t="s">
        <v>346</v>
      </c>
      <c r="I412" s="8">
        <v>661</v>
      </c>
      <c r="J412" s="14">
        <v>1</v>
      </c>
      <c r="K412" s="14">
        <v>6</v>
      </c>
      <c r="L412" s="57" t="s">
        <v>548</v>
      </c>
      <c r="M412" s="58" t="s">
        <v>521</v>
      </c>
      <c r="N412" s="58" t="s">
        <v>539</v>
      </c>
      <c r="O412" s="58" t="s">
        <v>556</v>
      </c>
      <c r="P412" s="4"/>
      <c r="Q412" s="151">
        <f aca="true" t="shared" si="15" ref="Q412:R414">Q413</f>
        <v>73.9</v>
      </c>
      <c r="R412" s="151">
        <f t="shared" si="15"/>
        <v>73.9</v>
      </c>
      <c r="S412" s="282">
        <f t="shared" si="14"/>
        <v>1</v>
      </c>
    </row>
    <row r="413" spans="1:19" ht="36.75" customHeight="1">
      <c r="A413" s="59"/>
      <c r="B413" s="60"/>
      <c r="C413" s="76"/>
      <c r="D413" s="69"/>
      <c r="E413" s="66"/>
      <c r="F413" s="66"/>
      <c r="G413" s="51"/>
      <c r="H413" s="9" t="s">
        <v>28</v>
      </c>
      <c r="I413" s="8">
        <v>661</v>
      </c>
      <c r="J413" s="14">
        <v>1</v>
      </c>
      <c r="K413" s="14">
        <v>6</v>
      </c>
      <c r="L413" s="57" t="s">
        <v>548</v>
      </c>
      <c r="M413" s="58" t="s">
        <v>521</v>
      </c>
      <c r="N413" s="58" t="s">
        <v>520</v>
      </c>
      <c r="O413" s="58" t="s">
        <v>556</v>
      </c>
      <c r="P413" s="4"/>
      <c r="Q413" s="151">
        <f t="shared" si="15"/>
        <v>73.9</v>
      </c>
      <c r="R413" s="151">
        <f t="shared" si="15"/>
        <v>73.9</v>
      </c>
      <c r="S413" s="282">
        <f t="shared" si="14"/>
        <v>1</v>
      </c>
    </row>
    <row r="414" spans="1:19" ht="21.75" customHeight="1">
      <c r="A414" s="59"/>
      <c r="B414" s="60"/>
      <c r="C414" s="76"/>
      <c r="D414" s="69"/>
      <c r="E414" s="66"/>
      <c r="F414" s="66"/>
      <c r="G414" s="51"/>
      <c r="H414" s="9" t="s">
        <v>309</v>
      </c>
      <c r="I414" s="8">
        <v>661</v>
      </c>
      <c r="J414" s="14">
        <v>1</v>
      </c>
      <c r="K414" s="14">
        <v>6</v>
      </c>
      <c r="L414" s="57" t="s">
        <v>548</v>
      </c>
      <c r="M414" s="58" t="s">
        <v>521</v>
      </c>
      <c r="N414" s="58" t="s">
        <v>520</v>
      </c>
      <c r="O414" s="58" t="s">
        <v>584</v>
      </c>
      <c r="P414" s="4"/>
      <c r="Q414" s="151">
        <f t="shared" si="15"/>
        <v>73.9</v>
      </c>
      <c r="R414" s="151">
        <f t="shared" si="15"/>
        <v>73.9</v>
      </c>
      <c r="S414" s="282">
        <f t="shared" si="14"/>
        <v>1</v>
      </c>
    </row>
    <row r="415" spans="1:19" ht="28.5" customHeight="1">
      <c r="A415" s="59"/>
      <c r="B415" s="60"/>
      <c r="C415" s="76"/>
      <c r="D415" s="69"/>
      <c r="E415" s="66"/>
      <c r="F415" s="66"/>
      <c r="G415" s="51"/>
      <c r="H415" s="9" t="s">
        <v>636</v>
      </c>
      <c r="I415" s="8">
        <v>661</v>
      </c>
      <c r="J415" s="14">
        <v>1</v>
      </c>
      <c r="K415" s="14">
        <v>6</v>
      </c>
      <c r="L415" s="57" t="s">
        <v>548</v>
      </c>
      <c r="M415" s="58" t="s">
        <v>521</v>
      </c>
      <c r="N415" s="58" t="s">
        <v>520</v>
      </c>
      <c r="O415" s="58" t="s">
        <v>584</v>
      </c>
      <c r="P415" s="4">
        <v>240</v>
      </c>
      <c r="Q415" s="151">
        <f>50+23.9</f>
        <v>73.9</v>
      </c>
      <c r="R415" s="151">
        <f>50+23.9</f>
        <v>73.9</v>
      </c>
      <c r="S415" s="282">
        <f t="shared" si="14"/>
        <v>1</v>
      </c>
    </row>
    <row r="416" spans="1:19" ht="38.25" customHeight="1">
      <c r="A416" s="59"/>
      <c r="B416" s="60"/>
      <c r="C416" s="76"/>
      <c r="D416" s="56"/>
      <c r="E416" s="56"/>
      <c r="F416" s="56"/>
      <c r="G416" s="51"/>
      <c r="H416" s="9" t="s">
        <v>26</v>
      </c>
      <c r="I416" s="8">
        <v>661</v>
      </c>
      <c r="J416" s="14">
        <v>1</v>
      </c>
      <c r="K416" s="14">
        <v>6</v>
      </c>
      <c r="L416" s="57" t="s">
        <v>548</v>
      </c>
      <c r="M416" s="58" t="s">
        <v>517</v>
      </c>
      <c r="N416" s="58" t="s">
        <v>539</v>
      </c>
      <c r="O416" s="58" t="s">
        <v>556</v>
      </c>
      <c r="P416" s="8"/>
      <c r="Q416" s="150">
        <f>Q417</f>
        <v>6964.7</v>
      </c>
      <c r="R416" s="150">
        <f>R417</f>
        <v>6958.400000000001</v>
      </c>
      <c r="S416" s="282">
        <f t="shared" si="14"/>
        <v>0.9990954384252014</v>
      </c>
    </row>
    <row r="417" spans="1:19" ht="62.25" customHeight="1">
      <c r="A417" s="59"/>
      <c r="B417" s="60"/>
      <c r="C417" s="76"/>
      <c r="D417" s="73"/>
      <c r="E417" s="76"/>
      <c r="F417" s="76"/>
      <c r="G417" s="51"/>
      <c r="H417" s="9" t="s">
        <v>25</v>
      </c>
      <c r="I417" s="8">
        <v>661</v>
      </c>
      <c r="J417" s="14">
        <v>1</v>
      </c>
      <c r="K417" s="14">
        <v>6</v>
      </c>
      <c r="L417" s="57" t="s">
        <v>548</v>
      </c>
      <c r="M417" s="58" t="s">
        <v>517</v>
      </c>
      <c r="N417" s="58" t="s">
        <v>520</v>
      </c>
      <c r="O417" s="58" t="s">
        <v>556</v>
      </c>
      <c r="P417" s="4"/>
      <c r="Q417" s="151">
        <f>Q418+Q426+Q429+Q424+Q422</f>
        <v>6964.7</v>
      </c>
      <c r="R417" s="151">
        <f>R418+R426+R429+R424+R422</f>
        <v>6958.400000000001</v>
      </c>
      <c r="S417" s="282">
        <f t="shared" si="14"/>
        <v>0.9990954384252014</v>
      </c>
    </row>
    <row r="418" spans="1:19" ht="33.75" customHeight="1">
      <c r="A418" s="61"/>
      <c r="B418" s="60"/>
      <c r="C418" s="65"/>
      <c r="D418" s="63"/>
      <c r="E418" s="66"/>
      <c r="F418" s="66"/>
      <c r="G418" s="67">
        <v>530</v>
      </c>
      <c r="H418" s="9" t="s">
        <v>309</v>
      </c>
      <c r="I418" s="8">
        <v>661</v>
      </c>
      <c r="J418" s="14">
        <v>1</v>
      </c>
      <c r="K418" s="14">
        <v>6</v>
      </c>
      <c r="L418" s="14">
        <v>11</v>
      </c>
      <c r="M418" s="58" t="s">
        <v>517</v>
      </c>
      <c r="N418" s="58" t="s">
        <v>520</v>
      </c>
      <c r="O418" s="58" t="s">
        <v>584</v>
      </c>
      <c r="P418" s="4" t="s">
        <v>491</v>
      </c>
      <c r="Q418" s="151">
        <f>SUM(Q419:Q421)</f>
        <v>4718.4</v>
      </c>
      <c r="R418" s="151">
        <f>SUM(R419:R421)</f>
        <v>4712.1</v>
      </c>
      <c r="S418" s="282">
        <f t="shared" si="14"/>
        <v>0.9986648016276706</v>
      </c>
    </row>
    <row r="419" spans="1:19" ht="22.5" customHeight="1">
      <c r="A419" s="72"/>
      <c r="B419" s="73"/>
      <c r="C419" s="68"/>
      <c r="D419" s="69"/>
      <c r="E419" s="66"/>
      <c r="F419" s="66"/>
      <c r="G419" s="51"/>
      <c r="H419" s="9" t="s">
        <v>490</v>
      </c>
      <c r="I419" s="4">
        <v>661</v>
      </c>
      <c r="J419" s="16">
        <v>1</v>
      </c>
      <c r="K419" s="14">
        <v>6</v>
      </c>
      <c r="L419" s="14">
        <v>11</v>
      </c>
      <c r="M419" s="58" t="s">
        <v>517</v>
      </c>
      <c r="N419" s="58" t="s">
        <v>520</v>
      </c>
      <c r="O419" s="58" t="s">
        <v>584</v>
      </c>
      <c r="P419" s="4">
        <v>120</v>
      </c>
      <c r="Q419" s="151">
        <f>3765.6+69.7+25+169.8-30.9+30+77.5</f>
        <v>4106.7</v>
      </c>
      <c r="R419" s="151">
        <f>3765.6+69.7+25+169.8-30.9+30+77.5</f>
        <v>4106.7</v>
      </c>
      <c r="S419" s="282">
        <f t="shared" si="14"/>
        <v>1</v>
      </c>
    </row>
    <row r="420" spans="1:19" ht="21.75" customHeight="1">
      <c r="A420" s="72"/>
      <c r="B420" s="74"/>
      <c r="C420" s="68"/>
      <c r="D420" s="71"/>
      <c r="E420" s="66"/>
      <c r="F420" s="66"/>
      <c r="G420" s="51"/>
      <c r="H420" s="3" t="s">
        <v>636</v>
      </c>
      <c r="I420" s="4">
        <v>661</v>
      </c>
      <c r="J420" s="18">
        <v>1</v>
      </c>
      <c r="K420" s="14">
        <v>6</v>
      </c>
      <c r="L420" s="14">
        <v>11</v>
      </c>
      <c r="M420" s="58" t="s">
        <v>517</v>
      </c>
      <c r="N420" s="58" t="s">
        <v>520</v>
      </c>
      <c r="O420" s="58" t="s">
        <v>584</v>
      </c>
      <c r="P420" s="4">
        <v>240</v>
      </c>
      <c r="Q420" s="150">
        <f>1929-977.2-25-100-118.5-73.4-24.7+0.9</f>
        <v>611.0999999999999</v>
      </c>
      <c r="R420" s="150">
        <v>604.8</v>
      </c>
      <c r="S420" s="282">
        <f t="shared" si="14"/>
        <v>0.9896907216494846</v>
      </c>
    </row>
    <row r="421" spans="1:19" ht="21.75" customHeight="1">
      <c r="A421" s="59"/>
      <c r="B421" s="60"/>
      <c r="C421" s="56"/>
      <c r="D421" s="56"/>
      <c r="E421" s="56"/>
      <c r="F421" s="56"/>
      <c r="G421" s="51"/>
      <c r="H421" s="9" t="s">
        <v>637</v>
      </c>
      <c r="I421" s="8">
        <v>661</v>
      </c>
      <c r="J421" s="14">
        <v>1</v>
      </c>
      <c r="K421" s="14">
        <v>6</v>
      </c>
      <c r="L421" s="57" t="s">
        <v>548</v>
      </c>
      <c r="M421" s="58" t="s">
        <v>517</v>
      </c>
      <c r="N421" s="58" t="s">
        <v>520</v>
      </c>
      <c r="O421" s="58" t="s">
        <v>584</v>
      </c>
      <c r="P421" s="8">
        <v>850</v>
      </c>
      <c r="Q421" s="150">
        <f>23-3-19.4</f>
        <v>0.6000000000000014</v>
      </c>
      <c r="R421" s="150">
        <f>23-3-19.4</f>
        <v>0.6000000000000014</v>
      </c>
      <c r="S421" s="282">
        <f t="shared" si="14"/>
        <v>1</v>
      </c>
    </row>
    <row r="422" spans="1:19" ht="51.75" customHeight="1">
      <c r="A422" s="59"/>
      <c r="B422" s="60"/>
      <c r="C422" s="56"/>
      <c r="D422" s="56"/>
      <c r="E422" s="56"/>
      <c r="F422" s="56"/>
      <c r="G422" s="51"/>
      <c r="H422" s="70" t="s">
        <v>775</v>
      </c>
      <c r="I422" s="8">
        <v>661</v>
      </c>
      <c r="J422" s="14">
        <v>1</v>
      </c>
      <c r="K422" s="14">
        <v>6</v>
      </c>
      <c r="L422" s="57" t="s">
        <v>548</v>
      </c>
      <c r="M422" s="58" t="s">
        <v>517</v>
      </c>
      <c r="N422" s="58" t="s">
        <v>520</v>
      </c>
      <c r="O422" s="58" t="s">
        <v>774</v>
      </c>
      <c r="P422" s="8"/>
      <c r="Q422" s="150">
        <f>Q423</f>
        <v>93.1</v>
      </c>
      <c r="R422" s="150">
        <f>R423</f>
        <v>93.1</v>
      </c>
      <c r="S422" s="282">
        <f t="shared" si="14"/>
        <v>1</v>
      </c>
    </row>
    <row r="423" spans="1:19" ht="21.75" customHeight="1">
      <c r="A423" s="59"/>
      <c r="B423" s="60"/>
      <c r="C423" s="56"/>
      <c r="D423" s="56"/>
      <c r="E423" s="56"/>
      <c r="F423" s="56"/>
      <c r="G423" s="51"/>
      <c r="H423" s="9" t="s">
        <v>490</v>
      </c>
      <c r="I423" s="8">
        <v>661</v>
      </c>
      <c r="J423" s="14">
        <v>1</v>
      </c>
      <c r="K423" s="14">
        <v>6</v>
      </c>
      <c r="L423" s="57" t="s">
        <v>548</v>
      </c>
      <c r="M423" s="58" t="s">
        <v>517</v>
      </c>
      <c r="N423" s="58" t="s">
        <v>520</v>
      </c>
      <c r="O423" s="58" t="s">
        <v>774</v>
      </c>
      <c r="P423" s="8">
        <v>120</v>
      </c>
      <c r="Q423" s="150">
        <v>93.1</v>
      </c>
      <c r="R423" s="150">
        <v>93.1</v>
      </c>
      <c r="S423" s="282">
        <f t="shared" si="14"/>
        <v>1</v>
      </c>
    </row>
    <row r="424" spans="1:19" ht="31.5" customHeight="1">
      <c r="A424" s="59"/>
      <c r="B424" s="60"/>
      <c r="C424" s="56"/>
      <c r="D424" s="56"/>
      <c r="E424" s="56"/>
      <c r="F424" s="56"/>
      <c r="G424" s="51"/>
      <c r="H424" s="9" t="s">
        <v>50</v>
      </c>
      <c r="I424" s="8">
        <v>661</v>
      </c>
      <c r="J424" s="14">
        <v>1</v>
      </c>
      <c r="K424" s="14">
        <v>6</v>
      </c>
      <c r="L424" s="57" t="s">
        <v>548</v>
      </c>
      <c r="M424" s="58" t="s">
        <v>517</v>
      </c>
      <c r="N424" s="58" t="s">
        <v>520</v>
      </c>
      <c r="O424" s="58" t="s">
        <v>49</v>
      </c>
      <c r="P424" s="8"/>
      <c r="Q424" s="150">
        <f>Q425</f>
        <v>722</v>
      </c>
      <c r="R424" s="150">
        <f>R425</f>
        <v>722</v>
      </c>
      <c r="S424" s="282">
        <f t="shared" si="14"/>
        <v>1</v>
      </c>
    </row>
    <row r="425" spans="1:19" ht="21.75" customHeight="1">
      <c r="A425" s="59"/>
      <c r="B425" s="60"/>
      <c r="C425" s="56"/>
      <c r="D425" s="56"/>
      <c r="E425" s="56"/>
      <c r="F425" s="56"/>
      <c r="G425" s="51"/>
      <c r="H425" s="9" t="s">
        <v>490</v>
      </c>
      <c r="I425" s="8">
        <v>661</v>
      </c>
      <c r="J425" s="14">
        <v>1</v>
      </c>
      <c r="K425" s="14">
        <v>6</v>
      </c>
      <c r="L425" s="57" t="s">
        <v>548</v>
      </c>
      <c r="M425" s="58" t="s">
        <v>517</v>
      </c>
      <c r="N425" s="58" t="s">
        <v>520</v>
      </c>
      <c r="O425" s="58" t="s">
        <v>49</v>
      </c>
      <c r="P425" s="8">
        <v>120</v>
      </c>
      <c r="Q425" s="150">
        <v>722</v>
      </c>
      <c r="R425" s="150">
        <v>722</v>
      </c>
      <c r="S425" s="282">
        <f t="shared" si="14"/>
        <v>1</v>
      </c>
    </row>
    <row r="426" spans="1:19" ht="24" customHeight="1">
      <c r="A426" s="59"/>
      <c r="B426" s="60"/>
      <c r="C426" s="56"/>
      <c r="D426" s="56"/>
      <c r="E426" s="56"/>
      <c r="F426" s="56"/>
      <c r="G426" s="51"/>
      <c r="H426" s="9" t="s">
        <v>216</v>
      </c>
      <c r="I426" s="8">
        <v>661</v>
      </c>
      <c r="J426" s="14">
        <v>1</v>
      </c>
      <c r="K426" s="14">
        <v>6</v>
      </c>
      <c r="L426" s="57" t="s">
        <v>548</v>
      </c>
      <c r="M426" s="58" t="s">
        <v>517</v>
      </c>
      <c r="N426" s="58" t="s">
        <v>520</v>
      </c>
      <c r="O426" s="58" t="s">
        <v>214</v>
      </c>
      <c r="P426" s="8"/>
      <c r="Q426" s="156">
        <f>SUM(Q427:Q428)</f>
        <v>372.9</v>
      </c>
      <c r="R426" s="156">
        <f>SUM(R427:R428)</f>
        <v>372.9</v>
      </c>
      <c r="S426" s="282">
        <f t="shared" si="14"/>
        <v>1</v>
      </c>
    </row>
    <row r="427" spans="1:19" ht="24" customHeight="1">
      <c r="A427" s="59"/>
      <c r="B427" s="60"/>
      <c r="C427" s="56"/>
      <c r="D427" s="56"/>
      <c r="E427" s="56"/>
      <c r="F427" s="56"/>
      <c r="G427" s="51"/>
      <c r="H427" s="9" t="s">
        <v>490</v>
      </c>
      <c r="I427" s="8">
        <v>661</v>
      </c>
      <c r="J427" s="14">
        <v>1</v>
      </c>
      <c r="K427" s="14">
        <v>6</v>
      </c>
      <c r="L427" s="57" t="s">
        <v>548</v>
      </c>
      <c r="M427" s="58" t="s">
        <v>517</v>
      </c>
      <c r="N427" s="58" t="s">
        <v>520</v>
      </c>
      <c r="O427" s="58" t="s">
        <v>214</v>
      </c>
      <c r="P427" s="8">
        <v>120</v>
      </c>
      <c r="Q427" s="156">
        <f>304+67.9</f>
        <v>371.9</v>
      </c>
      <c r="R427" s="156">
        <f>304+67.9</f>
        <v>371.9</v>
      </c>
      <c r="S427" s="282">
        <f t="shared" si="14"/>
        <v>1</v>
      </c>
    </row>
    <row r="428" spans="1:19" ht="29.25" customHeight="1">
      <c r="A428" s="59"/>
      <c r="B428" s="60"/>
      <c r="C428" s="56"/>
      <c r="D428" s="56"/>
      <c r="E428" s="56"/>
      <c r="F428" s="56"/>
      <c r="G428" s="51"/>
      <c r="H428" s="9" t="s">
        <v>636</v>
      </c>
      <c r="I428" s="8">
        <v>661</v>
      </c>
      <c r="J428" s="14">
        <v>1</v>
      </c>
      <c r="K428" s="14">
        <v>6</v>
      </c>
      <c r="L428" s="57" t="s">
        <v>548</v>
      </c>
      <c r="M428" s="58" t="s">
        <v>517</v>
      </c>
      <c r="N428" s="58" t="s">
        <v>520</v>
      </c>
      <c r="O428" s="58" t="s">
        <v>214</v>
      </c>
      <c r="P428" s="8">
        <v>240</v>
      </c>
      <c r="Q428" s="150">
        <v>1</v>
      </c>
      <c r="R428" s="150">
        <v>1</v>
      </c>
      <c r="S428" s="282">
        <f t="shared" si="14"/>
        <v>1</v>
      </c>
    </row>
    <row r="429" spans="1:19" ht="31.5" customHeight="1">
      <c r="A429" s="59"/>
      <c r="B429" s="60"/>
      <c r="C429" s="56"/>
      <c r="D429" s="56"/>
      <c r="E429" s="56"/>
      <c r="F429" s="56"/>
      <c r="G429" s="51"/>
      <c r="H429" s="9" t="s">
        <v>217</v>
      </c>
      <c r="I429" s="8">
        <v>661</v>
      </c>
      <c r="J429" s="14">
        <v>1</v>
      </c>
      <c r="K429" s="14">
        <v>6</v>
      </c>
      <c r="L429" s="57" t="s">
        <v>548</v>
      </c>
      <c r="M429" s="58" t="s">
        <v>517</v>
      </c>
      <c r="N429" s="58" t="s">
        <v>520</v>
      </c>
      <c r="O429" s="58" t="s">
        <v>215</v>
      </c>
      <c r="P429" s="8"/>
      <c r="Q429" s="156">
        <f>SUM(Q430:Q431)</f>
        <v>1058.3</v>
      </c>
      <c r="R429" s="156">
        <f>SUM(R430:R431)</f>
        <v>1058.3</v>
      </c>
      <c r="S429" s="282">
        <f t="shared" si="14"/>
        <v>1</v>
      </c>
    </row>
    <row r="430" spans="1:19" ht="22.5" customHeight="1">
      <c r="A430" s="59"/>
      <c r="B430" s="60"/>
      <c r="C430" s="56"/>
      <c r="D430" s="56"/>
      <c r="E430" s="56"/>
      <c r="F430" s="56"/>
      <c r="G430" s="51"/>
      <c r="H430" s="9" t="s">
        <v>490</v>
      </c>
      <c r="I430" s="8">
        <v>661</v>
      </c>
      <c r="J430" s="14">
        <v>1</v>
      </c>
      <c r="K430" s="14">
        <v>6</v>
      </c>
      <c r="L430" s="57" t="s">
        <v>548</v>
      </c>
      <c r="M430" s="58" t="s">
        <v>517</v>
      </c>
      <c r="N430" s="58" t="s">
        <v>520</v>
      </c>
      <c r="O430" s="58" t="s">
        <v>215</v>
      </c>
      <c r="P430" s="8">
        <v>120</v>
      </c>
      <c r="Q430" s="156">
        <f>850.6+148.5</f>
        <v>999.1</v>
      </c>
      <c r="R430" s="156">
        <f>850.6+148.5</f>
        <v>999.1</v>
      </c>
      <c r="S430" s="282">
        <f t="shared" si="14"/>
        <v>1</v>
      </c>
    </row>
    <row r="431" spans="1:19" ht="24" customHeight="1">
      <c r="A431" s="59"/>
      <c r="B431" s="60"/>
      <c r="C431" s="68"/>
      <c r="D431" s="73"/>
      <c r="E431" s="76"/>
      <c r="F431" s="76"/>
      <c r="G431" s="51"/>
      <c r="H431" s="9" t="s">
        <v>636</v>
      </c>
      <c r="I431" s="4">
        <v>661</v>
      </c>
      <c r="J431" s="14">
        <v>1</v>
      </c>
      <c r="K431" s="14">
        <v>6</v>
      </c>
      <c r="L431" s="57" t="s">
        <v>548</v>
      </c>
      <c r="M431" s="58" t="s">
        <v>517</v>
      </c>
      <c r="N431" s="58" t="s">
        <v>520</v>
      </c>
      <c r="O431" s="58" t="s">
        <v>215</v>
      </c>
      <c r="P431" s="8">
        <v>240</v>
      </c>
      <c r="Q431" s="150">
        <v>59.2</v>
      </c>
      <c r="R431" s="150">
        <v>59.2</v>
      </c>
      <c r="S431" s="282">
        <f t="shared" si="14"/>
        <v>1</v>
      </c>
    </row>
    <row r="432" spans="1:19" s="135" customFormat="1" ht="18.75" customHeight="1">
      <c r="A432" s="101"/>
      <c r="B432" s="102"/>
      <c r="C432" s="94"/>
      <c r="D432" s="94"/>
      <c r="E432" s="94"/>
      <c r="F432" s="94"/>
      <c r="G432" s="95"/>
      <c r="H432" s="96" t="s">
        <v>492</v>
      </c>
      <c r="I432" s="97">
        <v>661</v>
      </c>
      <c r="J432" s="98">
        <v>1</v>
      </c>
      <c r="K432" s="98">
        <v>13</v>
      </c>
      <c r="L432" s="99"/>
      <c r="M432" s="100"/>
      <c r="N432" s="100"/>
      <c r="O432" s="100"/>
      <c r="P432" s="97"/>
      <c r="Q432" s="149">
        <f aca="true" t="shared" si="16" ref="Q432:R434">Q433</f>
        <v>15727.400000000001</v>
      </c>
      <c r="R432" s="149">
        <f t="shared" si="16"/>
        <v>15690.900000000001</v>
      </c>
      <c r="S432" s="282">
        <f t="shared" si="14"/>
        <v>0.9976792095324084</v>
      </c>
    </row>
    <row r="433" spans="1:19" ht="36.75" customHeight="1">
      <c r="A433" s="59"/>
      <c r="B433" s="60"/>
      <c r="C433" s="65"/>
      <c r="D433" s="63"/>
      <c r="E433" s="66"/>
      <c r="F433" s="66"/>
      <c r="G433" s="51"/>
      <c r="H433" s="9" t="s">
        <v>27</v>
      </c>
      <c r="I433" s="8">
        <v>661</v>
      </c>
      <c r="J433" s="14">
        <v>1</v>
      </c>
      <c r="K433" s="14">
        <v>13</v>
      </c>
      <c r="L433" s="57" t="s">
        <v>548</v>
      </c>
      <c r="M433" s="58" t="s">
        <v>519</v>
      </c>
      <c r="N433" s="58" t="s">
        <v>539</v>
      </c>
      <c r="O433" s="58" t="s">
        <v>556</v>
      </c>
      <c r="P433" s="4"/>
      <c r="Q433" s="151">
        <f t="shared" si="16"/>
        <v>15727.400000000001</v>
      </c>
      <c r="R433" s="151">
        <f t="shared" si="16"/>
        <v>15690.900000000001</v>
      </c>
      <c r="S433" s="282">
        <f t="shared" si="14"/>
        <v>0.9976792095324084</v>
      </c>
    </row>
    <row r="434" spans="1:19" ht="38.25" customHeight="1">
      <c r="A434" s="59"/>
      <c r="B434" s="60"/>
      <c r="C434" s="76"/>
      <c r="D434" s="56"/>
      <c r="E434" s="56"/>
      <c r="F434" s="56"/>
      <c r="G434" s="51"/>
      <c r="H434" s="9" t="s">
        <v>26</v>
      </c>
      <c r="I434" s="8">
        <v>661</v>
      </c>
      <c r="J434" s="14">
        <v>1</v>
      </c>
      <c r="K434" s="14">
        <v>13</v>
      </c>
      <c r="L434" s="57" t="s">
        <v>548</v>
      </c>
      <c r="M434" s="58" t="s">
        <v>517</v>
      </c>
      <c r="N434" s="58" t="s">
        <v>539</v>
      </c>
      <c r="O434" s="58" t="s">
        <v>556</v>
      </c>
      <c r="P434" s="8"/>
      <c r="Q434" s="150">
        <f t="shared" si="16"/>
        <v>15727.400000000001</v>
      </c>
      <c r="R434" s="150">
        <f t="shared" si="16"/>
        <v>15690.900000000001</v>
      </c>
      <c r="S434" s="282">
        <f t="shared" si="14"/>
        <v>0.9976792095324084</v>
      </c>
    </row>
    <row r="435" spans="1:19" ht="36" customHeight="1">
      <c r="A435" s="59"/>
      <c r="B435" s="60"/>
      <c r="C435" s="68"/>
      <c r="D435" s="73"/>
      <c r="E435" s="76"/>
      <c r="F435" s="76"/>
      <c r="G435" s="51"/>
      <c r="H435" s="9" t="s">
        <v>633</v>
      </c>
      <c r="I435" s="8">
        <v>661</v>
      </c>
      <c r="J435" s="14">
        <v>1</v>
      </c>
      <c r="K435" s="14">
        <v>13</v>
      </c>
      <c r="L435" s="57" t="s">
        <v>548</v>
      </c>
      <c r="M435" s="58" t="s">
        <v>517</v>
      </c>
      <c r="N435" s="58" t="s">
        <v>545</v>
      </c>
      <c r="O435" s="58" t="s">
        <v>556</v>
      </c>
      <c r="P435" s="8"/>
      <c r="Q435" s="150">
        <f>Q436+Q443+Q441</f>
        <v>15727.400000000001</v>
      </c>
      <c r="R435" s="150">
        <f>R436+R443+R441</f>
        <v>15690.900000000001</v>
      </c>
      <c r="S435" s="282">
        <f t="shared" si="14"/>
        <v>0.9976792095324084</v>
      </c>
    </row>
    <row r="436" spans="1:19" ht="33.75" customHeight="1">
      <c r="A436" s="59"/>
      <c r="B436" s="60"/>
      <c r="C436" s="68"/>
      <c r="D436" s="73"/>
      <c r="E436" s="76"/>
      <c r="F436" s="76"/>
      <c r="G436" s="51"/>
      <c r="H436" s="9" t="s">
        <v>311</v>
      </c>
      <c r="I436" s="8">
        <v>661</v>
      </c>
      <c r="J436" s="14">
        <v>1</v>
      </c>
      <c r="K436" s="14">
        <v>13</v>
      </c>
      <c r="L436" s="57" t="s">
        <v>548</v>
      </c>
      <c r="M436" s="58" t="s">
        <v>517</v>
      </c>
      <c r="N436" s="58" t="s">
        <v>545</v>
      </c>
      <c r="O436" s="58" t="s">
        <v>312</v>
      </c>
      <c r="P436" s="8"/>
      <c r="Q436" s="156">
        <f>SUM(Q437:Q440)</f>
        <v>11285.100000000002</v>
      </c>
      <c r="R436" s="156">
        <f>SUM(R437:R440)</f>
        <v>11248.600000000002</v>
      </c>
      <c r="S436" s="282">
        <f t="shared" si="14"/>
        <v>0.9967656467377338</v>
      </c>
    </row>
    <row r="437" spans="1:19" ht="30" customHeight="1">
      <c r="A437" s="59"/>
      <c r="B437" s="60"/>
      <c r="C437" s="68"/>
      <c r="D437" s="73"/>
      <c r="E437" s="76"/>
      <c r="F437" s="76"/>
      <c r="G437" s="51"/>
      <c r="H437" s="9" t="s">
        <v>702</v>
      </c>
      <c r="I437" s="8">
        <v>661</v>
      </c>
      <c r="J437" s="14">
        <v>1</v>
      </c>
      <c r="K437" s="14">
        <v>13</v>
      </c>
      <c r="L437" s="57" t="s">
        <v>548</v>
      </c>
      <c r="M437" s="58" t="s">
        <v>517</v>
      </c>
      <c r="N437" s="58" t="s">
        <v>545</v>
      </c>
      <c r="O437" s="58" t="s">
        <v>312</v>
      </c>
      <c r="P437" s="8">
        <v>110</v>
      </c>
      <c r="Q437" s="150">
        <f>11244.7-0.1-68+3.7-620+1-29.5</f>
        <v>10531.800000000001</v>
      </c>
      <c r="R437" s="150">
        <f>11244.7-0.1-68+3.7-620+1-29.5</f>
        <v>10531.800000000001</v>
      </c>
      <c r="S437" s="282">
        <f t="shared" si="14"/>
        <v>1</v>
      </c>
    </row>
    <row r="438" spans="1:19" ht="30" customHeight="1">
      <c r="A438" s="59"/>
      <c r="B438" s="60"/>
      <c r="C438" s="68"/>
      <c r="D438" s="73"/>
      <c r="E438" s="76"/>
      <c r="F438" s="76"/>
      <c r="G438" s="51"/>
      <c r="H438" s="9" t="s">
        <v>636</v>
      </c>
      <c r="I438" s="8">
        <v>661</v>
      </c>
      <c r="J438" s="14">
        <v>1</v>
      </c>
      <c r="K438" s="14">
        <v>13</v>
      </c>
      <c r="L438" s="57" t="s">
        <v>548</v>
      </c>
      <c r="M438" s="58" t="s">
        <v>517</v>
      </c>
      <c r="N438" s="58" t="s">
        <v>545</v>
      </c>
      <c r="O438" s="58" t="s">
        <v>312</v>
      </c>
      <c r="P438" s="8">
        <v>240</v>
      </c>
      <c r="Q438" s="150">
        <f>1149.7-3.7-409.3-51.5</f>
        <v>685.2</v>
      </c>
      <c r="R438" s="150">
        <v>648.7</v>
      </c>
      <c r="S438" s="282">
        <f t="shared" si="14"/>
        <v>0.9467308814944542</v>
      </c>
    </row>
    <row r="439" spans="1:19" ht="30" customHeight="1">
      <c r="A439" s="59"/>
      <c r="B439" s="60"/>
      <c r="C439" s="68"/>
      <c r="D439" s="73"/>
      <c r="E439" s="76"/>
      <c r="F439" s="76"/>
      <c r="G439" s="51"/>
      <c r="H439" s="9" t="s">
        <v>641</v>
      </c>
      <c r="I439" s="8">
        <v>661</v>
      </c>
      <c r="J439" s="14">
        <v>1</v>
      </c>
      <c r="K439" s="14">
        <v>13</v>
      </c>
      <c r="L439" s="57" t="s">
        <v>548</v>
      </c>
      <c r="M439" s="58" t="s">
        <v>517</v>
      </c>
      <c r="N439" s="58" t="s">
        <v>545</v>
      </c>
      <c r="O439" s="58" t="s">
        <v>312</v>
      </c>
      <c r="P439" s="8">
        <v>320</v>
      </c>
      <c r="Q439" s="150">
        <v>68</v>
      </c>
      <c r="R439" s="150">
        <v>68</v>
      </c>
      <c r="S439" s="282">
        <f t="shared" si="14"/>
        <v>1</v>
      </c>
    </row>
    <row r="440" spans="1:19" ht="30" customHeight="1">
      <c r="A440" s="59"/>
      <c r="B440" s="60"/>
      <c r="C440" s="68"/>
      <c r="D440" s="73"/>
      <c r="E440" s="76"/>
      <c r="F440" s="76"/>
      <c r="G440" s="51"/>
      <c r="H440" s="9" t="s">
        <v>637</v>
      </c>
      <c r="I440" s="8">
        <v>661</v>
      </c>
      <c r="J440" s="14">
        <v>1</v>
      </c>
      <c r="K440" s="14">
        <v>13</v>
      </c>
      <c r="L440" s="57" t="s">
        <v>548</v>
      </c>
      <c r="M440" s="58" t="s">
        <v>517</v>
      </c>
      <c r="N440" s="58" t="s">
        <v>545</v>
      </c>
      <c r="O440" s="58" t="s">
        <v>312</v>
      </c>
      <c r="P440" s="8">
        <v>850</v>
      </c>
      <c r="Q440" s="150">
        <f>1+0.1-1</f>
        <v>0.10000000000000009</v>
      </c>
      <c r="R440" s="150">
        <f>1+0.1-1</f>
        <v>0.10000000000000009</v>
      </c>
      <c r="S440" s="282">
        <f t="shared" si="14"/>
        <v>1</v>
      </c>
    </row>
    <row r="441" spans="1:19" ht="30" customHeight="1">
      <c r="A441" s="59"/>
      <c r="B441" s="60"/>
      <c r="C441" s="68"/>
      <c r="D441" s="73"/>
      <c r="E441" s="76"/>
      <c r="F441" s="76"/>
      <c r="G441" s="51"/>
      <c r="H441" s="9" t="s">
        <v>50</v>
      </c>
      <c r="I441" s="8">
        <v>661</v>
      </c>
      <c r="J441" s="14">
        <v>1</v>
      </c>
      <c r="K441" s="14">
        <v>13</v>
      </c>
      <c r="L441" s="57" t="s">
        <v>548</v>
      </c>
      <c r="M441" s="58" t="s">
        <v>517</v>
      </c>
      <c r="N441" s="58" t="s">
        <v>545</v>
      </c>
      <c r="O441" s="58" t="s">
        <v>49</v>
      </c>
      <c r="P441" s="8"/>
      <c r="Q441" s="150">
        <f>Q442</f>
        <v>2235.2</v>
      </c>
      <c r="R441" s="150">
        <f>R442</f>
        <v>2235.2</v>
      </c>
      <c r="S441" s="282">
        <f t="shared" si="14"/>
        <v>1</v>
      </c>
    </row>
    <row r="442" spans="1:19" ht="30" customHeight="1">
      <c r="A442" s="59"/>
      <c r="B442" s="60"/>
      <c r="C442" s="68"/>
      <c r="D442" s="73"/>
      <c r="E442" s="76"/>
      <c r="F442" s="76"/>
      <c r="G442" s="51"/>
      <c r="H442" s="9" t="s">
        <v>702</v>
      </c>
      <c r="I442" s="8">
        <v>661</v>
      </c>
      <c r="J442" s="14">
        <v>1</v>
      </c>
      <c r="K442" s="14">
        <v>13</v>
      </c>
      <c r="L442" s="57" t="s">
        <v>548</v>
      </c>
      <c r="M442" s="58" t="s">
        <v>517</v>
      </c>
      <c r="N442" s="58" t="s">
        <v>545</v>
      </c>
      <c r="O442" s="58" t="s">
        <v>49</v>
      </c>
      <c r="P442" s="8">
        <v>110</v>
      </c>
      <c r="Q442" s="150">
        <v>2235.2</v>
      </c>
      <c r="R442" s="150">
        <v>2235.2</v>
      </c>
      <c r="S442" s="282">
        <f t="shared" si="14"/>
        <v>1</v>
      </c>
    </row>
    <row r="443" spans="1:19" ht="33.75" customHeight="1">
      <c r="A443" s="59"/>
      <c r="B443" s="60"/>
      <c r="C443" s="68"/>
      <c r="D443" s="73"/>
      <c r="E443" s="76"/>
      <c r="F443" s="76"/>
      <c r="G443" s="51"/>
      <c r="H443" s="9" t="s">
        <v>675</v>
      </c>
      <c r="I443" s="8">
        <v>661</v>
      </c>
      <c r="J443" s="14">
        <v>1</v>
      </c>
      <c r="K443" s="14">
        <v>13</v>
      </c>
      <c r="L443" s="57" t="s">
        <v>548</v>
      </c>
      <c r="M443" s="58" t="s">
        <v>517</v>
      </c>
      <c r="N443" s="58" t="s">
        <v>545</v>
      </c>
      <c r="O443" s="58" t="s">
        <v>674</v>
      </c>
      <c r="P443" s="8"/>
      <c r="Q443" s="150">
        <f>SUM(Q444:Q445)</f>
        <v>2207.0999999999995</v>
      </c>
      <c r="R443" s="150">
        <f>SUM(R444:R445)</f>
        <v>2207.0999999999995</v>
      </c>
      <c r="S443" s="282">
        <f t="shared" si="14"/>
        <v>1</v>
      </c>
    </row>
    <row r="444" spans="1:19" ht="33.75" customHeight="1">
      <c r="A444" s="59"/>
      <c r="B444" s="60"/>
      <c r="C444" s="68"/>
      <c r="D444" s="73"/>
      <c r="E444" s="76"/>
      <c r="F444" s="76"/>
      <c r="G444" s="51"/>
      <c r="H444" s="9" t="s">
        <v>639</v>
      </c>
      <c r="I444" s="8">
        <v>661</v>
      </c>
      <c r="J444" s="14">
        <v>1</v>
      </c>
      <c r="K444" s="14">
        <v>13</v>
      </c>
      <c r="L444" s="57" t="s">
        <v>548</v>
      </c>
      <c r="M444" s="58" t="s">
        <v>517</v>
      </c>
      <c r="N444" s="58" t="s">
        <v>545</v>
      </c>
      <c r="O444" s="58" t="s">
        <v>674</v>
      </c>
      <c r="P444" s="8">
        <v>110</v>
      </c>
      <c r="Q444" s="150">
        <f>1924.1+30.3+141+0.1</f>
        <v>2095.4999999999995</v>
      </c>
      <c r="R444" s="150">
        <f>1924.1+30.3+141+0.1</f>
        <v>2095.4999999999995</v>
      </c>
      <c r="S444" s="282">
        <f t="shared" si="14"/>
        <v>1</v>
      </c>
    </row>
    <row r="445" spans="1:19" ht="33.75" customHeight="1">
      <c r="A445" s="59"/>
      <c r="B445" s="60"/>
      <c r="C445" s="68"/>
      <c r="D445" s="73"/>
      <c r="E445" s="76"/>
      <c r="F445" s="76"/>
      <c r="G445" s="51"/>
      <c r="H445" s="9" t="s">
        <v>636</v>
      </c>
      <c r="I445" s="8">
        <v>661</v>
      </c>
      <c r="J445" s="14">
        <v>1</v>
      </c>
      <c r="K445" s="14">
        <v>13</v>
      </c>
      <c r="L445" s="57" t="s">
        <v>548</v>
      </c>
      <c r="M445" s="58" t="s">
        <v>517</v>
      </c>
      <c r="N445" s="58" t="s">
        <v>545</v>
      </c>
      <c r="O445" s="58" t="s">
        <v>674</v>
      </c>
      <c r="P445" s="8">
        <v>240</v>
      </c>
      <c r="Q445" s="150">
        <f>30+81.6</f>
        <v>111.6</v>
      </c>
      <c r="R445" s="150">
        <f>30+81.6</f>
        <v>111.6</v>
      </c>
      <c r="S445" s="282">
        <f t="shared" si="14"/>
        <v>1</v>
      </c>
    </row>
    <row r="446" spans="1:19" s="135" customFormat="1" ht="24" customHeight="1">
      <c r="A446" s="101"/>
      <c r="B446" s="102"/>
      <c r="C446" s="116"/>
      <c r="D446" s="129"/>
      <c r="E446" s="104"/>
      <c r="F446" s="104"/>
      <c r="G446" s="114"/>
      <c r="H446" s="96" t="s">
        <v>510</v>
      </c>
      <c r="I446" s="97">
        <v>661</v>
      </c>
      <c r="J446" s="98">
        <v>13</v>
      </c>
      <c r="K446" s="98" t="s">
        <v>557</v>
      </c>
      <c r="L446" s="99" t="s">
        <v>491</v>
      </c>
      <c r="M446" s="100" t="s">
        <v>491</v>
      </c>
      <c r="N446" s="100"/>
      <c r="O446" s="100" t="s">
        <v>491</v>
      </c>
      <c r="P446" s="105" t="s">
        <v>491</v>
      </c>
      <c r="Q446" s="152">
        <f aca="true" t="shared" si="17" ref="Q446:R451">Q447</f>
        <v>64.7</v>
      </c>
      <c r="R446" s="152">
        <f t="shared" si="17"/>
        <v>64.7</v>
      </c>
      <c r="S446" s="282">
        <f t="shared" si="14"/>
        <v>1</v>
      </c>
    </row>
    <row r="447" spans="1:19" s="135" customFormat="1" ht="24" customHeight="1">
      <c r="A447" s="101"/>
      <c r="B447" s="102"/>
      <c r="C447" s="116"/>
      <c r="D447" s="129"/>
      <c r="E447" s="104"/>
      <c r="F447" s="104"/>
      <c r="G447" s="114"/>
      <c r="H447" s="96" t="s">
        <v>511</v>
      </c>
      <c r="I447" s="97">
        <v>661</v>
      </c>
      <c r="J447" s="98">
        <v>13</v>
      </c>
      <c r="K447" s="98">
        <v>1</v>
      </c>
      <c r="L447" s="99" t="s">
        <v>491</v>
      </c>
      <c r="M447" s="100" t="s">
        <v>491</v>
      </c>
      <c r="N447" s="100"/>
      <c r="O447" s="100" t="s">
        <v>491</v>
      </c>
      <c r="P447" s="105" t="s">
        <v>491</v>
      </c>
      <c r="Q447" s="152">
        <f t="shared" si="17"/>
        <v>64.7</v>
      </c>
      <c r="R447" s="152">
        <f t="shared" si="17"/>
        <v>64.7</v>
      </c>
      <c r="S447" s="282">
        <f t="shared" si="14"/>
        <v>1</v>
      </c>
    </row>
    <row r="448" spans="1:19" ht="36.75" customHeight="1">
      <c r="A448" s="59"/>
      <c r="B448" s="60"/>
      <c r="C448" s="65"/>
      <c r="D448" s="63"/>
      <c r="E448" s="66"/>
      <c r="F448" s="66"/>
      <c r="G448" s="51"/>
      <c r="H448" s="9" t="s">
        <v>27</v>
      </c>
      <c r="I448" s="8">
        <v>661</v>
      </c>
      <c r="J448" s="14">
        <v>13</v>
      </c>
      <c r="K448" s="14">
        <v>1</v>
      </c>
      <c r="L448" s="57" t="s">
        <v>548</v>
      </c>
      <c r="M448" s="58" t="s">
        <v>519</v>
      </c>
      <c r="N448" s="58" t="s">
        <v>539</v>
      </c>
      <c r="O448" s="58" t="s">
        <v>556</v>
      </c>
      <c r="P448" s="4"/>
      <c r="Q448" s="151">
        <f t="shared" si="17"/>
        <v>64.7</v>
      </c>
      <c r="R448" s="151">
        <f t="shared" si="17"/>
        <v>64.7</v>
      </c>
      <c r="S448" s="282">
        <f t="shared" si="14"/>
        <v>1</v>
      </c>
    </row>
    <row r="449" spans="1:19" ht="24" customHeight="1">
      <c r="A449" s="59"/>
      <c r="B449" s="60"/>
      <c r="C449" s="68"/>
      <c r="D449" s="69"/>
      <c r="E449" s="66"/>
      <c r="F449" s="66"/>
      <c r="G449" s="67"/>
      <c r="H449" s="9" t="s">
        <v>31</v>
      </c>
      <c r="I449" s="8">
        <v>661</v>
      </c>
      <c r="J449" s="14">
        <v>13</v>
      </c>
      <c r="K449" s="14">
        <v>1</v>
      </c>
      <c r="L449" s="57" t="s">
        <v>548</v>
      </c>
      <c r="M449" s="58" t="s">
        <v>29</v>
      </c>
      <c r="N449" s="58" t="s">
        <v>539</v>
      </c>
      <c r="O449" s="58" t="s">
        <v>556</v>
      </c>
      <c r="P449" s="4"/>
      <c r="Q449" s="151">
        <f t="shared" si="17"/>
        <v>64.7</v>
      </c>
      <c r="R449" s="151">
        <f t="shared" si="17"/>
        <v>64.7</v>
      </c>
      <c r="S449" s="282">
        <f t="shared" si="14"/>
        <v>1</v>
      </c>
    </row>
    <row r="450" spans="1:19" ht="24" customHeight="1">
      <c r="A450" s="59"/>
      <c r="B450" s="60"/>
      <c r="C450" s="68"/>
      <c r="D450" s="69"/>
      <c r="E450" s="66"/>
      <c r="F450" s="66"/>
      <c r="G450" s="67"/>
      <c r="H450" s="9" t="s">
        <v>30</v>
      </c>
      <c r="I450" s="8">
        <v>661</v>
      </c>
      <c r="J450" s="14">
        <v>13</v>
      </c>
      <c r="K450" s="14">
        <v>1</v>
      </c>
      <c r="L450" s="57" t="s">
        <v>548</v>
      </c>
      <c r="M450" s="58" t="s">
        <v>29</v>
      </c>
      <c r="N450" s="58" t="s">
        <v>520</v>
      </c>
      <c r="O450" s="58" t="s">
        <v>556</v>
      </c>
      <c r="P450" s="4"/>
      <c r="Q450" s="151">
        <f t="shared" si="17"/>
        <v>64.7</v>
      </c>
      <c r="R450" s="151">
        <f t="shared" si="17"/>
        <v>64.7</v>
      </c>
      <c r="S450" s="282">
        <f t="shared" si="14"/>
        <v>1</v>
      </c>
    </row>
    <row r="451" spans="1:19" ht="27" customHeight="1">
      <c r="A451" s="61"/>
      <c r="B451" s="60"/>
      <c r="C451" s="68"/>
      <c r="D451" s="69"/>
      <c r="E451" s="66"/>
      <c r="F451" s="66"/>
      <c r="G451" s="67"/>
      <c r="H451" s="9" t="s">
        <v>285</v>
      </c>
      <c r="I451" s="8">
        <v>661</v>
      </c>
      <c r="J451" s="14">
        <v>13</v>
      </c>
      <c r="K451" s="14">
        <v>1</v>
      </c>
      <c r="L451" s="57" t="s">
        <v>548</v>
      </c>
      <c r="M451" s="58" t="s">
        <v>29</v>
      </c>
      <c r="N451" s="58" t="s">
        <v>520</v>
      </c>
      <c r="O451" s="58" t="s">
        <v>284</v>
      </c>
      <c r="P451" s="4" t="s">
        <v>491</v>
      </c>
      <c r="Q451" s="151">
        <f t="shared" si="17"/>
        <v>64.7</v>
      </c>
      <c r="R451" s="151">
        <f t="shared" si="17"/>
        <v>64.7</v>
      </c>
      <c r="S451" s="282">
        <f t="shared" si="14"/>
        <v>1</v>
      </c>
    </row>
    <row r="452" spans="1:19" ht="28.5" customHeight="1">
      <c r="A452" s="61"/>
      <c r="B452" s="60"/>
      <c r="C452" s="68"/>
      <c r="D452" s="69"/>
      <c r="E452" s="66"/>
      <c r="F452" s="66"/>
      <c r="G452" s="67"/>
      <c r="H452" s="3" t="s">
        <v>551</v>
      </c>
      <c r="I452" s="6">
        <v>661</v>
      </c>
      <c r="J452" s="18">
        <v>13</v>
      </c>
      <c r="K452" s="14">
        <v>1</v>
      </c>
      <c r="L452" s="57" t="s">
        <v>548</v>
      </c>
      <c r="M452" s="58" t="s">
        <v>29</v>
      </c>
      <c r="N452" s="58" t="s">
        <v>520</v>
      </c>
      <c r="O452" s="58" t="s">
        <v>284</v>
      </c>
      <c r="P452" s="4">
        <v>730</v>
      </c>
      <c r="Q452" s="150">
        <f>96.9-28-4.2</f>
        <v>64.7</v>
      </c>
      <c r="R452" s="150">
        <f>96.9-28-4.2</f>
        <v>64.7</v>
      </c>
      <c r="S452" s="282">
        <f t="shared" si="14"/>
        <v>1</v>
      </c>
    </row>
    <row r="453" spans="1:19" s="135" customFormat="1" ht="30.75" customHeight="1">
      <c r="A453" s="101"/>
      <c r="B453" s="102"/>
      <c r="C453" s="116"/>
      <c r="D453" s="129"/>
      <c r="E453" s="104"/>
      <c r="F453" s="104"/>
      <c r="G453" s="114"/>
      <c r="H453" s="96" t="s">
        <v>307</v>
      </c>
      <c r="I453" s="105">
        <v>661</v>
      </c>
      <c r="J453" s="98">
        <v>14</v>
      </c>
      <c r="K453" s="98" t="s">
        <v>491</v>
      </c>
      <c r="L453" s="98" t="s">
        <v>491</v>
      </c>
      <c r="M453" s="100" t="s">
        <v>491</v>
      </c>
      <c r="N453" s="100"/>
      <c r="O453" s="100" t="s">
        <v>491</v>
      </c>
      <c r="P453" s="105" t="s">
        <v>491</v>
      </c>
      <c r="Q453" s="152">
        <f>Q454+Q462</f>
        <v>19114.8</v>
      </c>
      <c r="R453" s="152">
        <f>R454+R462</f>
        <v>19114.8</v>
      </c>
      <c r="S453" s="282">
        <f t="shared" si="14"/>
        <v>1</v>
      </c>
    </row>
    <row r="454" spans="1:19" s="135" customFormat="1" ht="30.75" customHeight="1">
      <c r="A454" s="101"/>
      <c r="B454" s="102"/>
      <c r="C454" s="116"/>
      <c r="D454" s="129"/>
      <c r="E454" s="104"/>
      <c r="F454" s="104"/>
      <c r="G454" s="114"/>
      <c r="H454" s="96" t="s">
        <v>543</v>
      </c>
      <c r="I454" s="105">
        <v>661</v>
      </c>
      <c r="J454" s="98">
        <v>14</v>
      </c>
      <c r="K454" s="98">
        <v>1</v>
      </c>
      <c r="L454" s="98" t="s">
        <v>491</v>
      </c>
      <c r="M454" s="100" t="s">
        <v>491</v>
      </c>
      <c r="N454" s="100"/>
      <c r="O454" s="100" t="s">
        <v>491</v>
      </c>
      <c r="P454" s="105" t="s">
        <v>491</v>
      </c>
      <c r="Q454" s="152">
        <f aca="true" t="shared" si="18" ref="Q454:R456">Q455</f>
        <v>5032.799999999999</v>
      </c>
      <c r="R454" s="152">
        <f t="shared" si="18"/>
        <v>5032.799999999999</v>
      </c>
      <c r="S454" s="282">
        <f t="shared" si="14"/>
        <v>1</v>
      </c>
    </row>
    <row r="455" spans="1:19" ht="36.75" customHeight="1">
      <c r="A455" s="59"/>
      <c r="B455" s="60"/>
      <c r="C455" s="65"/>
      <c r="D455" s="63"/>
      <c r="E455" s="66"/>
      <c r="F455" s="66"/>
      <c r="G455" s="51"/>
      <c r="H455" s="9" t="s">
        <v>27</v>
      </c>
      <c r="I455" s="8">
        <v>661</v>
      </c>
      <c r="J455" s="14">
        <v>14</v>
      </c>
      <c r="K455" s="14">
        <v>1</v>
      </c>
      <c r="L455" s="57" t="s">
        <v>548</v>
      </c>
      <c r="M455" s="58" t="s">
        <v>519</v>
      </c>
      <c r="N455" s="58" t="s">
        <v>539</v>
      </c>
      <c r="O455" s="58" t="s">
        <v>556</v>
      </c>
      <c r="P455" s="4"/>
      <c r="Q455" s="151">
        <f t="shared" si="18"/>
        <v>5032.799999999999</v>
      </c>
      <c r="R455" s="151">
        <f t="shared" si="18"/>
        <v>5032.799999999999</v>
      </c>
      <c r="S455" s="282">
        <f t="shared" si="14"/>
        <v>1</v>
      </c>
    </row>
    <row r="456" spans="1:19" ht="36.75" customHeight="1">
      <c r="A456" s="59"/>
      <c r="B456" s="60"/>
      <c r="C456" s="68"/>
      <c r="D456" s="69"/>
      <c r="E456" s="66"/>
      <c r="F456" s="66"/>
      <c r="G456" s="51"/>
      <c r="H456" s="9" t="s">
        <v>34</v>
      </c>
      <c r="I456" s="8">
        <v>661</v>
      </c>
      <c r="J456" s="14">
        <v>14</v>
      </c>
      <c r="K456" s="14">
        <v>1</v>
      </c>
      <c r="L456" s="57" t="s">
        <v>548</v>
      </c>
      <c r="M456" s="58" t="s">
        <v>516</v>
      </c>
      <c r="N456" s="58" t="s">
        <v>539</v>
      </c>
      <c r="O456" s="58" t="s">
        <v>556</v>
      </c>
      <c r="P456" s="4"/>
      <c r="Q456" s="151">
        <f t="shared" si="18"/>
        <v>5032.799999999999</v>
      </c>
      <c r="R456" s="151">
        <f t="shared" si="18"/>
        <v>5032.799999999999</v>
      </c>
      <c r="S456" s="282">
        <f t="shared" si="14"/>
        <v>1</v>
      </c>
    </row>
    <row r="457" spans="1:19" ht="22.5" customHeight="1">
      <c r="A457" s="61"/>
      <c r="B457" s="60"/>
      <c r="C457" s="68"/>
      <c r="D457" s="69"/>
      <c r="E457" s="66"/>
      <c r="F457" s="66"/>
      <c r="G457" s="67"/>
      <c r="H457" s="9" t="s">
        <v>32</v>
      </c>
      <c r="I457" s="4">
        <v>661</v>
      </c>
      <c r="J457" s="14">
        <v>14</v>
      </c>
      <c r="K457" s="14">
        <v>1</v>
      </c>
      <c r="L457" s="14">
        <v>11</v>
      </c>
      <c r="M457" s="58" t="s">
        <v>516</v>
      </c>
      <c r="N457" s="58" t="s">
        <v>520</v>
      </c>
      <c r="O457" s="58" t="s">
        <v>556</v>
      </c>
      <c r="P457" s="4" t="s">
        <v>491</v>
      </c>
      <c r="Q457" s="151">
        <f>Q458+Q460</f>
        <v>5032.799999999999</v>
      </c>
      <c r="R457" s="151">
        <f>R458+R460</f>
        <v>5032.799999999999</v>
      </c>
      <c r="S457" s="282">
        <f t="shared" si="14"/>
        <v>1</v>
      </c>
    </row>
    <row r="458" spans="1:19" ht="67.5" customHeight="1">
      <c r="A458" s="61"/>
      <c r="B458" s="60"/>
      <c r="C458" s="68"/>
      <c r="D458" s="69"/>
      <c r="E458" s="66"/>
      <c r="F458" s="66"/>
      <c r="G458" s="67"/>
      <c r="H458" s="9" t="s">
        <v>44</v>
      </c>
      <c r="I458" s="4">
        <v>661</v>
      </c>
      <c r="J458" s="16">
        <v>14</v>
      </c>
      <c r="K458" s="14">
        <v>1</v>
      </c>
      <c r="L458" s="14">
        <v>11</v>
      </c>
      <c r="M458" s="58" t="s">
        <v>516</v>
      </c>
      <c r="N458" s="58" t="s">
        <v>520</v>
      </c>
      <c r="O458" s="58" t="s">
        <v>589</v>
      </c>
      <c r="P458" s="4"/>
      <c r="Q458" s="150">
        <f>Q459</f>
        <v>2865.2</v>
      </c>
      <c r="R458" s="150">
        <f>R459</f>
        <v>2865.2</v>
      </c>
      <c r="S458" s="282">
        <f t="shared" si="14"/>
        <v>1</v>
      </c>
    </row>
    <row r="459" spans="1:19" ht="24.75" customHeight="1">
      <c r="A459" s="61"/>
      <c r="B459" s="60"/>
      <c r="C459" s="68"/>
      <c r="D459" s="69"/>
      <c r="E459" s="66"/>
      <c r="F459" s="66"/>
      <c r="G459" s="67"/>
      <c r="H459" s="9" t="s">
        <v>642</v>
      </c>
      <c r="I459" s="4">
        <v>661</v>
      </c>
      <c r="J459" s="16">
        <v>14</v>
      </c>
      <c r="K459" s="14">
        <v>1</v>
      </c>
      <c r="L459" s="14">
        <v>11</v>
      </c>
      <c r="M459" s="58" t="s">
        <v>516</v>
      </c>
      <c r="N459" s="58" t="s">
        <v>520</v>
      </c>
      <c r="O459" s="58" t="s">
        <v>589</v>
      </c>
      <c r="P459" s="4">
        <v>510</v>
      </c>
      <c r="Q459" s="150">
        <v>2865.2</v>
      </c>
      <c r="R459" s="150">
        <v>2865.2</v>
      </c>
      <c r="S459" s="282">
        <f t="shared" si="14"/>
        <v>1</v>
      </c>
    </row>
    <row r="460" spans="1:19" ht="21" customHeight="1">
      <c r="A460" s="61"/>
      <c r="B460" s="60"/>
      <c r="C460" s="68"/>
      <c r="D460" s="69"/>
      <c r="E460" s="66"/>
      <c r="F460" s="66"/>
      <c r="G460" s="67"/>
      <c r="H460" s="9" t="s">
        <v>45</v>
      </c>
      <c r="I460" s="4">
        <v>661</v>
      </c>
      <c r="J460" s="14">
        <v>14</v>
      </c>
      <c r="K460" s="14">
        <v>1</v>
      </c>
      <c r="L460" s="14">
        <v>11</v>
      </c>
      <c r="M460" s="58" t="s">
        <v>516</v>
      </c>
      <c r="N460" s="58" t="s">
        <v>520</v>
      </c>
      <c r="O460" s="58" t="s">
        <v>71</v>
      </c>
      <c r="P460" s="4" t="s">
        <v>491</v>
      </c>
      <c r="Q460" s="151">
        <f>Q461</f>
        <v>2167.6</v>
      </c>
      <c r="R460" s="151">
        <f>R461</f>
        <v>2167.6</v>
      </c>
      <c r="S460" s="282">
        <f aca="true" t="shared" si="19" ref="S460:S523">R460/Q460</f>
        <v>1</v>
      </c>
    </row>
    <row r="461" spans="1:19" ht="23.25" customHeight="1">
      <c r="A461" s="61"/>
      <c r="B461" s="60"/>
      <c r="C461" s="68"/>
      <c r="D461" s="69"/>
      <c r="E461" s="66"/>
      <c r="F461" s="66"/>
      <c r="G461" s="67"/>
      <c r="H461" s="9" t="s">
        <v>642</v>
      </c>
      <c r="I461" s="4">
        <v>661</v>
      </c>
      <c r="J461" s="16">
        <v>14</v>
      </c>
      <c r="K461" s="14">
        <v>1</v>
      </c>
      <c r="L461" s="14">
        <v>11</v>
      </c>
      <c r="M461" s="58" t="s">
        <v>516</v>
      </c>
      <c r="N461" s="58" t="s">
        <v>520</v>
      </c>
      <c r="O461" s="58" t="s">
        <v>71</v>
      </c>
      <c r="P461" s="4">
        <v>510</v>
      </c>
      <c r="Q461" s="151">
        <v>2167.6</v>
      </c>
      <c r="R461" s="151">
        <v>2167.6</v>
      </c>
      <c r="S461" s="282">
        <f t="shared" si="19"/>
        <v>1</v>
      </c>
    </row>
    <row r="462" spans="1:19" s="135" customFormat="1" ht="22.5" customHeight="1">
      <c r="A462" s="101"/>
      <c r="B462" s="102"/>
      <c r="C462" s="116"/>
      <c r="D462" s="129"/>
      <c r="E462" s="104"/>
      <c r="F462" s="104"/>
      <c r="G462" s="114"/>
      <c r="H462" s="96" t="s">
        <v>581</v>
      </c>
      <c r="I462" s="105">
        <v>661</v>
      </c>
      <c r="J462" s="98">
        <v>14</v>
      </c>
      <c r="K462" s="98">
        <v>2</v>
      </c>
      <c r="L462" s="98" t="s">
        <v>491</v>
      </c>
      <c r="M462" s="100" t="s">
        <v>491</v>
      </c>
      <c r="N462" s="100"/>
      <c r="O462" s="100" t="s">
        <v>491</v>
      </c>
      <c r="P462" s="105" t="s">
        <v>491</v>
      </c>
      <c r="Q462" s="152">
        <f aca="true" t="shared" si="20" ref="Q462:R464">Q463</f>
        <v>14082</v>
      </c>
      <c r="R462" s="152">
        <f t="shared" si="20"/>
        <v>14082</v>
      </c>
      <c r="S462" s="282">
        <f t="shared" si="19"/>
        <v>1</v>
      </c>
    </row>
    <row r="463" spans="1:19" ht="36.75" customHeight="1">
      <c r="A463" s="59"/>
      <c r="B463" s="60"/>
      <c r="C463" s="65"/>
      <c r="D463" s="63"/>
      <c r="E463" s="66"/>
      <c r="F463" s="66"/>
      <c r="G463" s="51"/>
      <c r="H463" s="9" t="s">
        <v>27</v>
      </c>
      <c r="I463" s="8">
        <v>661</v>
      </c>
      <c r="J463" s="14">
        <v>14</v>
      </c>
      <c r="K463" s="14">
        <v>2</v>
      </c>
      <c r="L463" s="57" t="s">
        <v>548</v>
      </c>
      <c r="M463" s="58" t="s">
        <v>519</v>
      </c>
      <c r="N463" s="58" t="s">
        <v>539</v>
      </c>
      <c r="O463" s="58" t="s">
        <v>556</v>
      </c>
      <c r="P463" s="4"/>
      <c r="Q463" s="151">
        <f t="shared" si="20"/>
        <v>14082</v>
      </c>
      <c r="R463" s="151">
        <f t="shared" si="20"/>
        <v>14082</v>
      </c>
      <c r="S463" s="282">
        <f t="shared" si="19"/>
        <v>1</v>
      </c>
    </row>
    <row r="464" spans="1:19" ht="36.75" customHeight="1">
      <c r="A464" s="59"/>
      <c r="B464" s="60"/>
      <c r="C464" s="68"/>
      <c r="D464" s="69"/>
      <c r="E464" s="66"/>
      <c r="F464" s="66"/>
      <c r="G464" s="51"/>
      <c r="H464" s="9" t="s">
        <v>34</v>
      </c>
      <c r="I464" s="8">
        <v>661</v>
      </c>
      <c r="J464" s="14">
        <v>14</v>
      </c>
      <c r="K464" s="14">
        <v>2</v>
      </c>
      <c r="L464" s="57" t="s">
        <v>548</v>
      </c>
      <c r="M464" s="58" t="s">
        <v>516</v>
      </c>
      <c r="N464" s="58" t="s">
        <v>539</v>
      </c>
      <c r="O464" s="58" t="s">
        <v>556</v>
      </c>
      <c r="P464" s="4"/>
      <c r="Q464" s="151">
        <f t="shared" si="20"/>
        <v>14082</v>
      </c>
      <c r="R464" s="151">
        <f t="shared" si="20"/>
        <v>14082</v>
      </c>
      <c r="S464" s="282">
        <f t="shared" si="19"/>
        <v>1</v>
      </c>
    </row>
    <row r="465" spans="1:19" ht="18.75" customHeight="1">
      <c r="A465" s="59"/>
      <c r="B465" s="60"/>
      <c r="C465" s="68"/>
      <c r="D465" s="69"/>
      <c r="E465" s="66"/>
      <c r="F465" s="66"/>
      <c r="G465" s="67"/>
      <c r="H465" s="9" t="s">
        <v>35</v>
      </c>
      <c r="I465" s="4">
        <v>661</v>
      </c>
      <c r="J465" s="14">
        <v>14</v>
      </c>
      <c r="K465" s="14">
        <v>2</v>
      </c>
      <c r="L465" s="14">
        <v>11</v>
      </c>
      <c r="M465" s="58" t="s">
        <v>516</v>
      </c>
      <c r="N465" s="58" t="s">
        <v>545</v>
      </c>
      <c r="O465" s="58" t="s">
        <v>556</v>
      </c>
      <c r="P465" s="4"/>
      <c r="Q465" s="151">
        <f>Q466+Q468</f>
        <v>14082</v>
      </c>
      <c r="R465" s="151">
        <f>R466+R468</f>
        <v>14082</v>
      </c>
      <c r="S465" s="282">
        <f t="shared" si="19"/>
        <v>1</v>
      </c>
    </row>
    <row r="466" spans="1:19" ht="23.25" customHeight="1">
      <c r="A466" s="61"/>
      <c r="B466" s="60"/>
      <c r="C466" s="68"/>
      <c r="D466" s="69"/>
      <c r="E466" s="66"/>
      <c r="F466" s="66"/>
      <c r="G466" s="67"/>
      <c r="H466" s="9" t="s">
        <v>33</v>
      </c>
      <c r="I466" s="4">
        <v>661</v>
      </c>
      <c r="J466" s="14">
        <v>14</v>
      </c>
      <c r="K466" s="14">
        <v>2</v>
      </c>
      <c r="L466" s="14">
        <v>11</v>
      </c>
      <c r="M466" s="58" t="s">
        <v>516</v>
      </c>
      <c r="N466" s="58" t="s">
        <v>545</v>
      </c>
      <c r="O466" s="58" t="s">
        <v>72</v>
      </c>
      <c r="P466" s="4" t="s">
        <v>491</v>
      </c>
      <c r="Q466" s="151">
        <f>Q467</f>
        <v>10961.9</v>
      </c>
      <c r="R466" s="151">
        <f>R467</f>
        <v>10961.9</v>
      </c>
      <c r="S466" s="282">
        <f t="shared" si="19"/>
        <v>1</v>
      </c>
    </row>
    <row r="467" spans="1:19" ht="20.25" customHeight="1">
      <c r="A467" s="61"/>
      <c r="B467" s="60"/>
      <c r="C467" s="68"/>
      <c r="D467" s="69"/>
      <c r="E467" s="66"/>
      <c r="F467" s="66"/>
      <c r="G467" s="67"/>
      <c r="H467" s="9" t="s">
        <v>642</v>
      </c>
      <c r="I467" s="4">
        <v>661</v>
      </c>
      <c r="J467" s="16">
        <v>14</v>
      </c>
      <c r="K467" s="14">
        <v>2</v>
      </c>
      <c r="L467" s="14">
        <v>11</v>
      </c>
      <c r="M467" s="58" t="s">
        <v>516</v>
      </c>
      <c r="N467" s="58" t="s">
        <v>545</v>
      </c>
      <c r="O467" s="58" t="s">
        <v>72</v>
      </c>
      <c r="P467" s="4">
        <v>510</v>
      </c>
      <c r="Q467" s="151">
        <f>7064+971.5+200+2600+52.4+74</f>
        <v>10961.9</v>
      </c>
      <c r="R467" s="151">
        <f>7064+971.5+200+2600+52.4+74</f>
        <v>10961.9</v>
      </c>
      <c r="S467" s="282">
        <f t="shared" si="19"/>
        <v>1</v>
      </c>
    </row>
    <row r="468" spans="1:19" ht="32.25" customHeight="1">
      <c r="A468" s="61"/>
      <c r="B468" s="60"/>
      <c r="C468" s="68"/>
      <c r="D468" s="69"/>
      <c r="E468" s="66"/>
      <c r="F468" s="66"/>
      <c r="G468" s="67"/>
      <c r="H468" s="9" t="s">
        <v>50</v>
      </c>
      <c r="I468" s="8">
        <v>661</v>
      </c>
      <c r="J468" s="5">
        <v>14</v>
      </c>
      <c r="K468" s="14">
        <v>2</v>
      </c>
      <c r="L468" s="14">
        <v>11</v>
      </c>
      <c r="M468" s="58" t="s">
        <v>516</v>
      </c>
      <c r="N468" s="58" t="s">
        <v>545</v>
      </c>
      <c r="O468" s="58" t="s">
        <v>49</v>
      </c>
      <c r="P468" s="4"/>
      <c r="Q468" s="151">
        <f>Q469</f>
        <v>3120.1</v>
      </c>
      <c r="R468" s="151">
        <f>R469</f>
        <v>3120.1</v>
      </c>
      <c r="S468" s="282">
        <f t="shared" si="19"/>
        <v>1</v>
      </c>
    </row>
    <row r="469" spans="1:19" ht="20.25" customHeight="1">
      <c r="A469" s="61"/>
      <c r="B469" s="60"/>
      <c r="C469" s="68"/>
      <c r="D469" s="69"/>
      <c r="E469" s="66"/>
      <c r="F469" s="66"/>
      <c r="G469" s="67"/>
      <c r="H469" s="9" t="s">
        <v>642</v>
      </c>
      <c r="I469" s="8">
        <v>661</v>
      </c>
      <c r="J469" s="5">
        <v>14</v>
      </c>
      <c r="K469" s="14">
        <v>2</v>
      </c>
      <c r="L469" s="14">
        <v>11</v>
      </c>
      <c r="M469" s="58" t="s">
        <v>516</v>
      </c>
      <c r="N469" s="58" t="s">
        <v>545</v>
      </c>
      <c r="O469" s="58" t="s">
        <v>49</v>
      </c>
      <c r="P469" s="4">
        <v>510</v>
      </c>
      <c r="Q469" s="151">
        <f>2862.2+257.9</f>
        <v>3120.1</v>
      </c>
      <c r="R469" s="151">
        <f>2862.2+257.9</f>
        <v>3120.1</v>
      </c>
      <c r="S469" s="282">
        <f t="shared" si="19"/>
        <v>1</v>
      </c>
    </row>
    <row r="470" spans="1:19" s="232" customFormat="1" ht="28.5" customHeight="1">
      <c r="A470" s="117"/>
      <c r="B470" s="118"/>
      <c r="C470" s="119"/>
      <c r="D470" s="127"/>
      <c r="E470" s="128"/>
      <c r="F470" s="128"/>
      <c r="G470" s="122">
        <v>521</v>
      </c>
      <c r="H470" s="30" t="s">
        <v>338</v>
      </c>
      <c r="I470" s="12">
        <v>663</v>
      </c>
      <c r="J470" s="13" t="s">
        <v>491</v>
      </c>
      <c r="K470" s="13" t="s">
        <v>491</v>
      </c>
      <c r="L470" s="92" t="s">
        <v>491</v>
      </c>
      <c r="M470" s="93" t="s">
        <v>491</v>
      </c>
      <c r="N470" s="93"/>
      <c r="O470" s="93" t="s">
        <v>491</v>
      </c>
      <c r="P470" s="130"/>
      <c r="Q470" s="155">
        <f>Q471+Q649</f>
        <v>278709.39999999997</v>
      </c>
      <c r="R470" s="155">
        <f>R471+R649</f>
        <v>277260.89999999997</v>
      </c>
      <c r="S470" s="282">
        <f t="shared" si="19"/>
        <v>0.9948028304750396</v>
      </c>
    </row>
    <row r="471" spans="1:19" s="135" customFormat="1" ht="18" customHeight="1">
      <c r="A471" s="101"/>
      <c r="B471" s="102"/>
      <c r="C471" s="101"/>
      <c r="D471" s="286">
        <v>5550000</v>
      </c>
      <c r="E471" s="287"/>
      <c r="F471" s="287"/>
      <c r="G471" s="95">
        <v>314</v>
      </c>
      <c r="H471" s="96" t="s">
        <v>502</v>
      </c>
      <c r="I471" s="97">
        <v>663</v>
      </c>
      <c r="J471" s="98">
        <v>7</v>
      </c>
      <c r="K471" s="98" t="s">
        <v>557</v>
      </c>
      <c r="L471" s="99" t="s">
        <v>491</v>
      </c>
      <c r="M471" s="100" t="s">
        <v>491</v>
      </c>
      <c r="N471" s="100"/>
      <c r="O471" s="100" t="s">
        <v>491</v>
      </c>
      <c r="P471" s="97"/>
      <c r="Q471" s="149">
        <f>Q472+Q499+Q557+Q572</f>
        <v>276004.39999999997</v>
      </c>
      <c r="R471" s="149">
        <f>R472+R499+R557+R572</f>
        <v>274555.89999999997</v>
      </c>
      <c r="S471" s="282">
        <f t="shared" si="19"/>
        <v>0.9947518952596408</v>
      </c>
    </row>
    <row r="472" spans="1:19" s="135" customFormat="1" ht="18.75" customHeight="1">
      <c r="A472" s="101"/>
      <c r="B472" s="102"/>
      <c r="C472" s="112"/>
      <c r="D472" s="109"/>
      <c r="E472" s="288">
        <v>5551700</v>
      </c>
      <c r="F472" s="288"/>
      <c r="G472" s="95">
        <v>314</v>
      </c>
      <c r="H472" s="96" t="s">
        <v>339</v>
      </c>
      <c r="I472" s="97">
        <v>663</v>
      </c>
      <c r="J472" s="98">
        <v>7</v>
      </c>
      <c r="K472" s="98">
        <v>1</v>
      </c>
      <c r="L472" s="99" t="s">
        <v>491</v>
      </c>
      <c r="M472" s="100" t="s">
        <v>491</v>
      </c>
      <c r="N472" s="100"/>
      <c r="O472" s="100" t="s">
        <v>491</v>
      </c>
      <c r="P472" s="97"/>
      <c r="Q472" s="149">
        <f>Q473+Q484+Q494</f>
        <v>74088.7</v>
      </c>
      <c r="R472" s="149">
        <f>R473+R484+R494</f>
        <v>74088.7</v>
      </c>
      <c r="S472" s="282">
        <f t="shared" si="19"/>
        <v>1</v>
      </c>
    </row>
    <row r="473" spans="1:19" ht="41.25" customHeight="1">
      <c r="A473" s="61"/>
      <c r="B473" s="60"/>
      <c r="C473" s="65"/>
      <c r="D473" s="63"/>
      <c r="E473" s="66"/>
      <c r="F473" s="66"/>
      <c r="G473" s="51"/>
      <c r="H473" s="179" t="s">
        <v>239</v>
      </c>
      <c r="I473" s="8">
        <v>663</v>
      </c>
      <c r="J473" s="14">
        <v>7</v>
      </c>
      <c r="K473" s="14">
        <v>1</v>
      </c>
      <c r="L473" s="57" t="s">
        <v>547</v>
      </c>
      <c r="M473" s="58" t="s">
        <v>519</v>
      </c>
      <c r="N473" s="58" t="s">
        <v>539</v>
      </c>
      <c r="O473" s="58" t="s">
        <v>556</v>
      </c>
      <c r="P473" s="8"/>
      <c r="Q473" s="150">
        <f>Q474+Q481</f>
        <v>74088.7</v>
      </c>
      <c r="R473" s="150">
        <f>R474+R481</f>
        <v>74088.7</v>
      </c>
      <c r="S473" s="282">
        <f t="shared" si="19"/>
        <v>1</v>
      </c>
    </row>
    <row r="474" spans="1:19" ht="27" customHeight="1">
      <c r="A474" s="61"/>
      <c r="B474" s="60"/>
      <c r="C474" s="65"/>
      <c r="D474" s="63"/>
      <c r="E474" s="66"/>
      <c r="F474" s="66"/>
      <c r="G474" s="51"/>
      <c r="H474" s="180" t="s">
        <v>592</v>
      </c>
      <c r="I474" s="8">
        <v>663</v>
      </c>
      <c r="J474" s="14">
        <v>7</v>
      </c>
      <c r="K474" s="14">
        <v>1</v>
      </c>
      <c r="L474" s="57" t="s">
        <v>547</v>
      </c>
      <c r="M474" s="58" t="s">
        <v>519</v>
      </c>
      <c r="N474" s="58" t="s">
        <v>520</v>
      </c>
      <c r="O474" s="58" t="s">
        <v>556</v>
      </c>
      <c r="P474" s="8"/>
      <c r="Q474" s="150">
        <f>Q475+Q479+Q477</f>
        <v>73926.2</v>
      </c>
      <c r="R474" s="150">
        <f>R475+R479+R477</f>
        <v>73926.2</v>
      </c>
      <c r="S474" s="282">
        <f t="shared" si="19"/>
        <v>1</v>
      </c>
    </row>
    <row r="475" spans="1:19" ht="24.75" customHeight="1">
      <c r="A475" s="61"/>
      <c r="B475" s="60"/>
      <c r="C475" s="65"/>
      <c r="D475" s="63"/>
      <c r="E475" s="66"/>
      <c r="F475" s="66"/>
      <c r="G475" s="51"/>
      <c r="H475" s="2" t="s">
        <v>299</v>
      </c>
      <c r="I475" s="8">
        <v>663</v>
      </c>
      <c r="J475" s="14">
        <v>7</v>
      </c>
      <c r="K475" s="14">
        <v>1</v>
      </c>
      <c r="L475" s="57" t="s">
        <v>547</v>
      </c>
      <c r="M475" s="58" t="s">
        <v>519</v>
      </c>
      <c r="N475" s="58" t="s">
        <v>520</v>
      </c>
      <c r="O475" s="58" t="s">
        <v>289</v>
      </c>
      <c r="P475" s="8"/>
      <c r="Q475" s="150">
        <f>Q476</f>
        <v>13505.800000000001</v>
      </c>
      <c r="R475" s="150">
        <f>R476</f>
        <v>13505.800000000001</v>
      </c>
      <c r="S475" s="282">
        <f t="shared" si="19"/>
        <v>1</v>
      </c>
    </row>
    <row r="476" spans="1:19" ht="25.5" customHeight="1">
      <c r="A476" s="61"/>
      <c r="B476" s="60"/>
      <c r="C476" s="65"/>
      <c r="D476" s="63"/>
      <c r="E476" s="66"/>
      <c r="F476" s="66"/>
      <c r="G476" s="51"/>
      <c r="H476" s="2" t="s">
        <v>638</v>
      </c>
      <c r="I476" s="8">
        <v>663</v>
      </c>
      <c r="J476" s="14">
        <v>7</v>
      </c>
      <c r="K476" s="14">
        <v>1</v>
      </c>
      <c r="L476" s="57" t="s">
        <v>547</v>
      </c>
      <c r="M476" s="58" t="s">
        <v>519</v>
      </c>
      <c r="N476" s="58" t="s">
        <v>520</v>
      </c>
      <c r="O476" s="58" t="s">
        <v>289</v>
      </c>
      <c r="P476" s="8">
        <v>610</v>
      </c>
      <c r="Q476" s="150">
        <f>13014.2-46-52.7+384.6-49.3+184.1+29.9+40.9+0.1</f>
        <v>13505.800000000001</v>
      </c>
      <c r="R476" s="150">
        <f>13014.2-46-52.7+384.6-49.3+184.1+29.9+40.9+0.1</f>
        <v>13505.800000000001</v>
      </c>
      <c r="S476" s="282">
        <f t="shared" si="19"/>
        <v>1</v>
      </c>
    </row>
    <row r="477" spans="1:19" ht="36.75" customHeight="1">
      <c r="A477" s="61"/>
      <c r="B477" s="60"/>
      <c r="C477" s="65"/>
      <c r="D477" s="63"/>
      <c r="E477" s="66"/>
      <c r="F477" s="66"/>
      <c r="G477" s="51"/>
      <c r="H477" s="225" t="s">
        <v>50</v>
      </c>
      <c r="I477" s="8">
        <v>663</v>
      </c>
      <c r="J477" s="14">
        <v>7</v>
      </c>
      <c r="K477" s="14">
        <v>1</v>
      </c>
      <c r="L477" s="57" t="s">
        <v>547</v>
      </c>
      <c r="M477" s="58" t="s">
        <v>519</v>
      </c>
      <c r="N477" s="58" t="s">
        <v>520</v>
      </c>
      <c r="O477" s="58" t="s">
        <v>49</v>
      </c>
      <c r="P477" s="8"/>
      <c r="Q477" s="150">
        <f>Q478</f>
        <v>4478</v>
      </c>
      <c r="R477" s="150">
        <f>R478</f>
        <v>4478</v>
      </c>
      <c r="S477" s="282">
        <f t="shared" si="19"/>
        <v>1</v>
      </c>
    </row>
    <row r="478" spans="1:19" ht="25.5" customHeight="1">
      <c r="A478" s="61"/>
      <c r="B478" s="60"/>
      <c r="C478" s="65"/>
      <c r="D478" s="63"/>
      <c r="E478" s="66"/>
      <c r="F478" s="66"/>
      <c r="G478" s="51"/>
      <c r="H478" s="2" t="s">
        <v>638</v>
      </c>
      <c r="I478" s="8">
        <v>663</v>
      </c>
      <c r="J478" s="14">
        <v>7</v>
      </c>
      <c r="K478" s="14">
        <v>1</v>
      </c>
      <c r="L478" s="57" t="s">
        <v>547</v>
      </c>
      <c r="M478" s="58" t="s">
        <v>519</v>
      </c>
      <c r="N478" s="58" t="s">
        <v>520</v>
      </c>
      <c r="O478" s="58" t="s">
        <v>49</v>
      </c>
      <c r="P478" s="8">
        <v>610</v>
      </c>
      <c r="Q478" s="150">
        <f>3304+1173.9+0.1</f>
        <v>4478</v>
      </c>
      <c r="R478" s="150">
        <f>3304+1173.9+0.1</f>
        <v>4478</v>
      </c>
      <c r="S478" s="282">
        <f t="shared" si="19"/>
        <v>1</v>
      </c>
    </row>
    <row r="479" spans="1:19" ht="39" customHeight="1">
      <c r="A479" s="61"/>
      <c r="B479" s="60"/>
      <c r="C479" s="65"/>
      <c r="D479" s="63"/>
      <c r="E479" s="66"/>
      <c r="F479" s="66"/>
      <c r="G479" s="51"/>
      <c r="H479" s="181" t="s">
        <v>301</v>
      </c>
      <c r="I479" s="8">
        <v>663</v>
      </c>
      <c r="J479" s="14">
        <v>7</v>
      </c>
      <c r="K479" s="14">
        <v>1</v>
      </c>
      <c r="L479" s="57" t="s">
        <v>547</v>
      </c>
      <c r="M479" s="58" t="s">
        <v>519</v>
      </c>
      <c r="N479" s="58" t="s">
        <v>520</v>
      </c>
      <c r="O479" s="58" t="s">
        <v>300</v>
      </c>
      <c r="P479" s="8"/>
      <c r="Q479" s="150">
        <f>Q480</f>
        <v>55942.4</v>
      </c>
      <c r="R479" s="150">
        <f>R480</f>
        <v>55942.4</v>
      </c>
      <c r="S479" s="282">
        <f t="shared" si="19"/>
        <v>1</v>
      </c>
    </row>
    <row r="480" spans="1:19" ht="23.25" customHeight="1">
      <c r="A480" s="61"/>
      <c r="B480" s="60"/>
      <c r="C480" s="65"/>
      <c r="D480" s="63"/>
      <c r="E480" s="66"/>
      <c r="F480" s="66"/>
      <c r="G480" s="51"/>
      <c r="H480" s="181" t="s">
        <v>638</v>
      </c>
      <c r="I480" s="8">
        <v>663</v>
      </c>
      <c r="J480" s="14">
        <v>7</v>
      </c>
      <c r="K480" s="14">
        <v>1</v>
      </c>
      <c r="L480" s="57" t="s">
        <v>547</v>
      </c>
      <c r="M480" s="58" t="s">
        <v>519</v>
      </c>
      <c r="N480" s="58" t="s">
        <v>520</v>
      </c>
      <c r="O480" s="58" t="s">
        <v>300</v>
      </c>
      <c r="P480" s="8">
        <v>610</v>
      </c>
      <c r="Q480" s="150">
        <f>57402.5-995.1-465</f>
        <v>55942.4</v>
      </c>
      <c r="R480" s="150">
        <f>57402.5-995.1-465</f>
        <v>55942.4</v>
      </c>
      <c r="S480" s="282">
        <f t="shared" si="19"/>
        <v>1</v>
      </c>
    </row>
    <row r="481" spans="1:19" ht="23.25" customHeight="1">
      <c r="A481" s="61"/>
      <c r="B481" s="60"/>
      <c r="C481" s="65"/>
      <c r="D481" s="63"/>
      <c r="E481" s="66"/>
      <c r="F481" s="66"/>
      <c r="G481" s="51"/>
      <c r="H481" s="2" t="s">
        <v>706</v>
      </c>
      <c r="I481" s="8">
        <v>663</v>
      </c>
      <c r="J481" s="14">
        <v>7</v>
      </c>
      <c r="K481" s="14">
        <v>1</v>
      </c>
      <c r="L481" s="57" t="s">
        <v>547</v>
      </c>
      <c r="M481" s="58" t="s">
        <v>519</v>
      </c>
      <c r="N481" s="58" t="s">
        <v>522</v>
      </c>
      <c r="O481" s="58" t="s">
        <v>556</v>
      </c>
      <c r="P481" s="8"/>
      <c r="Q481" s="150">
        <f>Q482</f>
        <v>162.5</v>
      </c>
      <c r="R481" s="150">
        <f>R482</f>
        <v>162.5</v>
      </c>
      <c r="S481" s="282">
        <f t="shared" si="19"/>
        <v>1</v>
      </c>
    </row>
    <row r="482" spans="1:19" ht="30.75" customHeight="1">
      <c r="A482" s="61"/>
      <c r="B482" s="60"/>
      <c r="C482" s="65"/>
      <c r="D482" s="63"/>
      <c r="E482" s="66"/>
      <c r="F482" s="66"/>
      <c r="G482" s="51"/>
      <c r="H482" s="2" t="s">
        <v>299</v>
      </c>
      <c r="I482" s="8">
        <v>663</v>
      </c>
      <c r="J482" s="14">
        <v>7</v>
      </c>
      <c r="K482" s="14">
        <v>1</v>
      </c>
      <c r="L482" s="57" t="s">
        <v>547</v>
      </c>
      <c r="M482" s="58" t="s">
        <v>519</v>
      </c>
      <c r="N482" s="58" t="s">
        <v>522</v>
      </c>
      <c r="O482" s="58" t="s">
        <v>289</v>
      </c>
      <c r="P482" s="8"/>
      <c r="Q482" s="150">
        <f>Q483</f>
        <v>162.5</v>
      </c>
      <c r="R482" s="150">
        <f>R483</f>
        <v>162.5</v>
      </c>
      <c r="S482" s="282">
        <f t="shared" si="19"/>
        <v>1</v>
      </c>
    </row>
    <row r="483" spans="1:19" ht="27.75" customHeight="1">
      <c r="A483" s="61"/>
      <c r="B483" s="60"/>
      <c r="C483" s="65"/>
      <c r="D483" s="63"/>
      <c r="E483" s="66"/>
      <c r="F483" s="66"/>
      <c r="G483" s="51"/>
      <c r="H483" s="2" t="s">
        <v>638</v>
      </c>
      <c r="I483" s="8">
        <v>663</v>
      </c>
      <c r="J483" s="14">
        <v>7</v>
      </c>
      <c r="K483" s="14">
        <v>1</v>
      </c>
      <c r="L483" s="57" t="s">
        <v>547</v>
      </c>
      <c r="M483" s="58" t="s">
        <v>519</v>
      </c>
      <c r="N483" s="58" t="s">
        <v>522</v>
      </c>
      <c r="O483" s="58" t="s">
        <v>289</v>
      </c>
      <c r="P483" s="8">
        <v>610</v>
      </c>
      <c r="Q483" s="150">
        <f>355+100-372.5+80</f>
        <v>162.5</v>
      </c>
      <c r="R483" s="150">
        <f>355+100-372.5+80</f>
        <v>162.5</v>
      </c>
      <c r="S483" s="282">
        <f t="shared" si="19"/>
        <v>1</v>
      </c>
    </row>
    <row r="484" spans="1:19" ht="33" customHeight="1" hidden="1">
      <c r="A484" s="61"/>
      <c r="B484" s="60"/>
      <c r="C484" s="65"/>
      <c r="D484" s="63"/>
      <c r="E484" s="66"/>
      <c r="F484" s="66"/>
      <c r="G484" s="51"/>
      <c r="H484" s="3" t="s">
        <v>621</v>
      </c>
      <c r="I484" s="8">
        <v>663</v>
      </c>
      <c r="J484" s="14">
        <v>7</v>
      </c>
      <c r="K484" s="14">
        <v>1</v>
      </c>
      <c r="L484" s="57" t="s">
        <v>622</v>
      </c>
      <c r="M484" s="58" t="s">
        <v>519</v>
      </c>
      <c r="N484" s="58" t="s">
        <v>539</v>
      </c>
      <c r="O484" s="58" t="s">
        <v>556</v>
      </c>
      <c r="P484" s="8"/>
      <c r="Q484" s="150">
        <f>Q485+Q488+Q491</f>
        <v>0</v>
      </c>
      <c r="R484" s="150">
        <f>R485+R488+R491</f>
        <v>0</v>
      </c>
      <c r="S484" s="282" t="e">
        <f t="shared" si="19"/>
        <v>#DIV/0!</v>
      </c>
    </row>
    <row r="485" spans="1:19" ht="33" customHeight="1" hidden="1">
      <c r="A485" s="61"/>
      <c r="B485" s="60"/>
      <c r="C485" s="65"/>
      <c r="D485" s="63"/>
      <c r="E485" s="66"/>
      <c r="F485" s="66"/>
      <c r="G485" s="51"/>
      <c r="H485" s="3" t="s">
        <v>292</v>
      </c>
      <c r="I485" s="8">
        <v>663</v>
      </c>
      <c r="J485" s="14">
        <v>7</v>
      </c>
      <c r="K485" s="14">
        <v>1</v>
      </c>
      <c r="L485" s="57" t="s">
        <v>622</v>
      </c>
      <c r="M485" s="58" t="s">
        <v>519</v>
      </c>
      <c r="N485" s="58" t="s">
        <v>545</v>
      </c>
      <c r="O485" s="58" t="s">
        <v>556</v>
      </c>
      <c r="P485" s="8"/>
      <c r="Q485" s="150">
        <f>Q486</f>
        <v>0</v>
      </c>
      <c r="R485" s="150">
        <f>R486</f>
        <v>0</v>
      </c>
      <c r="S485" s="282" t="e">
        <f t="shared" si="19"/>
        <v>#DIV/0!</v>
      </c>
    </row>
    <row r="486" spans="1:19" ht="24" customHeight="1" hidden="1">
      <c r="A486" s="61"/>
      <c r="B486" s="60"/>
      <c r="C486" s="65"/>
      <c r="D486" s="63"/>
      <c r="E486" s="66"/>
      <c r="F486" s="66"/>
      <c r="G486" s="51"/>
      <c r="H486" s="3" t="s">
        <v>299</v>
      </c>
      <c r="I486" s="8">
        <v>663</v>
      </c>
      <c r="J486" s="14">
        <v>7</v>
      </c>
      <c r="K486" s="14">
        <v>1</v>
      </c>
      <c r="L486" s="57" t="s">
        <v>622</v>
      </c>
      <c r="M486" s="58" t="s">
        <v>519</v>
      </c>
      <c r="N486" s="58" t="s">
        <v>545</v>
      </c>
      <c r="O486" s="58" t="s">
        <v>289</v>
      </c>
      <c r="P486" s="8"/>
      <c r="Q486" s="150">
        <f>Q487</f>
        <v>0</v>
      </c>
      <c r="R486" s="150">
        <f>R487</f>
        <v>0</v>
      </c>
      <c r="S486" s="282" t="e">
        <f t="shared" si="19"/>
        <v>#DIV/0!</v>
      </c>
    </row>
    <row r="487" spans="1:19" ht="24" customHeight="1" hidden="1">
      <c r="A487" s="61"/>
      <c r="B487" s="60"/>
      <c r="C487" s="65"/>
      <c r="D487" s="63"/>
      <c r="E487" s="66"/>
      <c r="F487" s="66"/>
      <c r="G487" s="51"/>
      <c r="H487" s="3" t="s">
        <v>638</v>
      </c>
      <c r="I487" s="8">
        <v>663</v>
      </c>
      <c r="J487" s="14">
        <v>7</v>
      </c>
      <c r="K487" s="14">
        <v>1</v>
      </c>
      <c r="L487" s="57" t="s">
        <v>622</v>
      </c>
      <c r="M487" s="58" t="s">
        <v>519</v>
      </c>
      <c r="N487" s="58" t="s">
        <v>545</v>
      </c>
      <c r="O487" s="58" t="s">
        <v>289</v>
      </c>
      <c r="P487" s="8">
        <v>610</v>
      </c>
      <c r="Q487" s="150">
        <f>131-131</f>
        <v>0</v>
      </c>
      <c r="R487" s="150">
        <f>131-131</f>
        <v>0</v>
      </c>
      <c r="S487" s="282" t="e">
        <f t="shared" si="19"/>
        <v>#DIV/0!</v>
      </c>
    </row>
    <row r="488" spans="1:19" ht="26.25" customHeight="1" hidden="1">
      <c r="A488" s="61"/>
      <c r="B488" s="60"/>
      <c r="C488" s="65"/>
      <c r="D488" s="63"/>
      <c r="E488" s="66"/>
      <c r="F488" s="66"/>
      <c r="G488" s="51"/>
      <c r="H488" s="146" t="s">
        <v>288</v>
      </c>
      <c r="I488" s="8">
        <v>663</v>
      </c>
      <c r="J488" s="14">
        <v>7</v>
      </c>
      <c r="K488" s="14">
        <v>1</v>
      </c>
      <c r="L488" s="57" t="s">
        <v>622</v>
      </c>
      <c r="M488" s="58" t="s">
        <v>519</v>
      </c>
      <c r="N488" s="58" t="s">
        <v>546</v>
      </c>
      <c r="O488" s="58" t="s">
        <v>556</v>
      </c>
      <c r="P488" s="8"/>
      <c r="Q488" s="150">
        <f>Q489</f>
        <v>0</v>
      </c>
      <c r="R488" s="150">
        <f>R489</f>
        <v>0</v>
      </c>
      <c r="S488" s="282" t="e">
        <f t="shared" si="19"/>
        <v>#DIV/0!</v>
      </c>
    </row>
    <row r="489" spans="1:19" ht="22.5" customHeight="1" hidden="1">
      <c r="A489" s="61"/>
      <c r="B489" s="60"/>
      <c r="C489" s="65"/>
      <c r="D489" s="63"/>
      <c r="E489" s="66"/>
      <c r="F489" s="66"/>
      <c r="G489" s="51"/>
      <c r="H489" s="15" t="s">
        <v>290</v>
      </c>
      <c r="I489" s="8">
        <v>663</v>
      </c>
      <c r="J489" s="14">
        <v>7</v>
      </c>
      <c r="K489" s="14">
        <v>1</v>
      </c>
      <c r="L489" s="57" t="s">
        <v>622</v>
      </c>
      <c r="M489" s="58" t="s">
        <v>519</v>
      </c>
      <c r="N489" s="58" t="s">
        <v>546</v>
      </c>
      <c r="O489" s="58" t="s">
        <v>289</v>
      </c>
      <c r="P489" s="8"/>
      <c r="Q489" s="150">
        <f>Q490</f>
        <v>0</v>
      </c>
      <c r="R489" s="150">
        <f>R490</f>
        <v>0</v>
      </c>
      <c r="S489" s="282" t="e">
        <f t="shared" si="19"/>
        <v>#DIV/0!</v>
      </c>
    </row>
    <row r="490" spans="1:19" ht="22.5" customHeight="1" hidden="1">
      <c r="A490" s="61"/>
      <c r="B490" s="60"/>
      <c r="C490" s="65"/>
      <c r="D490" s="63"/>
      <c r="E490" s="66"/>
      <c r="F490" s="66"/>
      <c r="G490" s="51"/>
      <c r="H490" s="15" t="s">
        <v>638</v>
      </c>
      <c r="I490" s="8">
        <v>663</v>
      </c>
      <c r="J490" s="14">
        <v>7</v>
      </c>
      <c r="K490" s="14">
        <v>1</v>
      </c>
      <c r="L490" s="57" t="s">
        <v>622</v>
      </c>
      <c r="M490" s="58" t="s">
        <v>519</v>
      </c>
      <c r="N490" s="58" t="s">
        <v>546</v>
      </c>
      <c r="O490" s="58" t="s">
        <v>289</v>
      </c>
      <c r="P490" s="8">
        <v>610</v>
      </c>
      <c r="Q490" s="150">
        <f>9-5-4</f>
        <v>0</v>
      </c>
      <c r="R490" s="150">
        <f>9-5-4</f>
        <v>0</v>
      </c>
      <c r="S490" s="282" t="e">
        <f t="shared" si="19"/>
        <v>#DIV/0!</v>
      </c>
    </row>
    <row r="491" spans="1:19" ht="44.25" customHeight="1" hidden="1">
      <c r="A491" s="61"/>
      <c r="B491" s="60"/>
      <c r="C491" s="65"/>
      <c r="D491" s="63"/>
      <c r="E491" s="66"/>
      <c r="F491" s="66"/>
      <c r="G491" s="51"/>
      <c r="H491" s="15" t="s">
        <v>620</v>
      </c>
      <c r="I491" s="8">
        <v>663</v>
      </c>
      <c r="J491" s="14">
        <v>7</v>
      </c>
      <c r="K491" s="14">
        <v>1</v>
      </c>
      <c r="L491" s="57" t="s">
        <v>622</v>
      </c>
      <c r="M491" s="58" t="s">
        <v>519</v>
      </c>
      <c r="N491" s="58" t="s">
        <v>544</v>
      </c>
      <c r="O491" s="58" t="s">
        <v>556</v>
      </c>
      <c r="P491" s="8"/>
      <c r="Q491" s="150">
        <f>Q492</f>
        <v>0</v>
      </c>
      <c r="R491" s="150">
        <f>R492</f>
        <v>0</v>
      </c>
      <c r="S491" s="282" t="e">
        <f t="shared" si="19"/>
        <v>#DIV/0!</v>
      </c>
    </row>
    <row r="492" spans="1:19" ht="29.25" customHeight="1" hidden="1">
      <c r="A492" s="61"/>
      <c r="B492" s="60"/>
      <c r="C492" s="65"/>
      <c r="D492" s="63"/>
      <c r="E492" s="66"/>
      <c r="F492" s="66"/>
      <c r="G492" s="51"/>
      <c r="H492" s="15" t="s">
        <v>299</v>
      </c>
      <c r="I492" s="8">
        <v>663</v>
      </c>
      <c r="J492" s="14">
        <v>7</v>
      </c>
      <c r="K492" s="14">
        <v>1</v>
      </c>
      <c r="L492" s="57" t="s">
        <v>622</v>
      </c>
      <c r="M492" s="58" t="s">
        <v>519</v>
      </c>
      <c r="N492" s="58" t="s">
        <v>544</v>
      </c>
      <c r="O492" s="58" t="s">
        <v>289</v>
      </c>
      <c r="P492" s="8"/>
      <c r="Q492" s="150">
        <f>Q493</f>
        <v>0</v>
      </c>
      <c r="R492" s="150">
        <f>R493</f>
        <v>0</v>
      </c>
      <c r="S492" s="282" t="e">
        <f t="shared" si="19"/>
        <v>#DIV/0!</v>
      </c>
    </row>
    <row r="493" spans="1:19" ht="32.25" customHeight="1" hidden="1">
      <c r="A493" s="61"/>
      <c r="B493" s="60"/>
      <c r="C493" s="65"/>
      <c r="D493" s="63"/>
      <c r="E493" s="66"/>
      <c r="F493" s="66"/>
      <c r="G493" s="51"/>
      <c r="H493" s="15" t="s">
        <v>638</v>
      </c>
      <c r="I493" s="8">
        <v>663</v>
      </c>
      <c r="J493" s="14">
        <v>7</v>
      </c>
      <c r="K493" s="14">
        <v>1</v>
      </c>
      <c r="L493" s="57" t="s">
        <v>622</v>
      </c>
      <c r="M493" s="58" t="s">
        <v>519</v>
      </c>
      <c r="N493" s="58" t="s">
        <v>544</v>
      </c>
      <c r="O493" s="58" t="s">
        <v>289</v>
      </c>
      <c r="P493" s="8">
        <v>610</v>
      </c>
      <c r="Q493" s="150">
        <f>9-9</f>
        <v>0</v>
      </c>
      <c r="R493" s="150">
        <f>9-9</f>
        <v>0</v>
      </c>
      <c r="S493" s="282" t="e">
        <f t="shared" si="19"/>
        <v>#DIV/0!</v>
      </c>
    </row>
    <row r="494" spans="1:19" ht="30" customHeight="1" hidden="1">
      <c r="A494" s="61"/>
      <c r="B494" s="60"/>
      <c r="C494" s="65"/>
      <c r="D494" s="63"/>
      <c r="E494" s="66"/>
      <c r="F494" s="66"/>
      <c r="G494" s="51"/>
      <c r="H494" s="2" t="s">
        <v>267</v>
      </c>
      <c r="I494" s="8">
        <v>663</v>
      </c>
      <c r="J494" s="14">
        <v>7</v>
      </c>
      <c r="K494" s="14">
        <v>1</v>
      </c>
      <c r="L494" s="57" t="s">
        <v>536</v>
      </c>
      <c r="M494" s="58" t="s">
        <v>519</v>
      </c>
      <c r="N494" s="58" t="s">
        <v>539</v>
      </c>
      <c r="O494" s="58" t="s">
        <v>556</v>
      </c>
      <c r="P494" s="8"/>
      <c r="Q494" s="172">
        <f>Q495+Q497</f>
        <v>0</v>
      </c>
      <c r="R494" s="172">
        <f>R495+R497</f>
        <v>0</v>
      </c>
      <c r="S494" s="282" t="e">
        <f t="shared" si="19"/>
        <v>#DIV/0!</v>
      </c>
    </row>
    <row r="495" spans="1:19" ht="30" customHeight="1" hidden="1">
      <c r="A495" s="61"/>
      <c r="B495" s="60"/>
      <c r="C495" s="65"/>
      <c r="D495" s="63"/>
      <c r="E495" s="66"/>
      <c r="F495" s="66"/>
      <c r="G495" s="51"/>
      <c r="H495" s="2" t="s">
        <v>299</v>
      </c>
      <c r="I495" s="8">
        <v>663</v>
      </c>
      <c r="J495" s="14">
        <v>7</v>
      </c>
      <c r="K495" s="14">
        <v>1</v>
      </c>
      <c r="L495" s="57" t="s">
        <v>536</v>
      </c>
      <c r="M495" s="58" t="s">
        <v>519</v>
      </c>
      <c r="N495" s="58" t="s">
        <v>539</v>
      </c>
      <c r="O495" s="58" t="s">
        <v>289</v>
      </c>
      <c r="P495" s="8"/>
      <c r="Q495" s="172">
        <f>Q496</f>
        <v>0</v>
      </c>
      <c r="R495" s="172">
        <f>R496</f>
        <v>0</v>
      </c>
      <c r="S495" s="282" t="e">
        <f t="shared" si="19"/>
        <v>#DIV/0!</v>
      </c>
    </row>
    <row r="496" spans="1:19" ht="30" customHeight="1" hidden="1">
      <c r="A496" s="61"/>
      <c r="B496" s="60"/>
      <c r="C496" s="65"/>
      <c r="D496" s="63"/>
      <c r="E496" s="66"/>
      <c r="F496" s="66"/>
      <c r="G496" s="51"/>
      <c r="H496" s="2" t="s">
        <v>638</v>
      </c>
      <c r="I496" s="8">
        <v>663</v>
      </c>
      <c r="J496" s="14">
        <v>7</v>
      </c>
      <c r="K496" s="14">
        <v>1</v>
      </c>
      <c r="L496" s="57" t="s">
        <v>536</v>
      </c>
      <c r="M496" s="58" t="s">
        <v>519</v>
      </c>
      <c r="N496" s="58" t="s">
        <v>539</v>
      </c>
      <c r="O496" s="58" t="s">
        <v>289</v>
      </c>
      <c r="P496" s="8">
        <v>610</v>
      </c>
      <c r="Q496" s="172">
        <v>0</v>
      </c>
      <c r="R496" s="172">
        <v>0</v>
      </c>
      <c r="S496" s="282" t="e">
        <f t="shared" si="19"/>
        <v>#DIV/0!</v>
      </c>
    </row>
    <row r="497" spans="1:19" ht="36.75" customHeight="1" hidden="1">
      <c r="A497" s="61"/>
      <c r="B497" s="60"/>
      <c r="C497" s="65"/>
      <c r="D497" s="63"/>
      <c r="E497" s="66"/>
      <c r="F497" s="66"/>
      <c r="G497" s="51"/>
      <c r="H497" s="2" t="s">
        <v>301</v>
      </c>
      <c r="I497" s="8">
        <v>663</v>
      </c>
      <c r="J497" s="14">
        <v>7</v>
      </c>
      <c r="K497" s="14">
        <v>1</v>
      </c>
      <c r="L497" s="57" t="s">
        <v>536</v>
      </c>
      <c r="M497" s="58" t="s">
        <v>519</v>
      </c>
      <c r="N497" s="58" t="s">
        <v>539</v>
      </c>
      <c r="O497" s="58" t="s">
        <v>300</v>
      </c>
      <c r="P497" s="8"/>
      <c r="Q497" s="172">
        <f>Q498</f>
        <v>0</v>
      </c>
      <c r="R497" s="172">
        <f>R498</f>
        <v>0</v>
      </c>
      <c r="S497" s="282" t="e">
        <f t="shared" si="19"/>
        <v>#DIV/0!</v>
      </c>
    </row>
    <row r="498" spans="1:19" ht="30" customHeight="1" hidden="1">
      <c r="A498" s="61"/>
      <c r="B498" s="60"/>
      <c r="C498" s="65"/>
      <c r="D498" s="63"/>
      <c r="E498" s="66"/>
      <c r="F498" s="66"/>
      <c r="G498" s="51"/>
      <c r="H498" s="2" t="s">
        <v>638</v>
      </c>
      <c r="I498" s="8">
        <v>663</v>
      </c>
      <c r="J498" s="14">
        <v>7</v>
      </c>
      <c r="K498" s="14">
        <v>1</v>
      </c>
      <c r="L498" s="57" t="s">
        <v>536</v>
      </c>
      <c r="M498" s="58" t="s">
        <v>519</v>
      </c>
      <c r="N498" s="58" t="s">
        <v>539</v>
      </c>
      <c r="O498" s="58" t="s">
        <v>300</v>
      </c>
      <c r="P498" s="8">
        <v>610</v>
      </c>
      <c r="Q498" s="172">
        <v>0</v>
      </c>
      <c r="R498" s="172">
        <v>0</v>
      </c>
      <c r="S498" s="282" t="e">
        <f t="shared" si="19"/>
        <v>#DIV/0!</v>
      </c>
    </row>
    <row r="499" spans="1:19" s="135" customFormat="1" ht="27" customHeight="1">
      <c r="A499" s="101"/>
      <c r="B499" s="102"/>
      <c r="C499" s="112"/>
      <c r="D499" s="109"/>
      <c r="E499" s="104"/>
      <c r="F499" s="104"/>
      <c r="G499" s="95"/>
      <c r="H499" s="108" t="s">
        <v>501</v>
      </c>
      <c r="I499" s="97">
        <v>663</v>
      </c>
      <c r="J499" s="98">
        <v>7</v>
      </c>
      <c r="K499" s="98">
        <v>2</v>
      </c>
      <c r="L499" s="98"/>
      <c r="M499" s="100" t="s">
        <v>557</v>
      </c>
      <c r="N499" s="100"/>
      <c r="O499" s="100"/>
      <c r="P499" s="97"/>
      <c r="Q499" s="182">
        <f>Q500+Q538+Q551+Q531</f>
        <v>184184.59999999998</v>
      </c>
      <c r="R499" s="182">
        <f>R500+R538+R551+R531</f>
        <v>182836.79999999996</v>
      </c>
      <c r="S499" s="282">
        <f t="shared" si="19"/>
        <v>0.9926823415204094</v>
      </c>
    </row>
    <row r="500" spans="1:19" ht="30" customHeight="1">
      <c r="A500" s="61"/>
      <c r="B500" s="60"/>
      <c r="C500" s="65"/>
      <c r="D500" s="63"/>
      <c r="E500" s="66"/>
      <c r="F500" s="66"/>
      <c r="G500" s="51"/>
      <c r="H500" s="179" t="s">
        <v>239</v>
      </c>
      <c r="I500" s="8">
        <v>663</v>
      </c>
      <c r="J500" s="14">
        <v>7</v>
      </c>
      <c r="K500" s="14">
        <v>2</v>
      </c>
      <c r="L500" s="57" t="s">
        <v>547</v>
      </c>
      <c r="M500" s="58" t="s">
        <v>519</v>
      </c>
      <c r="N500" s="58" t="s">
        <v>539</v>
      </c>
      <c r="O500" s="58" t="s">
        <v>556</v>
      </c>
      <c r="P500" s="8"/>
      <c r="Q500" s="150">
        <f>Q501+Q504+Q516+Q519+Q528</f>
        <v>184126.8</v>
      </c>
      <c r="R500" s="150">
        <f>R501+R504+R516+R519+R528</f>
        <v>182778.99999999997</v>
      </c>
      <c r="S500" s="282">
        <f t="shared" si="19"/>
        <v>0.9926800444041822</v>
      </c>
    </row>
    <row r="501" spans="1:19" ht="30" customHeight="1">
      <c r="A501" s="61"/>
      <c r="B501" s="60"/>
      <c r="C501" s="65"/>
      <c r="D501" s="63"/>
      <c r="E501" s="66"/>
      <c r="F501" s="66"/>
      <c r="G501" s="51"/>
      <c r="H501" s="32" t="s">
        <v>592</v>
      </c>
      <c r="I501" s="8">
        <v>663</v>
      </c>
      <c r="J501" s="14">
        <v>7</v>
      </c>
      <c r="K501" s="14">
        <v>2</v>
      </c>
      <c r="L501" s="57" t="s">
        <v>547</v>
      </c>
      <c r="M501" s="58" t="s">
        <v>519</v>
      </c>
      <c r="N501" s="58" t="s">
        <v>520</v>
      </c>
      <c r="O501" s="58" t="s">
        <v>556</v>
      </c>
      <c r="P501" s="8"/>
      <c r="Q501" s="150">
        <f>Q502</f>
        <v>92.5</v>
      </c>
      <c r="R501" s="150">
        <f>R502</f>
        <v>92.5</v>
      </c>
      <c r="S501" s="282">
        <f t="shared" si="19"/>
        <v>1</v>
      </c>
    </row>
    <row r="502" spans="1:19" ht="24.75" customHeight="1">
      <c r="A502" s="61"/>
      <c r="B502" s="60"/>
      <c r="C502" s="65"/>
      <c r="D502" s="63"/>
      <c r="E502" s="66"/>
      <c r="F502" s="66"/>
      <c r="G502" s="51"/>
      <c r="H502" s="180" t="s">
        <v>302</v>
      </c>
      <c r="I502" s="8">
        <v>663</v>
      </c>
      <c r="J502" s="14">
        <v>7</v>
      </c>
      <c r="K502" s="14">
        <v>2</v>
      </c>
      <c r="L502" s="57" t="s">
        <v>547</v>
      </c>
      <c r="M502" s="58" t="s">
        <v>519</v>
      </c>
      <c r="N502" s="58" t="s">
        <v>520</v>
      </c>
      <c r="O502" s="58" t="s">
        <v>291</v>
      </c>
      <c r="P502" s="8"/>
      <c r="Q502" s="150">
        <f>Q503</f>
        <v>92.5</v>
      </c>
      <c r="R502" s="150">
        <f>R503</f>
        <v>92.5</v>
      </c>
      <c r="S502" s="282">
        <f t="shared" si="19"/>
        <v>1</v>
      </c>
    </row>
    <row r="503" spans="1:19" ht="24.75" customHeight="1">
      <c r="A503" s="61"/>
      <c r="B503" s="60"/>
      <c r="C503" s="65"/>
      <c r="D503" s="63"/>
      <c r="E503" s="66"/>
      <c r="F503" s="66"/>
      <c r="G503" s="51"/>
      <c r="H503" s="180" t="s">
        <v>638</v>
      </c>
      <c r="I503" s="8">
        <v>663</v>
      </c>
      <c r="J503" s="14">
        <v>7</v>
      </c>
      <c r="K503" s="14">
        <v>2</v>
      </c>
      <c r="L503" s="57" t="s">
        <v>547</v>
      </c>
      <c r="M503" s="58" t="s">
        <v>519</v>
      </c>
      <c r="N503" s="58" t="s">
        <v>520</v>
      </c>
      <c r="O503" s="58" t="s">
        <v>291</v>
      </c>
      <c r="P503" s="8">
        <v>610</v>
      </c>
      <c r="Q503" s="150">
        <f>172.5-80</f>
        <v>92.5</v>
      </c>
      <c r="R503" s="150">
        <f>172.5-80</f>
        <v>92.5</v>
      </c>
      <c r="S503" s="282">
        <f t="shared" si="19"/>
        <v>1</v>
      </c>
    </row>
    <row r="504" spans="1:19" ht="27" customHeight="1">
      <c r="A504" s="61"/>
      <c r="B504" s="60"/>
      <c r="C504" s="65"/>
      <c r="D504" s="63"/>
      <c r="E504" s="66"/>
      <c r="F504" s="66"/>
      <c r="G504" s="51"/>
      <c r="H504" s="15" t="s">
        <v>593</v>
      </c>
      <c r="I504" s="4">
        <v>663</v>
      </c>
      <c r="J504" s="16">
        <v>7</v>
      </c>
      <c r="K504" s="14">
        <v>2</v>
      </c>
      <c r="L504" s="57" t="s">
        <v>547</v>
      </c>
      <c r="M504" s="58" t="s">
        <v>519</v>
      </c>
      <c r="N504" s="58" t="s">
        <v>545</v>
      </c>
      <c r="O504" s="58" t="s">
        <v>556</v>
      </c>
      <c r="P504" s="4"/>
      <c r="Q504" s="151">
        <f>Q505+Q512+Q510+Q508+Q514</f>
        <v>152055.1</v>
      </c>
      <c r="R504" s="151">
        <f>R505+R512+R510+R508+R514</f>
        <v>151496.49999999997</v>
      </c>
      <c r="S504" s="282">
        <f t="shared" si="19"/>
        <v>0.9963263317047568</v>
      </c>
    </row>
    <row r="505" spans="1:19" ht="27" customHeight="1">
      <c r="A505" s="61"/>
      <c r="B505" s="60"/>
      <c r="C505" s="65"/>
      <c r="D505" s="63"/>
      <c r="E505" s="66"/>
      <c r="F505" s="66"/>
      <c r="G505" s="51"/>
      <c r="H505" s="17" t="s">
        <v>302</v>
      </c>
      <c r="I505" s="4">
        <v>663</v>
      </c>
      <c r="J505" s="16">
        <v>7</v>
      </c>
      <c r="K505" s="14">
        <v>2</v>
      </c>
      <c r="L505" s="57" t="s">
        <v>547</v>
      </c>
      <c r="M505" s="58" t="s">
        <v>519</v>
      </c>
      <c r="N505" s="58" t="s">
        <v>545</v>
      </c>
      <c r="O505" s="58" t="s">
        <v>291</v>
      </c>
      <c r="P505" s="4"/>
      <c r="Q505" s="151">
        <f>SUM(Q506:Q507)</f>
        <v>36332.90000000001</v>
      </c>
      <c r="R505" s="151">
        <f>SUM(R506:R507)</f>
        <v>36328</v>
      </c>
      <c r="S505" s="282">
        <f t="shared" si="19"/>
        <v>0.999865136006209</v>
      </c>
    </row>
    <row r="506" spans="1:19" ht="27" customHeight="1" hidden="1">
      <c r="A506" s="61"/>
      <c r="B506" s="60"/>
      <c r="C506" s="65"/>
      <c r="D506" s="63"/>
      <c r="E506" s="66"/>
      <c r="F506" s="66"/>
      <c r="G506" s="51"/>
      <c r="H506" s="3" t="s">
        <v>636</v>
      </c>
      <c r="I506" s="4">
        <v>663</v>
      </c>
      <c r="J506" s="16">
        <v>7</v>
      </c>
      <c r="K506" s="14">
        <v>2</v>
      </c>
      <c r="L506" s="57" t="s">
        <v>547</v>
      </c>
      <c r="M506" s="58" t="s">
        <v>519</v>
      </c>
      <c r="N506" s="58" t="s">
        <v>545</v>
      </c>
      <c r="O506" s="58" t="s">
        <v>291</v>
      </c>
      <c r="P506" s="4">
        <v>240</v>
      </c>
      <c r="Q506" s="151">
        <f>13.5-13.5</f>
        <v>0</v>
      </c>
      <c r="R506" s="151">
        <f>13.5-13.5</f>
        <v>0</v>
      </c>
      <c r="S506" s="282" t="e">
        <f t="shared" si="19"/>
        <v>#DIV/0!</v>
      </c>
    </row>
    <row r="507" spans="1:19" ht="27" customHeight="1">
      <c r="A507" s="61"/>
      <c r="B507" s="60"/>
      <c r="C507" s="65"/>
      <c r="D507" s="63"/>
      <c r="E507" s="66"/>
      <c r="F507" s="66"/>
      <c r="G507" s="51"/>
      <c r="H507" s="17" t="s">
        <v>638</v>
      </c>
      <c r="I507" s="4">
        <v>663</v>
      </c>
      <c r="J507" s="16">
        <v>7</v>
      </c>
      <c r="K507" s="14">
        <v>2</v>
      </c>
      <c r="L507" s="57" t="s">
        <v>547</v>
      </c>
      <c r="M507" s="58" t="s">
        <v>519</v>
      </c>
      <c r="N507" s="58" t="s">
        <v>545</v>
      </c>
      <c r="O507" s="58" t="s">
        <v>291</v>
      </c>
      <c r="P507" s="4">
        <v>610</v>
      </c>
      <c r="Q507" s="151">
        <f>32087.6-5.5+14.5-0.5+344.7-83.8-20.7+1825.5+1775.9+0.8-6.2+394.4+6.2</f>
        <v>36332.90000000001</v>
      </c>
      <c r="R507" s="151">
        <v>36328</v>
      </c>
      <c r="S507" s="282">
        <f t="shared" si="19"/>
        <v>0.999865136006209</v>
      </c>
    </row>
    <row r="508" spans="1:19" ht="81" customHeight="1">
      <c r="A508" s="61"/>
      <c r="B508" s="60"/>
      <c r="C508" s="65"/>
      <c r="D508" s="63"/>
      <c r="E508" s="66"/>
      <c r="F508" s="66"/>
      <c r="G508" s="51"/>
      <c r="H508" s="17" t="s">
        <v>196</v>
      </c>
      <c r="I508" s="4">
        <v>663</v>
      </c>
      <c r="J508" s="16">
        <v>7</v>
      </c>
      <c r="K508" s="14">
        <v>2</v>
      </c>
      <c r="L508" s="57" t="s">
        <v>547</v>
      </c>
      <c r="M508" s="58" t="s">
        <v>519</v>
      </c>
      <c r="N508" s="58" t="s">
        <v>545</v>
      </c>
      <c r="O508" s="58" t="s">
        <v>195</v>
      </c>
      <c r="P508" s="4"/>
      <c r="Q508" s="151">
        <f>Q509</f>
        <v>3114.4</v>
      </c>
      <c r="R508" s="151">
        <f>R509</f>
        <v>3114.4</v>
      </c>
      <c r="S508" s="282">
        <f t="shared" si="19"/>
        <v>1</v>
      </c>
    </row>
    <row r="509" spans="1:19" ht="27" customHeight="1">
      <c r="A509" s="61"/>
      <c r="B509" s="60"/>
      <c r="C509" s="65"/>
      <c r="D509" s="63"/>
      <c r="E509" s="66"/>
      <c r="F509" s="66"/>
      <c r="G509" s="51"/>
      <c r="H509" s="17" t="s">
        <v>638</v>
      </c>
      <c r="I509" s="4">
        <v>663</v>
      </c>
      <c r="J509" s="16">
        <v>7</v>
      </c>
      <c r="K509" s="14">
        <v>2</v>
      </c>
      <c r="L509" s="57" t="s">
        <v>547</v>
      </c>
      <c r="M509" s="58" t="s">
        <v>519</v>
      </c>
      <c r="N509" s="58" t="s">
        <v>545</v>
      </c>
      <c r="O509" s="58" t="s">
        <v>195</v>
      </c>
      <c r="P509" s="4">
        <v>610</v>
      </c>
      <c r="Q509" s="151">
        <v>3114.4</v>
      </c>
      <c r="R509" s="151">
        <v>3114.4</v>
      </c>
      <c r="S509" s="282">
        <f t="shared" si="19"/>
        <v>1</v>
      </c>
    </row>
    <row r="510" spans="1:19" ht="33" customHeight="1">
      <c r="A510" s="61"/>
      <c r="B510" s="60"/>
      <c r="C510" s="65"/>
      <c r="D510" s="63"/>
      <c r="E510" s="66"/>
      <c r="F510" s="66"/>
      <c r="G510" s="51"/>
      <c r="H510" s="17" t="s">
        <v>50</v>
      </c>
      <c r="I510" s="4">
        <v>663</v>
      </c>
      <c r="J510" s="16">
        <v>7</v>
      </c>
      <c r="K510" s="14">
        <v>2</v>
      </c>
      <c r="L510" s="57" t="s">
        <v>547</v>
      </c>
      <c r="M510" s="58" t="s">
        <v>519</v>
      </c>
      <c r="N510" s="58" t="s">
        <v>545</v>
      </c>
      <c r="O510" s="58" t="s">
        <v>49</v>
      </c>
      <c r="P510" s="4"/>
      <c r="Q510" s="151">
        <f>Q511</f>
        <v>10448.9</v>
      </c>
      <c r="R510" s="151">
        <f>R511</f>
        <v>10448.9</v>
      </c>
      <c r="S510" s="282">
        <f t="shared" si="19"/>
        <v>1</v>
      </c>
    </row>
    <row r="511" spans="1:19" ht="27" customHeight="1">
      <c r="A511" s="61"/>
      <c r="B511" s="60"/>
      <c r="C511" s="65"/>
      <c r="D511" s="63"/>
      <c r="E511" s="66"/>
      <c r="F511" s="66"/>
      <c r="G511" s="51"/>
      <c r="H511" s="17" t="s">
        <v>638</v>
      </c>
      <c r="I511" s="4">
        <v>663</v>
      </c>
      <c r="J511" s="16">
        <v>7</v>
      </c>
      <c r="K511" s="14">
        <v>2</v>
      </c>
      <c r="L511" s="57" t="s">
        <v>547</v>
      </c>
      <c r="M511" s="58" t="s">
        <v>519</v>
      </c>
      <c r="N511" s="58" t="s">
        <v>545</v>
      </c>
      <c r="O511" s="58" t="s">
        <v>49</v>
      </c>
      <c r="P511" s="4">
        <v>610</v>
      </c>
      <c r="Q511" s="151">
        <f>7879.7+2569.2</f>
        <v>10448.9</v>
      </c>
      <c r="R511" s="151">
        <f>7879.7+2569.2</f>
        <v>10448.9</v>
      </c>
      <c r="S511" s="282">
        <f t="shared" si="19"/>
        <v>1</v>
      </c>
    </row>
    <row r="512" spans="1:19" ht="40.5" customHeight="1">
      <c r="A512" s="61"/>
      <c r="B512" s="60"/>
      <c r="C512" s="65"/>
      <c r="D512" s="63"/>
      <c r="E512" s="66"/>
      <c r="F512" s="66"/>
      <c r="G512" s="51"/>
      <c r="H512" s="17" t="s">
        <v>301</v>
      </c>
      <c r="I512" s="4">
        <v>663</v>
      </c>
      <c r="J512" s="16">
        <v>7</v>
      </c>
      <c r="K512" s="14">
        <v>2</v>
      </c>
      <c r="L512" s="57" t="s">
        <v>547</v>
      </c>
      <c r="M512" s="58" t="s">
        <v>519</v>
      </c>
      <c r="N512" s="58" t="s">
        <v>545</v>
      </c>
      <c r="O512" s="58" t="s">
        <v>300</v>
      </c>
      <c r="P512" s="4"/>
      <c r="Q512" s="151">
        <f>Q513</f>
        <v>98985.8</v>
      </c>
      <c r="R512" s="151">
        <f>R513</f>
        <v>98985.8</v>
      </c>
      <c r="S512" s="282">
        <f t="shared" si="19"/>
        <v>1</v>
      </c>
    </row>
    <row r="513" spans="1:19" ht="27" customHeight="1">
      <c r="A513" s="61"/>
      <c r="B513" s="60"/>
      <c r="C513" s="65"/>
      <c r="D513" s="63"/>
      <c r="E513" s="66"/>
      <c r="F513" s="66"/>
      <c r="G513" s="51"/>
      <c r="H513" s="17" t="s">
        <v>638</v>
      </c>
      <c r="I513" s="4">
        <v>663</v>
      </c>
      <c r="J513" s="16">
        <v>7</v>
      </c>
      <c r="K513" s="14">
        <v>2</v>
      </c>
      <c r="L513" s="57" t="s">
        <v>547</v>
      </c>
      <c r="M513" s="58" t="s">
        <v>519</v>
      </c>
      <c r="N513" s="58" t="s">
        <v>545</v>
      </c>
      <c r="O513" s="58" t="s">
        <v>300</v>
      </c>
      <c r="P513" s="4">
        <v>610</v>
      </c>
      <c r="Q513" s="151">
        <f>100300.7+2897.2-219.7-3437.4+26.1-581.1</f>
        <v>98985.8</v>
      </c>
      <c r="R513" s="151">
        <f>100300.7+2897.2-219.7-3437.4+26.1-581.1</f>
        <v>98985.8</v>
      </c>
      <c r="S513" s="282">
        <f t="shared" si="19"/>
        <v>1</v>
      </c>
    </row>
    <row r="514" spans="1:19" ht="33" customHeight="1">
      <c r="A514" s="61"/>
      <c r="B514" s="60"/>
      <c r="C514" s="65"/>
      <c r="D514" s="63"/>
      <c r="E514" s="66"/>
      <c r="F514" s="66"/>
      <c r="G514" s="51"/>
      <c r="H514" s="17" t="s">
        <v>198</v>
      </c>
      <c r="I514" s="6">
        <v>663</v>
      </c>
      <c r="J514" s="16">
        <v>7</v>
      </c>
      <c r="K514" s="14">
        <v>2</v>
      </c>
      <c r="L514" s="57" t="s">
        <v>547</v>
      </c>
      <c r="M514" s="58" t="s">
        <v>519</v>
      </c>
      <c r="N514" s="58" t="s">
        <v>545</v>
      </c>
      <c r="O514" s="58" t="s">
        <v>764</v>
      </c>
      <c r="P514" s="4"/>
      <c r="Q514" s="151">
        <f>Q515</f>
        <v>3173.1000000000004</v>
      </c>
      <c r="R514" s="151">
        <f>R515</f>
        <v>2619.4</v>
      </c>
      <c r="S514" s="282">
        <f t="shared" si="19"/>
        <v>0.8255018751378778</v>
      </c>
    </row>
    <row r="515" spans="1:19" ht="27" customHeight="1">
      <c r="A515" s="61"/>
      <c r="B515" s="60"/>
      <c r="C515" s="65"/>
      <c r="D515" s="63"/>
      <c r="E515" s="66"/>
      <c r="F515" s="66"/>
      <c r="G515" s="51"/>
      <c r="H515" s="17" t="s">
        <v>638</v>
      </c>
      <c r="I515" s="6">
        <v>663</v>
      </c>
      <c r="J515" s="16">
        <v>7</v>
      </c>
      <c r="K515" s="14">
        <v>2</v>
      </c>
      <c r="L515" s="57" t="s">
        <v>547</v>
      </c>
      <c r="M515" s="58" t="s">
        <v>519</v>
      </c>
      <c r="N515" s="58" t="s">
        <v>545</v>
      </c>
      <c r="O515" s="58" t="s">
        <v>764</v>
      </c>
      <c r="P515" s="4">
        <v>610</v>
      </c>
      <c r="Q515" s="151">
        <f>888.5+17.8+2203.3+62.2+1.3</f>
        <v>3173.1000000000004</v>
      </c>
      <c r="R515" s="151">
        <v>2619.4</v>
      </c>
      <c r="S515" s="282">
        <f t="shared" si="19"/>
        <v>0.8255018751378778</v>
      </c>
    </row>
    <row r="516" spans="1:19" ht="24" customHeight="1">
      <c r="A516" s="61"/>
      <c r="B516" s="60"/>
      <c r="C516" s="65"/>
      <c r="D516" s="63"/>
      <c r="E516" s="66"/>
      <c r="F516" s="66"/>
      <c r="G516" s="51"/>
      <c r="H516" s="2" t="s">
        <v>705</v>
      </c>
      <c r="I516" s="6">
        <v>663</v>
      </c>
      <c r="J516" s="16">
        <v>7</v>
      </c>
      <c r="K516" s="14">
        <v>2</v>
      </c>
      <c r="L516" s="57" t="s">
        <v>547</v>
      </c>
      <c r="M516" s="58" t="s">
        <v>519</v>
      </c>
      <c r="N516" s="58" t="s">
        <v>546</v>
      </c>
      <c r="O516" s="58" t="s">
        <v>556</v>
      </c>
      <c r="P516" s="4"/>
      <c r="Q516" s="151">
        <f>Q517</f>
        <v>18.9</v>
      </c>
      <c r="R516" s="151">
        <f>R517</f>
        <v>18.4</v>
      </c>
      <c r="S516" s="282">
        <f t="shared" si="19"/>
        <v>0.9735449735449735</v>
      </c>
    </row>
    <row r="517" spans="1:19" ht="24" customHeight="1">
      <c r="A517" s="61"/>
      <c r="B517" s="60"/>
      <c r="C517" s="65"/>
      <c r="D517" s="63"/>
      <c r="E517" s="66"/>
      <c r="F517" s="66"/>
      <c r="G517" s="51"/>
      <c r="H517" s="2" t="s">
        <v>302</v>
      </c>
      <c r="I517" s="6">
        <v>663</v>
      </c>
      <c r="J517" s="16">
        <v>7</v>
      </c>
      <c r="K517" s="14">
        <v>2</v>
      </c>
      <c r="L517" s="57" t="s">
        <v>547</v>
      </c>
      <c r="M517" s="58" t="s">
        <v>519</v>
      </c>
      <c r="N517" s="58" t="s">
        <v>546</v>
      </c>
      <c r="O517" s="58" t="s">
        <v>291</v>
      </c>
      <c r="P517" s="4"/>
      <c r="Q517" s="151">
        <f>Q518</f>
        <v>18.9</v>
      </c>
      <c r="R517" s="151">
        <f>R518</f>
        <v>18.4</v>
      </c>
      <c r="S517" s="282">
        <f t="shared" si="19"/>
        <v>0.9735449735449735</v>
      </c>
    </row>
    <row r="518" spans="1:19" ht="24" customHeight="1">
      <c r="A518" s="61"/>
      <c r="B518" s="60"/>
      <c r="C518" s="65"/>
      <c r="D518" s="63"/>
      <c r="E518" s="66"/>
      <c r="F518" s="66"/>
      <c r="G518" s="51"/>
      <c r="H518" s="2" t="s">
        <v>638</v>
      </c>
      <c r="I518" s="6">
        <v>663</v>
      </c>
      <c r="J518" s="16">
        <v>7</v>
      </c>
      <c r="K518" s="14">
        <v>2</v>
      </c>
      <c r="L518" s="57" t="s">
        <v>547</v>
      </c>
      <c r="M518" s="58" t="s">
        <v>519</v>
      </c>
      <c r="N518" s="58" t="s">
        <v>546</v>
      </c>
      <c r="O518" s="58" t="s">
        <v>291</v>
      </c>
      <c r="P518" s="4">
        <v>610</v>
      </c>
      <c r="Q518" s="151">
        <f>122-35-63.2-4.9</f>
        <v>18.9</v>
      </c>
      <c r="R518" s="151">
        <v>18.4</v>
      </c>
      <c r="S518" s="282">
        <f t="shared" si="19"/>
        <v>0.9735449735449735</v>
      </c>
    </row>
    <row r="519" spans="1:19" ht="29.25" customHeight="1">
      <c r="A519" s="61"/>
      <c r="B519" s="60"/>
      <c r="C519" s="65"/>
      <c r="D519" s="63"/>
      <c r="E519" s="66"/>
      <c r="F519" s="66"/>
      <c r="G519" s="51"/>
      <c r="H519" s="2" t="s">
        <v>706</v>
      </c>
      <c r="I519" s="6">
        <v>663</v>
      </c>
      <c r="J519" s="16">
        <v>7</v>
      </c>
      <c r="K519" s="14">
        <v>2</v>
      </c>
      <c r="L519" s="57" t="s">
        <v>547</v>
      </c>
      <c r="M519" s="58" t="s">
        <v>519</v>
      </c>
      <c r="N519" s="58" t="s">
        <v>522</v>
      </c>
      <c r="O519" s="58" t="s">
        <v>556</v>
      </c>
      <c r="P519" s="4"/>
      <c r="Q519" s="151">
        <f>Q520+Q524+Q526+Q522</f>
        <v>28936.3</v>
      </c>
      <c r="R519" s="151">
        <f>R520+R524+R526+R522</f>
        <v>28147.6</v>
      </c>
      <c r="S519" s="282">
        <f t="shared" si="19"/>
        <v>0.9727435781354216</v>
      </c>
    </row>
    <row r="520" spans="1:19" ht="22.5" customHeight="1">
      <c r="A520" s="61"/>
      <c r="B520" s="60"/>
      <c r="C520" s="65"/>
      <c r="D520" s="63"/>
      <c r="E520" s="66"/>
      <c r="F520" s="66"/>
      <c r="G520" s="51"/>
      <c r="H520" s="2" t="s">
        <v>302</v>
      </c>
      <c r="I520" s="6">
        <v>663</v>
      </c>
      <c r="J520" s="16">
        <v>7</v>
      </c>
      <c r="K520" s="14">
        <v>2</v>
      </c>
      <c r="L520" s="57" t="s">
        <v>547</v>
      </c>
      <c r="M520" s="58" t="s">
        <v>519</v>
      </c>
      <c r="N520" s="58" t="s">
        <v>522</v>
      </c>
      <c r="O520" s="58" t="s">
        <v>291</v>
      </c>
      <c r="P520" s="4"/>
      <c r="Q520" s="151">
        <f>Q521</f>
        <v>2193.9</v>
      </c>
      <c r="R520" s="151">
        <f>R521</f>
        <v>1421.2</v>
      </c>
      <c r="S520" s="282">
        <f t="shared" si="19"/>
        <v>0.6477961620857833</v>
      </c>
    </row>
    <row r="521" spans="1:19" ht="27.75" customHeight="1">
      <c r="A521" s="61"/>
      <c r="B521" s="60"/>
      <c r="C521" s="65"/>
      <c r="D521" s="63"/>
      <c r="E521" s="66"/>
      <c r="F521" s="66"/>
      <c r="G521" s="51"/>
      <c r="H521" s="2" t="s">
        <v>638</v>
      </c>
      <c r="I521" s="6">
        <v>663</v>
      </c>
      <c r="J521" s="16">
        <v>7</v>
      </c>
      <c r="K521" s="14">
        <v>2</v>
      </c>
      <c r="L521" s="57" t="s">
        <v>547</v>
      </c>
      <c r="M521" s="58" t="s">
        <v>519</v>
      </c>
      <c r="N521" s="58" t="s">
        <v>522</v>
      </c>
      <c r="O521" s="58" t="s">
        <v>291</v>
      </c>
      <c r="P521" s="8">
        <v>610</v>
      </c>
      <c r="Q521" s="150">
        <f>465+79.8+1200-172.2-217.9+183-175.8+32+27.3+752.4+23.3-3</f>
        <v>2193.9</v>
      </c>
      <c r="R521" s="150">
        <v>1421.2</v>
      </c>
      <c r="S521" s="282">
        <f t="shared" si="19"/>
        <v>0.6477961620857833</v>
      </c>
    </row>
    <row r="522" spans="1:19" ht="43.5" customHeight="1">
      <c r="A522" s="61"/>
      <c r="B522" s="60"/>
      <c r="C522" s="65"/>
      <c r="D522" s="63"/>
      <c r="E522" s="66"/>
      <c r="F522" s="66"/>
      <c r="G522" s="51"/>
      <c r="H522" s="2" t="s">
        <v>761</v>
      </c>
      <c r="I522" s="6">
        <v>663</v>
      </c>
      <c r="J522" s="16">
        <v>7</v>
      </c>
      <c r="K522" s="14">
        <v>2</v>
      </c>
      <c r="L522" s="57" t="s">
        <v>547</v>
      </c>
      <c r="M522" s="58" t="s">
        <v>519</v>
      </c>
      <c r="N522" s="58" t="s">
        <v>522</v>
      </c>
      <c r="O522" s="58" t="s">
        <v>760</v>
      </c>
      <c r="P522" s="8"/>
      <c r="Q522" s="150">
        <f>Q523</f>
        <v>1809.1000000000001</v>
      </c>
      <c r="R522" s="150">
        <f>R523</f>
        <v>1809.1000000000001</v>
      </c>
      <c r="S522" s="282">
        <f t="shared" si="19"/>
        <v>1</v>
      </c>
    </row>
    <row r="523" spans="1:19" ht="27.75" customHeight="1">
      <c r="A523" s="61"/>
      <c r="B523" s="60"/>
      <c r="C523" s="65"/>
      <c r="D523" s="63"/>
      <c r="E523" s="66"/>
      <c r="F523" s="66"/>
      <c r="G523" s="51"/>
      <c r="H523" s="2" t="s">
        <v>638</v>
      </c>
      <c r="I523" s="6">
        <v>663</v>
      </c>
      <c r="J523" s="16">
        <v>7</v>
      </c>
      <c r="K523" s="14">
        <v>2</v>
      </c>
      <c r="L523" s="57" t="s">
        <v>547</v>
      </c>
      <c r="M523" s="58" t="s">
        <v>519</v>
      </c>
      <c r="N523" s="58" t="s">
        <v>522</v>
      </c>
      <c r="O523" s="58" t="s">
        <v>760</v>
      </c>
      <c r="P523" s="8">
        <v>610</v>
      </c>
      <c r="Q523" s="150">
        <f>1808.4+0.7</f>
        <v>1809.1000000000001</v>
      </c>
      <c r="R523" s="150">
        <f>1808.4+0.7</f>
        <v>1809.1000000000001</v>
      </c>
      <c r="S523" s="282">
        <f t="shared" si="19"/>
        <v>1</v>
      </c>
    </row>
    <row r="524" spans="1:19" ht="36" customHeight="1">
      <c r="A524" s="61"/>
      <c r="B524" s="60"/>
      <c r="C524" s="65"/>
      <c r="D524" s="63"/>
      <c r="E524" s="75"/>
      <c r="F524" s="75"/>
      <c r="G524" s="51"/>
      <c r="H524" s="3" t="s">
        <v>262</v>
      </c>
      <c r="I524" s="6">
        <v>663</v>
      </c>
      <c r="J524" s="18">
        <v>7</v>
      </c>
      <c r="K524" s="14">
        <v>2</v>
      </c>
      <c r="L524" s="14">
        <v>6</v>
      </c>
      <c r="M524" s="58" t="s">
        <v>519</v>
      </c>
      <c r="N524" s="58" t="s">
        <v>522</v>
      </c>
      <c r="O524" s="58" t="s">
        <v>263</v>
      </c>
      <c r="P524" s="8"/>
      <c r="Q524" s="150">
        <f>Q525</f>
        <v>24030</v>
      </c>
      <c r="R524" s="150">
        <f>R525</f>
        <v>24014</v>
      </c>
      <c r="S524" s="282">
        <f aca="true" t="shared" si="21" ref="S524:S587">R524/Q524</f>
        <v>0.9993341656263005</v>
      </c>
    </row>
    <row r="525" spans="1:19" ht="24.75" customHeight="1">
      <c r="A525" s="61"/>
      <c r="B525" s="60"/>
      <c r="C525" s="65"/>
      <c r="D525" s="63"/>
      <c r="E525" s="75"/>
      <c r="F525" s="75"/>
      <c r="G525" s="51"/>
      <c r="H525" s="3" t="s">
        <v>638</v>
      </c>
      <c r="I525" s="6">
        <v>663</v>
      </c>
      <c r="J525" s="18">
        <v>7</v>
      </c>
      <c r="K525" s="14">
        <v>2</v>
      </c>
      <c r="L525" s="14">
        <v>6</v>
      </c>
      <c r="M525" s="58" t="s">
        <v>519</v>
      </c>
      <c r="N525" s="58" t="s">
        <v>522</v>
      </c>
      <c r="O525" s="58" t="s">
        <v>263</v>
      </c>
      <c r="P525" s="8">
        <v>610</v>
      </c>
      <c r="Q525" s="150">
        <f>24190-110+750-27.3-752.4-23.3+3</f>
        <v>24030</v>
      </c>
      <c r="R525" s="150">
        <v>24014</v>
      </c>
      <c r="S525" s="282">
        <f t="shared" si="21"/>
        <v>0.9993341656263005</v>
      </c>
    </row>
    <row r="526" spans="1:19" ht="24.75" customHeight="1">
      <c r="A526" s="61"/>
      <c r="B526" s="60"/>
      <c r="C526" s="59"/>
      <c r="D526" s="63"/>
      <c r="E526" s="75"/>
      <c r="F526" s="75"/>
      <c r="G526" s="51"/>
      <c r="H526" s="233" t="s">
        <v>182</v>
      </c>
      <c r="I526" s="4">
        <v>663</v>
      </c>
      <c r="J526" s="16">
        <v>7</v>
      </c>
      <c r="K526" s="14">
        <v>2</v>
      </c>
      <c r="L526" s="14">
        <v>6</v>
      </c>
      <c r="M526" s="58" t="s">
        <v>519</v>
      </c>
      <c r="N526" s="58" t="s">
        <v>522</v>
      </c>
      <c r="O526" s="58" t="s">
        <v>181</v>
      </c>
      <c r="P526" s="8"/>
      <c r="Q526" s="150">
        <f>Q527</f>
        <v>903.3000000000001</v>
      </c>
      <c r="R526" s="150">
        <f>R527</f>
        <v>903.3000000000001</v>
      </c>
      <c r="S526" s="282">
        <f t="shared" si="21"/>
        <v>1</v>
      </c>
    </row>
    <row r="527" spans="1:19" ht="24.75" customHeight="1">
      <c r="A527" s="61"/>
      <c r="B527" s="60"/>
      <c r="C527" s="59"/>
      <c r="D527" s="63"/>
      <c r="E527" s="75"/>
      <c r="F527" s="75"/>
      <c r="G527" s="51"/>
      <c r="H527" s="3" t="s">
        <v>638</v>
      </c>
      <c r="I527" s="4">
        <v>663</v>
      </c>
      <c r="J527" s="16">
        <v>7</v>
      </c>
      <c r="K527" s="14">
        <v>2</v>
      </c>
      <c r="L527" s="14">
        <v>6</v>
      </c>
      <c r="M527" s="58" t="s">
        <v>519</v>
      </c>
      <c r="N527" s="58" t="s">
        <v>522</v>
      </c>
      <c r="O527" s="58" t="s">
        <v>181</v>
      </c>
      <c r="P527" s="8">
        <v>610</v>
      </c>
      <c r="Q527" s="150">
        <f>903.2+0.1</f>
        <v>903.3000000000001</v>
      </c>
      <c r="R527" s="150">
        <f>903.2+0.1</f>
        <v>903.3000000000001</v>
      </c>
      <c r="S527" s="282">
        <f t="shared" si="21"/>
        <v>1</v>
      </c>
    </row>
    <row r="528" spans="1:19" ht="24.75" customHeight="1">
      <c r="A528" s="61"/>
      <c r="B528" s="60"/>
      <c r="C528" s="59"/>
      <c r="D528" s="63"/>
      <c r="E528" s="75"/>
      <c r="F528" s="75"/>
      <c r="G528" s="51"/>
      <c r="H528" s="185" t="s">
        <v>103</v>
      </c>
      <c r="I528" s="4">
        <v>663</v>
      </c>
      <c r="J528" s="16">
        <v>7</v>
      </c>
      <c r="K528" s="14">
        <v>2</v>
      </c>
      <c r="L528" s="14">
        <v>6</v>
      </c>
      <c r="M528" s="58" t="s">
        <v>519</v>
      </c>
      <c r="N528" s="58" t="s">
        <v>623</v>
      </c>
      <c r="O528" s="58" t="s">
        <v>556</v>
      </c>
      <c r="P528" s="8"/>
      <c r="Q528" s="150">
        <f>Q529</f>
        <v>3024.0000000000005</v>
      </c>
      <c r="R528" s="150">
        <f>R529</f>
        <v>3024.0000000000005</v>
      </c>
      <c r="S528" s="282">
        <f t="shared" si="21"/>
        <v>1</v>
      </c>
    </row>
    <row r="529" spans="1:19" ht="49.5" customHeight="1">
      <c r="A529" s="61"/>
      <c r="B529" s="60"/>
      <c r="C529" s="59"/>
      <c r="D529" s="63"/>
      <c r="E529" s="75"/>
      <c r="F529" s="75"/>
      <c r="G529" s="51"/>
      <c r="H529" s="185" t="s">
        <v>625</v>
      </c>
      <c r="I529" s="4">
        <v>663</v>
      </c>
      <c r="J529" s="16">
        <v>7</v>
      </c>
      <c r="K529" s="14">
        <v>2</v>
      </c>
      <c r="L529" s="14">
        <v>6</v>
      </c>
      <c r="M529" s="58" t="s">
        <v>519</v>
      </c>
      <c r="N529" s="58" t="s">
        <v>623</v>
      </c>
      <c r="O529" s="58" t="s">
        <v>60</v>
      </c>
      <c r="P529" s="8"/>
      <c r="Q529" s="150">
        <f>Q530</f>
        <v>3024.0000000000005</v>
      </c>
      <c r="R529" s="150">
        <f>R530</f>
        <v>3024.0000000000005</v>
      </c>
      <c r="S529" s="282">
        <f t="shared" si="21"/>
        <v>1</v>
      </c>
    </row>
    <row r="530" spans="1:19" ht="24.75" customHeight="1">
      <c r="A530" s="61"/>
      <c r="B530" s="60"/>
      <c r="C530" s="59"/>
      <c r="D530" s="63"/>
      <c r="E530" s="75"/>
      <c r="F530" s="75"/>
      <c r="G530" s="51"/>
      <c r="H530" s="9" t="s">
        <v>638</v>
      </c>
      <c r="I530" s="4">
        <v>663</v>
      </c>
      <c r="J530" s="16">
        <v>7</v>
      </c>
      <c r="K530" s="14">
        <v>2</v>
      </c>
      <c r="L530" s="14">
        <v>6</v>
      </c>
      <c r="M530" s="58" t="s">
        <v>519</v>
      </c>
      <c r="N530" s="58" t="s">
        <v>623</v>
      </c>
      <c r="O530" s="58" t="s">
        <v>60</v>
      </c>
      <c r="P530" s="8">
        <v>610</v>
      </c>
      <c r="Q530" s="150">
        <f>2234.4+200+161+217.8+210.8</f>
        <v>3024.0000000000005</v>
      </c>
      <c r="R530" s="150">
        <f>2234.4+200+161+217.8+210.8</f>
        <v>3024.0000000000005</v>
      </c>
      <c r="S530" s="282">
        <f t="shared" si="21"/>
        <v>1</v>
      </c>
    </row>
    <row r="531" spans="1:19" ht="39" customHeight="1" hidden="1">
      <c r="A531" s="61"/>
      <c r="B531" s="60"/>
      <c r="C531" s="59"/>
      <c r="D531" s="63"/>
      <c r="E531" s="77"/>
      <c r="F531" s="77"/>
      <c r="G531" s="51"/>
      <c r="H531" s="79" t="s">
        <v>257</v>
      </c>
      <c r="I531" s="4">
        <v>663</v>
      </c>
      <c r="J531" s="16">
        <v>7</v>
      </c>
      <c r="K531" s="14">
        <v>2</v>
      </c>
      <c r="L531" s="57" t="s">
        <v>515</v>
      </c>
      <c r="M531" s="58" t="s">
        <v>519</v>
      </c>
      <c r="N531" s="58" t="s">
        <v>539</v>
      </c>
      <c r="O531" s="58" t="s">
        <v>556</v>
      </c>
      <c r="P531" s="4"/>
      <c r="Q531" s="151">
        <f>Q532+Q535</f>
        <v>0</v>
      </c>
      <c r="R531" s="151">
        <f>R532+R535</f>
        <v>0</v>
      </c>
      <c r="S531" s="282" t="e">
        <f t="shared" si="21"/>
        <v>#DIV/0!</v>
      </c>
    </row>
    <row r="532" spans="1:19" ht="41.25" customHeight="1" hidden="1">
      <c r="A532" s="61"/>
      <c r="B532" s="60"/>
      <c r="C532" s="59"/>
      <c r="D532" s="63"/>
      <c r="E532" s="77"/>
      <c r="F532" s="77"/>
      <c r="G532" s="51"/>
      <c r="H532" s="3" t="s">
        <v>258</v>
      </c>
      <c r="I532" s="4">
        <v>663</v>
      </c>
      <c r="J532" s="16">
        <v>7</v>
      </c>
      <c r="K532" s="14">
        <v>2</v>
      </c>
      <c r="L532" s="57" t="s">
        <v>515</v>
      </c>
      <c r="M532" s="58" t="s">
        <v>519</v>
      </c>
      <c r="N532" s="58" t="s">
        <v>520</v>
      </c>
      <c r="O532" s="58" t="s">
        <v>556</v>
      </c>
      <c r="P532" s="4"/>
      <c r="Q532" s="151">
        <f aca="true" t="shared" si="22" ref="Q532:R536">Q533</f>
        <v>0</v>
      </c>
      <c r="R532" s="151">
        <f t="shared" si="22"/>
        <v>0</v>
      </c>
      <c r="S532" s="282" t="e">
        <f t="shared" si="21"/>
        <v>#DIV/0!</v>
      </c>
    </row>
    <row r="533" spans="1:19" ht="30.75" customHeight="1" hidden="1">
      <c r="A533" s="61"/>
      <c r="B533" s="60"/>
      <c r="C533" s="59"/>
      <c r="D533" s="63"/>
      <c r="E533" s="77"/>
      <c r="F533" s="77"/>
      <c r="G533" s="51"/>
      <c r="H533" s="3" t="s">
        <v>260</v>
      </c>
      <c r="I533" s="4">
        <v>663</v>
      </c>
      <c r="J533" s="16">
        <v>7</v>
      </c>
      <c r="K533" s="14">
        <v>2</v>
      </c>
      <c r="L533" s="57" t="s">
        <v>515</v>
      </c>
      <c r="M533" s="58" t="s">
        <v>519</v>
      </c>
      <c r="N533" s="58" t="s">
        <v>520</v>
      </c>
      <c r="O533" s="58" t="s">
        <v>259</v>
      </c>
      <c r="P533" s="4"/>
      <c r="Q533" s="151">
        <f t="shared" si="22"/>
        <v>0</v>
      </c>
      <c r="R533" s="151">
        <f t="shared" si="22"/>
        <v>0</v>
      </c>
      <c r="S533" s="282" t="e">
        <f t="shared" si="21"/>
        <v>#DIV/0!</v>
      </c>
    </row>
    <row r="534" spans="1:19" ht="29.25" customHeight="1" hidden="1">
      <c r="A534" s="61"/>
      <c r="B534" s="60"/>
      <c r="C534" s="59"/>
      <c r="D534" s="63"/>
      <c r="E534" s="77"/>
      <c r="F534" s="77"/>
      <c r="G534" s="51"/>
      <c r="H534" s="3" t="s">
        <v>638</v>
      </c>
      <c r="I534" s="4">
        <v>663</v>
      </c>
      <c r="J534" s="16">
        <v>7</v>
      </c>
      <c r="K534" s="14">
        <v>2</v>
      </c>
      <c r="L534" s="57" t="s">
        <v>515</v>
      </c>
      <c r="M534" s="58" t="s">
        <v>519</v>
      </c>
      <c r="N534" s="58" t="s">
        <v>520</v>
      </c>
      <c r="O534" s="58" t="s">
        <v>259</v>
      </c>
      <c r="P534" s="4">
        <v>610</v>
      </c>
      <c r="Q534" s="151">
        <v>0</v>
      </c>
      <c r="R534" s="151">
        <v>0</v>
      </c>
      <c r="S534" s="282" t="e">
        <f t="shared" si="21"/>
        <v>#DIV/0!</v>
      </c>
    </row>
    <row r="535" spans="1:19" ht="36.75" customHeight="1" hidden="1">
      <c r="A535" s="61"/>
      <c r="B535" s="60"/>
      <c r="C535" s="59"/>
      <c r="D535" s="63"/>
      <c r="E535" s="77"/>
      <c r="F535" s="77"/>
      <c r="G535" s="51"/>
      <c r="H535" s="3" t="s">
        <v>89</v>
      </c>
      <c r="I535" s="4">
        <v>663</v>
      </c>
      <c r="J535" s="16">
        <v>7</v>
      </c>
      <c r="K535" s="14">
        <v>2</v>
      </c>
      <c r="L535" s="57" t="s">
        <v>515</v>
      </c>
      <c r="M535" s="58" t="s">
        <v>519</v>
      </c>
      <c r="N535" s="58" t="s">
        <v>545</v>
      </c>
      <c r="O535" s="58" t="s">
        <v>556</v>
      </c>
      <c r="P535" s="4"/>
      <c r="Q535" s="151">
        <f t="shared" si="22"/>
        <v>0</v>
      </c>
      <c r="R535" s="151">
        <f t="shared" si="22"/>
        <v>0</v>
      </c>
      <c r="S535" s="282" t="e">
        <f t="shared" si="21"/>
        <v>#DIV/0!</v>
      </c>
    </row>
    <row r="536" spans="1:19" ht="30.75" customHeight="1" hidden="1">
      <c r="A536" s="61"/>
      <c r="B536" s="60"/>
      <c r="C536" s="59"/>
      <c r="D536" s="63"/>
      <c r="E536" s="77"/>
      <c r="F536" s="77"/>
      <c r="G536" s="51"/>
      <c r="H536" s="3" t="s">
        <v>260</v>
      </c>
      <c r="I536" s="4">
        <v>663</v>
      </c>
      <c r="J536" s="16">
        <v>7</v>
      </c>
      <c r="K536" s="14">
        <v>2</v>
      </c>
      <c r="L536" s="57" t="s">
        <v>515</v>
      </c>
      <c r="M536" s="58" t="s">
        <v>519</v>
      </c>
      <c r="N536" s="58" t="s">
        <v>545</v>
      </c>
      <c r="O536" s="58" t="s">
        <v>259</v>
      </c>
      <c r="P536" s="4"/>
      <c r="Q536" s="151">
        <f t="shared" si="22"/>
        <v>0</v>
      </c>
      <c r="R536" s="151">
        <f t="shared" si="22"/>
        <v>0</v>
      </c>
      <c r="S536" s="282" t="e">
        <f t="shared" si="21"/>
        <v>#DIV/0!</v>
      </c>
    </row>
    <row r="537" spans="1:19" ht="29.25" customHeight="1" hidden="1">
      <c r="A537" s="61"/>
      <c r="B537" s="60"/>
      <c r="C537" s="59"/>
      <c r="D537" s="63"/>
      <c r="E537" s="77"/>
      <c r="F537" s="77"/>
      <c r="G537" s="51"/>
      <c r="H537" s="3" t="s">
        <v>638</v>
      </c>
      <c r="I537" s="4">
        <v>663</v>
      </c>
      <c r="J537" s="16">
        <v>7</v>
      </c>
      <c r="K537" s="14">
        <v>2</v>
      </c>
      <c r="L537" s="57" t="s">
        <v>515</v>
      </c>
      <c r="M537" s="58" t="s">
        <v>519</v>
      </c>
      <c r="N537" s="58" t="s">
        <v>545</v>
      </c>
      <c r="O537" s="58" t="s">
        <v>259</v>
      </c>
      <c r="P537" s="4">
        <v>610</v>
      </c>
      <c r="Q537" s="151">
        <v>0</v>
      </c>
      <c r="R537" s="151">
        <v>0</v>
      </c>
      <c r="S537" s="282" t="e">
        <f t="shared" si="21"/>
        <v>#DIV/0!</v>
      </c>
    </row>
    <row r="538" spans="1:19" ht="30.75" customHeight="1">
      <c r="A538" s="61"/>
      <c r="B538" s="60"/>
      <c r="C538" s="65"/>
      <c r="D538" s="63"/>
      <c r="E538" s="66"/>
      <c r="F538" s="66"/>
      <c r="G538" s="51"/>
      <c r="H538" s="3" t="s">
        <v>621</v>
      </c>
      <c r="I538" s="8">
        <v>663</v>
      </c>
      <c r="J538" s="14">
        <v>7</v>
      </c>
      <c r="K538" s="14">
        <v>2</v>
      </c>
      <c r="L538" s="57" t="s">
        <v>622</v>
      </c>
      <c r="M538" s="58" t="s">
        <v>519</v>
      </c>
      <c r="N538" s="58" t="s">
        <v>539</v>
      </c>
      <c r="O538" s="58" t="s">
        <v>556</v>
      </c>
      <c r="P538" s="8"/>
      <c r="Q538" s="150">
        <f>Q539+Q542+Q545+Q548</f>
        <v>57.8</v>
      </c>
      <c r="R538" s="150">
        <f>R539+R542+R545+R548</f>
        <v>57.8</v>
      </c>
      <c r="S538" s="282">
        <f t="shared" si="21"/>
        <v>1</v>
      </c>
    </row>
    <row r="539" spans="1:19" ht="34.5" customHeight="1" hidden="1">
      <c r="A539" s="61"/>
      <c r="B539" s="60"/>
      <c r="C539" s="65"/>
      <c r="D539" s="63"/>
      <c r="E539" s="66"/>
      <c r="F539" s="66"/>
      <c r="G539" s="51"/>
      <c r="H539" s="15" t="s">
        <v>292</v>
      </c>
      <c r="I539" s="8">
        <v>663</v>
      </c>
      <c r="J539" s="14">
        <v>7</v>
      </c>
      <c r="K539" s="14">
        <v>2</v>
      </c>
      <c r="L539" s="57" t="s">
        <v>622</v>
      </c>
      <c r="M539" s="58" t="s">
        <v>519</v>
      </c>
      <c r="N539" s="58" t="s">
        <v>545</v>
      </c>
      <c r="O539" s="58" t="s">
        <v>556</v>
      </c>
      <c r="P539" s="8"/>
      <c r="Q539" s="150">
        <f>Q540</f>
        <v>0</v>
      </c>
      <c r="R539" s="150">
        <f>R540</f>
        <v>0</v>
      </c>
      <c r="S539" s="282" t="e">
        <f t="shared" si="21"/>
        <v>#DIV/0!</v>
      </c>
    </row>
    <row r="540" spans="1:19" ht="24.75" customHeight="1" hidden="1">
      <c r="A540" s="61"/>
      <c r="B540" s="60"/>
      <c r="C540" s="65"/>
      <c r="D540" s="63"/>
      <c r="E540" s="66"/>
      <c r="F540" s="66"/>
      <c r="G540" s="51"/>
      <c r="H540" s="15" t="s">
        <v>293</v>
      </c>
      <c r="I540" s="8">
        <v>663</v>
      </c>
      <c r="J540" s="14">
        <v>7</v>
      </c>
      <c r="K540" s="14">
        <v>2</v>
      </c>
      <c r="L540" s="57" t="s">
        <v>622</v>
      </c>
      <c r="M540" s="58" t="s">
        <v>519</v>
      </c>
      <c r="N540" s="58" t="s">
        <v>545</v>
      </c>
      <c r="O540" s="58" t="s">
        <v>291</v>
      </c>
      <c r="P540" s="8"/>
      <c r="Q540" s="150">
        <f>Q541</f>
        <v>0</v>
      </c>
      <c r="R540" s="150">
        <f>R541</f>
        <v>0</v>
      </c>
      <c r="S540" s="282" t="e">
        <f t="shared" si="21"/>
        <v>#DIV/0!</v>
      </c>
    </row>
    <row r="541" spans="1:19" ht="24.75" customHeight="1" hidden="1">
      <c r="A541" s="61"/>
      <c r="B541" s="60"/>
      <c r="C541" s="65"/>
      <c r="D541" s="63"/>
      <c r="E541" s="66"/>
      <c r="F541" s="66"/>
      <c r="G541" s="51"/>
      <c r="H541" s="15" t="s">
        <v>638</v>
      </c>
      <c r="I541" s="8">
        <v>663</v>
      </c>
      <c r="J541" s="14">
        <v>7</v>
      </c>
      <c r="K541" s="14">
        <v>2</v>
      </c>
      <c r="L541" s="57" t="s">
        <v>622</v>
      </c>
      <c r="M541" s="58" t="s">
        <v>519</v>
      </c>
      <c r="N541" s="58" t="s">
        <v>545</v>
      </c>
      <c r="O541" s="58" t="s">
        <v>291</v>
      </c>
      <c r="P541" s="8">
        <v>610</v>
      </c>
      <c r="Q541" s="150">
        <f>9-9</f>
        <v>0</v>
      </c>
      <c r="R541" s="150">
        <f>9-9</f>
        <v>0</v>
      </c>
      <c r="S541" s="282" t="e">
        <f t="shared" si="21"/>
        <v>#DIV/0!</v>
      </c>
    </row>
    <row r="542" spans="1:19" ht="30" customHeight="1" hidden="1">
      <c r="A542" s="61"/>
      <c r="B542" s="60"/>
      <c r="C542" s="65"/>
      <c r="D542" s="63"/>
      <c r="E542" s="66"/>
      <c r="F542" s="66"/>
      <c r="G542" s="51"/>
      <c r="H542" s="3" t="s">
        <v>294</v>
      </c>
      <c r="I542" s="8">
        <v>663</v>
      </c>
      <c r="J542" s="14">
        <v>7</v>
      </c>
      <c r="K542" s="14">
        <v>2</v>
      </c>
      <c r="L542" s="57" t="s">
        <v>622</v>
      </c>
      <c r="M542" s="58" t="s">
        <v>519</v>
      </c>
      <c r="N542" s="58" t="s">
        <v>546</v>
      </c>
      <c r="O542" s="58" t="s">
        <v>556</v>
      </c>
      <c r="P542" s="8"/>
      <c r="Q542" s="150">
        <f>Q543</f>
        <v>0</v>
      </c>
      <c r="R542" s="150">
        <f>R543</f>
        <v>0</v>
      </c>
      <c r="S542" s="282" t="e">
        <f t="shared" si="21"/>
        <v>#DIV/0!</v>
      </c>
    </row>
    <row r="543" spans="1:19" ht="30" customHeight="1" hidden="1">
      <c r="A543" s="61"/>
      <c r="B543" s="60"/>
      <c r="C543" s="65"/>
      <c r="D543" s="63"/>
      <c r="E543" s="66"/>
      <c r="F543" s="66"/>
      <c r="G543" s="51"/>
      <c r="H543" s="3" t="s">
        <v>293</v>
      </c>
      <c r="I543" s="8">
        <v>663</v>
      </c>
      <c r="J543" s="14">
        <v>7</v>
      </c>
      <c r="K543" s="14">
        <v>2</v>
      </c>
      <c r="L543" s="57" t="s">
        <v>622</v>
      </c>
      <c r="M543" s="58" t="s">
        <v>519</v>
      </c>
      <c r="N543" s="58" t="s">
        <v>546</v>
      </c>
      <c r="O543" s="58" t="s">
        <v>291</v>
      </c>
      <c r="P543" s="8"/>
      <c r="Q543" s="150">
        <f>Q544</f>
        <v>0</v>
      </c>
      <c r="R543" s="150">
        <f>R544</f>
        <v>0</v>
      </c>
      <c r="S543" s="282" t="e">
        <f t="shared" si="21"/>
        <v>#DIV/0!</v>
      </c>
    </row>
    <row r="544" spans="1:19" ht="30" customHeight="1" hidden="1">
      <c r="A544" s="61"/>
      <c r="B544" s="60"/>
      <c r="C544" s="65"/>
      <c r="D544" s="63"/>
      <c r="E544" s="66"/>
      <c r="F544" s="66"/>
      <c r="G544" s="51"/>
      <c r="H544" s="3" t="s">
        <v>638</v>
      </c>
      <c r="I544" s="8">
        <v>663</v>
      </c>
      <c r="J544" s="14">
        <v>7</v>
      </c>
      <c r="K544" s="14">
        <v>2</v>
      </c>
      <c r="L544" s="57" t="s">
        <v>622</v>
      </c>
      <c r="M544" s="58" t="s">
        <v>519</v>
      </c>
      <c r="N544" s="58" t="s">
        <v>546</v>
      </c>
      <c r="O544" s="58" t="s">
        <v>291</v>
      </c>
      <c r="P544" s="8">
        <v>610</v>
      </c>
      <c r="Q544" s="150">
        <f>25-9-16</f>
        <v>0</v>
      </c>
      <c r="R544" s="150">
        <f>25-9-16</f>
        <v>0</v>
      </c>
      <c r="S544" s="282" t="e">
        <f t="shared" si="21"/>
        <v>#DIV/0!</v>
      </c>
    </row>
    <row r="545" spans="1:19" ht="41.25" customHeight="1" hidden="1">
      <c r="A545" s="61"/>
      <c r="B545" s="60"/>
      <c r="C545" s="65"/>
      <c r="D545" s="63"/>
      <c r="E545" s="66"/>
      <c r="F545" s="66"/>
      <c r="G545" s="51"/>
      <c r="H545" s="3" t="s">
        <v>620</v>
      </c>
      <c r="I545" s="8">
        <v>663</v>
      </c>
      <c r="J545" s="14">
        <v>7</v>
      </c>
      <c r="K545" s="14">
        <v>2</v>
      </c>
      <c r="L545" s="57" t="s">
        <v>622</v>
      </c>
      <c r="M545" s="58" t="s">
        <v>519</v>
      </c>
      <c r="N545" s="58" t="s">
        <v>544</v>
      </c>
      <c r="O545" s="58" t="s">
        <v>556</v>
      </c>
      <c r="P545" s="8"/>
      <c r="Q545" s="150">
        <f>Q546</f>
        <v>0</v>
      </c>
      <c r="R545" s="150">
        <f>R546</f>
        <v>0</v>
      </c>
      <c r="S545" s="282" t="e">
        <f t="shared" si="21"/>
        <v>#DIV/0!</v>
      </c>
    </row>
    <row r="546" spans="1:19" ht="28.5" customHeight="1" hidden="1">
      <c r="A546" s="61"/>
      <c r="B546" s="60"/>
      <c r="C546" s="65"/>
      <c r="D546" s="63"/>
      <c r="E546" s="66"/>
      <c r="F546" s="66"/>
      <c r="G546" s="51"/>
      <c r="H546" s="3" t="s">
        <v>293</v>
      </c>
      <c r="I546" s="8">
        <v>663</v>
      </c>
      <c r="J546" s="14">
        <v>7</v>
      </c>
      <c r="K546" s="14">
        <v>2</v>
      </c>
      <c r="L546" s="57" t="s">
        <v>622</v>
      </c>
      <c r="M546" s="58" t="s">
        <v>519</v>
      </c>
      <c r="N546" s="58" t="s">
        <v>544</v>
      </c>
      <c r="O546" s="58" t="s">
        <v>291</v>
      </c>
      <c r="P546" s="8"/>
      <c r="Q546" s="150">
        <f>Q547</f>
        <v>0</v>
      </c>
      <c r="R546" s="150">
        <f>R547</f>
        <v>0</v>
      </c>
      <c r="S546" s="282" t="e">
        <f t="shared" si="21"/>
        <v>#DIV/0!</v>
      </c>
    </row>
    <row r="547" spans="1:19" ht="30" customHeight="1" hidden="1">
      <c r="A547" s="61"/>
      <c r="B547" s="60"/>
      <c r="C547" s="65"/>
      <c r="D547" s="63"/>
      <c r="E547" s="66"/>
      <c r="F547" s="66"/>
      <c r="G547" s="51"/>
      <c r="H547" s="3" t="s">
        <v>638</v>
      </c>
      <c r="I547" s="8">
        <v>663</v>
      </c>
      <c r="J547" s="14">
        <v>7</v>
      </c>
      <c r="K547" s="14">
        <v>2</v>
      </c>
      <c r="L547" s="57" t="s">
        <v>622</v>
      </c>
      <c r="M547" s="58" t="s">
        <v>519</v>
      </c>
      <c r="N547" s="58" t="s">
        <v>544</v>
      </c>
      <c r="O547" s="58" t="s">
        <v>291</v>
      </c>
      <c r="P547" s="8">
        <v>610</v>
      </c>
      <c r="Q547" s="150">
        <f>80-35-5.8-39.2</f>
        <v>0</v>
      </c>
      <c r="R547" s="150">
        <f>80-35-5.8-39.2</f>
        <v>0</v>
      </c>
      <c r="S547" s="282" t="e">
        <f t="shared" si="21"/>
        <v>#DIV/0!</v>
      </c>
    </row>
    <row r="548" spans="1:19" ht="41.25" customHeight="1">
      <c r="A548" s="61"/>
      <c r="B548" s="60"/>
      <c r="C548" s="65"/>
      <c r="D548" s="63"/>
      <c r="E548" s="66"/>
      <c r="F548" s="66"/>
      <c r="G548" s="51"/>
      <c r="H548" s="79" t="s">
        <v>221</v>
      </c>
      <c r="I548" s="8">
        <v>663</v>
      </c>
      <c r="J548" s="14">
        <v>7</v>
      </c>
      <c r="K548" s="14">
        <v>2</v>
      </c>
      <c r="L548" s="57" t="s">
        <v>622</v>
      </c>
      <c r="M548" s="58" t="s">
        <v>519</v>
      </c>
      <c r="N548" s="58" t="s">
        <v>522</v>
      </c>
      <c r="O548" s="58" t="s">
        <v>556</v>
      </c>
      <c r="P548" s="8"/>
      <c r="Q548" s="150">
        <f>Q549</f>
        <v>57.8</v>
      </c>
      <c r="R548" s="150">
        <f>R549</f>
        <v>57.8</v>
      </c>
      <c r="S548" s="282">
        <f t="shared" si="21"/>
        <v>1</v>
      </c>
    </row>
    <row r="549" spans="1:19" ht="25.5" customHeight="1">
      <c r="A549" s="61"/>
      <c r="B549" s="60"/>
      <c r="C549" s="65"/>
      <c r="D549" s="63"/>
      <c r="E549" s="66"/>
      <c r="F549" s="66"/>
      <c r="G549" s="51"/>
      <c r="H549" s="3" t="s">
        <v>293</v>
      </c>
      <c r="I549" s="8">
        <v>663</v>
      </c>
      <c r="J549" s="14">
        <v>7</v>
      </c>
      <c r="K549" s="14">
        <v>2</v>
      </c>
      <c r="L549" s="57" t="s">
        <v>622</v>
      </c>
      <c r="M549" s="58" t="s">
        <v>519</v>
      </c>
      <c r="N549" s="58" t="s">
        <v>522</v>
      </c>
      <c r="O549" s="58" t="s">
        <v>291</v>
      </c>
      <c r="P549" s="8"/>
      <c r="Q549" s="150">
        <f>Q550</f>
        <v>57.8</v>
      </c>
      <c r="R549" s="150">
        <f>R550</f>
        <v>57.8</v>
      </c>
      <c r="S549" s="282">
        <f t="shared" si="21"/>
        <v>1</v>
      </c>
    </row>
    <row r="550" spans="1:19" ht="27" customHeight="1">
      <c r="A550" s="61"/>
      <c r="B550" s="60"/>
      <c r="C550" s="65"/>
      <c r="D550" s="63"/>
      <c r="E550" s="66"/>
      <c r="F550" s="66"/>
      <c r="G550" s="51"/>
      <c r="H550" s="3" t="s">
        <v>638</v>
      </c>
      <c r="I550" s="8">
        <v>663</v>
      </c>
      <c r="J550" s="14">
        <v>7</v>
      </c>
      <c r="K550" s="14">
        <v>2</v>
      </c>
      <c r="L550" s="57" t="s">
        <v>622</v>
      </c>
      <c r="M550" s="58" t="s">
        <v>519</v>
      </c>
      <c r="N550" s="58" t="s">
        <v>522</v>
      </c>
      <c r="O550" s="58" t="s">
        <v>291</v>
      </c>
      <c r="P550" s="8">
        <v>610</v>
      </c>
      <c r="Q550" s="150">
        <f>125-109+36+5.8</f>
        <v>57.8</v>
      </c>
      <c r="R550" s="150">
        <f>125-109+36+5.8</f>
        <v>57.8</v>
      </c>
      <c r="S550" s="282">
        <f t="shared" si="21"/>
        <v>1</v>
      </c>
    </row>
    <row r="551" spans="1:19" ht="33" customHeight="1" hidden="1">
      <c r="A551" s="61"/>
      <c r="B551" s="60"/>
      <c r="C551" s="65"/>
      <c r="D551" s="63"/>
      <c r="E551" s="75"/>
      <c r="F551" s="75"/>
      <c r="G551" s="51"/>
      <c r="H551" s="3" t="s">
        <v>267</v>
      </c>
      <c r="I551" s="6">
        <v>663</v>
      </c>
      <c r="J551" s="18">
        <v>7</v>
      </c>
      <c r="K551" s="14">
        <v>2</v>
      </c>
      <c r="L551" s="14">
        <v>91</v>
      </c>
      <c r="M551" s="58" t="s">
        <v>519</v>
      </c>
      <c r="N551" s="58" t="s">
        <v>539</v>
      </c>
      <c r="O551" s="58" t="s">
        <v>556</v>
      </c>
      <c r="P551" s="8"/>
      <c r="Q551" s="150">
        <f>Q552+Q555</f>
        <v>0</v>
      </c>
      <c r="R551" s="150">
        <f>R552+R555</f>
        <v>0</v>
      </c>
      <c r="S551" s="282" t="e">
        <f t="shared" si="21"/>
        <v>#DIV/0!</v>
      </c>
    </row>
    <row r="552" spans="1:19" ht="33" customHeight="1" hidden="1">
      <c r="A552" s="61"/>
      <c r="B552" s="60"/>
      <c r="C552" s="65"/>
      <c r="D552" s="63"/>
      <c r="E552" s="75"/>
      <c r="F552" s="75"/>
      <c r="G552" s="51"/>
      <c r="H552" s="3" t="s">
        <v>302</v>
      </c>
      <c r="I552" s="6">
        <v>663</v>
      </c>
      <c r="J552" s="18">
        <v>7</v>
      </c>
      <c r="K552" s="14">
        <v>2</v>
      </c>
      <c r="L552" s="14">
        <v>91</v>
      </c>
      <c r="M552" s="58" t="s">
        <v>519</v>
      </c>
      <c r="N552" s="58" t="s">
        <v>539</v>
      </c>
      <c r="O552" s="58" t="s">
        <v>291</v>
      </c>
      <c r="P552" s="8"/>
      <c r="Q552" s="150">
        <f>SUM(Q553:Q554)</f>
        <v>0</v>
      </c>
      <c r="R552" s="150">
        <f>SUM(R553:R554)</f>
        <v>0</v>
      </c>
      <c r="S552" s="282" t="e">
        <f t="shared" si="21"/>
        <v>#DIV/0!</v>
      </c>
    </row>
    <row r="553" spans="1:19" ht="33" customHeight="1" hidden="1">
      <c r="A553" s="61"/>
      <c r="B553" s="60"/>
      <c r="C553" s="65"/>
      <c r="D553" s="63"/>
      <c r="E553" s="75"/>
      <c r="F553" s="75"/>
      <c r="G553" s="51"/>
      <c r="H553" s="3" t="s">
        <v>636</v>
      </c>
      <c r="I553" s="6">
        <v>663</v>
      </c>
      <c r="J553" s="18">
        <v>7</v>
      </c>
      <c r="K553" s="14">
        <v>2</v>
      </c>
      <c r="L553" s="14">
        <v>91</v>
      </c>
      <c r="M553" s="58" t="s">
        <v>519</v>
      </c>
      <c r="N553" s="58" t="s">
        <v>539</v>
      </c>
      <c r="O553" s="58" t="s">
        <v>291</v>
      </c>
      <c r="P553" s="8">
        <v>240</v>
      </c>
      <c r="Q553" s="150">
        <v>0</v>
      </c>
      <c r="R553" s="150">
        <v>0</v>
      </c>
      <c r="S553" s="282" t="e">
        <f t="shared" si="21"/>
        <v>#DIV/0!</v>
      </c>
    </row>
    <row r="554" spans="1:19" ht="33" customHeight="1" hidden="1">
      <c r="A554" s="61"/>
      <c r="B554" s="60"/>
      <c r="C554" s="65"/>
      <c r="D554" s="63"/>
      <c r="E554" s="75"/>
      <c r="F554" s="75"/>
      <c r="G554" s="51"/>
      <c r="H554" s="3" t="s">
        <v>638</v>
      </c>
      <c r="I554" s="6">
        <v>663</v>
      </c>
      <c r="J554" s="18">
        <v>7</v>
      </c>
      <c r="K554" s="14">
        <v>2</v>
      </c>
      <c r="L554" s="14">
        <v>91</v>
      </c>
      <c r="M554" s="58" t="s">
        <v>519</v>
      </c>
      <c r="N554" s="58" t="s">
        <v>539</v>
      </c>
      <c r="O554" s="58" t="s">
        <v>291</v>
      </c>
      <c r="P554" s="8">
        <v>610</v>
      </c>
      <c r="Q554" s="150">
        <v>0</v>
      </c>
      <c r="R554" s="150">
        <v>0</v>
      </c>
      <c r="S554" s="282" t="e">
        <f t="shared" si="21"/>
        <v>#DIV/0!</v>
      </c>
    </row>
    <row r="555" spans="1:19" ht="33" customHeight="1" hidden="1">
      <c r="A555" s="61"/>
      <c r="B555" s="60"/>
      <c r="C555" s="65"/>
      <c r="D555" s="63"/>
      <c r="E555" s="75"/>
      <c r="F555" s="75"/>
      <c r="G555" s="51"/>
      <c r="H555" s="3" t="s">
        <v>301</v>
      </c>
      <c r="I555" s="6">
        <v>663</v>
      </c>
      <c r="J555" s="18">
        <v>7</v>
      </c>
      <c r="K555" s="14">
        <v>2</v>
      </c>
      <c r="L555" s="14">
        <v>91</v>
      </c>
      <c r="M555" s="58" t="s">
        <v>519</v>
      </c>
      <c r="N555" s="58" t="s">
        <v>539</v>
      </c>
      <c r="O555" s="58" t="s">
        <v>300</v>
      </c>
      <c r="P555" s="8"/>
      <c r="Q555" s="150">
        <f>Q556</f>
        <v>0</v>
      </c>
      <c r="R555" s="150">
        <f>R556</f>
        <v>0</v>
      </c>
      <c r="S555" s="282" t="e">
        <f t="shared" si="21"/>
        <v>#DIV/0!</v>
      </c>
    </row>
    <row r="556" spans="1:19" ht="33" customHeight="1" hidden="1">
      <c r="A556" s="61"/>
      <c r="B556" s="60"/>
      <c r="C556" s="65"/>
      <c r="D556" s="63"/>
      <c r="E556" s="75"/>
      <c r="F556" s="75"/>
      <c r="G556" s="51"/>
      <c r="H556" s="3" t="s">
        <v>638</v>
      </c>
      <c r="I556" s="6">
        <v>663</v>
      </c>
      <c r="J556" s="18">
        <v>7</v>
      </c>
      <c r="K556" s="14">
        <v>2</v>
      </c>
      <c r="L556" s="14">
        <v>91</v>
      </c>
      <c r="M556" s="58" t="s">
        <v>519</v>
      </c>
      <c r="N556" s="58" t="s">
        <v>539</v>
      </c>
      <c r="O556" s="58" t="s">
        <v>300</v>
      </c>
      <c r="P556" s="8">
        <v>610</v>
      </c>
      <c r="Q556" s="150">
        <v>0</v>
      </c>
      <c r="R556" s="150">
        <v>0</v>
      </c>
      <c r="S556" s="282" t="e">
        <f t="shared" si="21"/>
        <v>#DIV/0!</v>
      </c>
    </row>
    <row r="557" spans="1:19" s="135" customFormat="1" ht="25.5" customHeight="1">
      <c r="A557" s="101"/>
      <c r="B557" s="102"/>
      <c r="C557" s="112"/>
      <c r="D557" s="109"/>
      <c r="E557" s="113"/>
      <c r="F557" s="113"/>
      <c r="G557" s="95"/>
      <c r="H557" s="108" t="s">
        <v>314</v>
      </c>
      <c r="I557" s="111">
        <v>663</v>
      </c>
      <c r="J557" s="115">
        <v>7</v>
      </c>
      <c r="K557" s="98">
        <v>3</v>
      </c>
      <c r="L557" s="98"/>
      <c r="M557" s="100"/>
      <c r="N557" s="100"/>
      <c r="O557" s="100"/>
      <c r="P557" s="97"/>
      <c r="Q557" s="149">
        <f>Q558</f>
        <v>4339.099999999999</v>
      </c>
      <c r="R557" s="149">
        <f>R558</f>
        <v>4339.099999999999</v>
      </c>
      <c r="S557" s="282">
        <f t="shared" si="21"/>
        <v>1</v>
      </c>
    </row>
    <row r="558" spans="1:19" ht="30.75" customHeight="1">
      <c r="A558" s="59"/>
      <c r="B558" s="60"/>
      <c r="C558" s="65"/>
      <c r="D558" s="63"/>
      <c r="E558" s="75"/>
      <c r="F558" s="75"/>
      <c r="G558" s="51"/>
      <c r="H558" s="3" t="s">
        <v>239</v>
      </c>
      <c r="I558" s="6">
        <v>663</v>
      </c>
      <c r="J558" s="18">
        <v>7</v>
      </c>
      <c r="K558" s="14">
        <v>3</v>
      </c>
      <c r="L558" s="14">
        <v>6</v>
      </c>
      <c r="M558" s="58" t="s">
        <v>519</v>
      </c>
      <c r="N558" s="58" t="s">
        <v>539</v>
      </c>
      <c r="O558" s="58" t="s">
        <v>556</v>
      </c>
      <c r="P558" s="8"/>
      <c r="Q558" s="150">
        <f>Q559+Q569+Q566</f>
        <v>4339.099999999999</v>
      </c>
      <c r="R558" s="150">
        <f>R559+R569+R566</f>
        <v>4339.099999999999</v>
      </c>
      <c r="S558" s="282">
        <f t="shared" si="21"/>
        <v>1</v>
      </c>
    </row>
    <row r="559" spans="1:19" ht="25.5" customHeight="1">
      <c r="A559" s="61"/>
      <c r="B559" s="60"/>
      <c r="C559" s="65"/>
      <c r="D559" s="63"/>
      <c r="E559" s="75"/>
      <c r="F559" s="75"/>
      <c r="G559" s="51"/>
      <c r="H559" s="3" t="s">
        <v>705</v>
      </c>
      <c r="I559" s="6">
        <v>663</v>
      </c>
      <c r="J559" s="18">
        <v>7</v>
      </c>
      <c r="K559" s="14">
        <v>3</v>
      </c>
      <c r="L559" s="14">
        <v>6</v>
      </c>
      <c r="M559" s="58" t="s">
        <v>519</v>
      </c>
      <c r="N559" s="58" t="s">
        <v>546</v>
      </c>
      <c r="O559" s="58" t="s">
        <v>556</v>
      </c>
      <c r="P559" s="8"/>
      <c r="Q559" s="150">
        <f>Q560+Q562+Q564</f>
        <v>3560.2999999999997</v>
      </c>
      <c r="R559" s="150">
        <f>R560+R562+R564</f>
        <v>3560.2999999999997</v>
      </c>
      <c r="S559" s="282">
        <f t="shared" si="21"/>
        <v>1</v>
      </c>
    </row>
    <row r="560" spans="1:19" ht="25.5" customHeight="1">
      <c r="A560" s="61"/>
      <c r="B560" s="60"/>
      <c r="C560" s="65"/>
      <c r="D560" s="63"/>
      <c r="E560" s="75"/>
      <c r="F560" s="75"/>
      <c r="G560" s="51"/>
      <c r="H560" s="3" t="s">
        <v>303</v>
      </c>
      <c r="I560" s="6">
        <v>663</v>
      </c>
      <c r="J560" s="18">
        <v>7</v>
      </c>
      <c r="K560" s="14">
        <v>3</v>
      </c>
      <c r="L560" s="14">
        <v>6</v>
      </c>
      <c r="M560" s="58" t="s">
        <v>519</v>
      </c>
      <c r="N560" s="58" t="s">
        <v>546</v>
      </c>
      <c r="O560" s="58" t="s">
        <v>238</v>
      </c>
      <c r="P560" s="8"/>
      <c r="Q560" s="150">
        <f>Q561</f>
        <v>2467.2999999999997</v>
      </c>
      <c r="R560" s="150">
        <f>R561</f>
        <v>2467.2999999999997</v>
      </c>
      <c r="S560" s="282">
        <f t="shared" si="21"/>
        <v>1</v>
      </c>
    </row>
    <row r="561" spans="1:19" ht="25.5" customHeight="1">
      <c r="A561" s="61"/>
      <c r="B561" s="60"/>
      <c r="C561" s="65"/>
      <c r="D561" s="63"/>
      <c r="E561" s="75"/>
      <c r="F561" s="75"/>
      <c r="G561" s="51"/>
      <c r="H561" s="3" t="s">
        <v>638</v>
      </c>
      <c r="I561" s="6">
        <v>663</v>
      </c>
      <c r="J561" s="18">
        <v>7</v>
      </c>
      <c r="K561" s="14">
        <v>3</v>
      </c>
      <c r="L561" s="14">
        <v>6</v>
      </c>
      <c r="M561" s="58" t="s">
        <v>519</v>
      </c>
      <c r="N561" s="58" t="s">
        <v>546</v>
      </c>
      <c r="O561" s="58" t="s">
        <v>238</v>
      </c>
      <c r="P561" s="8">
        <v>610</v>
      </c>
      <c r="Q561" s="150">
        <f>2910.1-231.8-10-200-1</f>
        <v>2467.2999999999997</v>
      </c>
      <c r="R561" s="150">
        <f>2910.1-231.8-10-200-1</f>
        <v>2467.2999999999997</v>
      </c>
      <c r="S561" s="282">
        <f t="shared" si="21"/>
        <v>1</v>
      </c>
    </row>
    <row r="562" spans="1:19" ht="39.75" customHeight="1">
      <c r="A562" s="61"/>
      <c r="B562" s="60"/>
      <c r="C562" s="65"/>
      <c r="D562" s="63"/>
      <c r="E562" s="75"/>
      <c r="F562" s="75"/>
      <c r="G562" s="51"/>
      <c r="H562" s="3" t="s">
        <v>50</v>
      </c>
      <c r="I562" s="6">
        <v>663</v>
      </c>
      <c r="J562" s="18">
        <v>7</v>
      </c>
      <c r="K562" s="14">
        <v>3</v>
      </c>
      <c r="L562" s="14">
        <v>6</v>
      </c>
      <c r="M562" s="58" t="s">
        <v>519</v>
      </c>
      <c r="N562" s="58" t="s">
        <v>546</v>
      </c>
      <c r="O562" s="58" t="s">
        <v>49</v>
      </c>
      <c r="P562" s="8"/>
      <c r="Q562" s="150">
        <f>Q563</f>
        <v>1093</v>
      </c>
      <c r="R562" s="150">
        <f>R563</f>
        <v>1093</v>
      </c>
      <c r="S562" s="282">
        <f t="shared" si="21"/>
        <v>1</v>
      </c>
    </row>
    <row r="563" spans="1:19" ht="21" customHeight="1">
      <c r="A563" s="61"/>
      <c r="B563" s="60"/>
      <c r="C563" s="65"/>
      <c r="D563" s="63"/>
      <c r="E563" s="75"/>
      <c r="F563" s="75"/>
      <c r="G563" s="51"/>
      <c r="H563" s="3" t="s">
        <v>638</v>
      </c>
      <c r="I563" s="6">
        <v>663</v>
      </c>
      <c r="J563" s="18">
        <v>7</v>
      </c>
      <c r="K563" s="14">
        <v>3</v>
      </c>
      <c r="L563" s="14">
        <v>6</v>
      </c>
      <c r="M563" s="58" t="s">
        <v>519</v>
      </c>
      <c r="N563" s="58" t="s">
        <v>546</v>
      </c>
      <c r="O563" s="58" t="s">
        <v>49</v>
      </c>
      <c r="P563" s="8">
        <v>610</v>
      </c>
      <c r="Q563" s="150">
        <f>895.5+197.6-0.1</f>
        <v>1093</v>
      </c>
      <c r="R563" s="150">
        <f>895.5+197.6-0.1</f>
        <v>1093</v>
      </c>
      <c r="S563" s="282">
        <f t="shared" si="21"/>
        <v>1</v>
      </c>
    </row>
    <row r="564" spans="1:19" ht="21" customHeight="1" hidden="1">
      <c r="A564" s="61"/>
      <c r="B564" s="60"/>
      <c r="C564" s="65"/>
      <c r="D564" s="63"/>
      <c r="E564" s="75"/>
      <c r="F564" s="75"/>
      <c r="G564" s="51"/>
      <c r="H564" s="3" t="s">
        <v>200</v>
      </c>
      <c r="I564" s="6">
        <v>663</v>
      </c>
      <c r="J564" s="18">
        <v>7</v>
      </c>
      <c r="K564" s="14">
        <v>3</v>
      </c>
      <c r="L564" s="14">
        <v>6</v>
      </c>
      <c r="M564" s="58" t="s">
        <v>519</v>
      </c>
      <c r="N564" s="58" t="s">
        <v>546</v>
      </c>
      <c r="O564" s="58" t="s">
        <v>199</v>
      </c>
      <c r="P564" s="8"/>
      <c r="Q564" s="150">
        <f>Q565</f>
        <v>0</v>
      </c>
      <c r="R564" s="150">
        <f>R565</f>
        <v>0</v>
      </c>
      <c r="S564" s="282" t="e">
        <f t="shared" si="21"/>
        <v>#DIV/0!</v>
      </c>
    </row>
    <row r="565" spans="1:19" ht="21" customHeight="1" hidden="1">
      <c r="A565" s="61"/>
      <c r="B565" s="60"/>
      <c r="C565" s="65"/>
      <c r="D565" s="63"/>
      <c r="E565" s="75"/>
      <c r="F565" s="75"/>
      <c r="G565" s="51"/>
      <c r="H565" s="3" t="s">
        <v>638</v>
      </c>
      <c r="I565" s="6">
        <v>663</v>
      </c>
      <c r="J565" s="18">
        <v>7</v>
      </c>
      <c r="K565" s="14">
        <v>3</v>
      </c>
      <c r="L565" s="14">
        <v>6</v>
      </c>
      <c r="M565" s="58" t="s">
        <v>519</v>
      </c>
      <c r="N565" s="58" t="s">
        <v>546</v>
      </c>
      <c r="O565" s="58" t="s">
        <v>199</v>
      </c>
      <c r="P565" s="8">
        <v>610</v>
      </c>
      <c r="Q565" s="150">
        <v>0</v>
      </c>
      <c r="R565" s="150">
        <v>0</v>
      </c>
      <c r="S565" s="282" t="e">
        <f t="shared" si="21"/>
        <v>#DIV/0!</v>
      </c>
    </row>
    <row r="566" spans="1:19" ht="21" customHeight="1">
      <c r="A566" s="61"/>
      <c r="B566" s="60"/>
      <c r="C566" s="65"/>
      <c r="D566" s="63"/>
      <c r="E566" s="75"/>
      <c r="F566" s="75"/>
      <c r="G566" s="51"/>
      <c r="H566" s="2" t="s">
        <v>706</v>
      </c>
      <c r="I566" s="6">
        <v>663</v>
      </c>
      <c r="J566" s="18">
        <v>7</v>
      </c>
      <c r="K566" s="14">
        <v>3</v>
      </c>
      <c r="L566" s="14">
        <v>6</v>
      </c>
      <c r="M566" s="58" t="s">
        <v>519</v>
      </c>
      <c r="N566" s="58" t="s">
        <v>522</v>
      </c>
      <c r="O566" s="58" t="s">
        <v>556</v>
      </c>
      <c r="P566" s="8"/>
      <c r="Q566" s="150">
        <f>Q567</f>
        <v>50</v>
      </c>
      <c r="R566" s="150">
        <f>R567</f>
        <v>50</v>
      </c>
      <c r="S566" s="282">
        <f t="shared" si="21"/>
        <v>1</v>
      </c>
    </row>
    <row r="567" spans="1:19" ht="21" customHeight="1">
      <c r="A567" s="61"/>
      <c r="B567" s="60"/>
      <c r="C567" s="65"/>
      <c r="D567" s="63"/>
      <c r="E567" s="75"/>
      <c r="F567" s="75"/>
      <c r="G567" s="51"/>
      <c r="H567" s="3" t="s">
        <v>303</v>
      </c>
      <c r="I567" s="6">
        <v>663</v>
      </c>
      <c r="J567" s="18">
        <v>7</v>
      </c>
      <c r="K567" s="14">
        <v>3</v>
      </c>
      <c r="L567" s="14">
        <v>6</v>
      </c>
      <c r="M567" s="58" t="s">
        <v>519</v>
      </c>
      <c r="N567" s="58" t="s">
        <v>522</v>
      </c>
      <c r="O567" s="58" t="s">
        <v>238</v>
      </c>
      <c r="P567" s="8"/>
      <c r="Q567" s="150">
        <f>Q568</f>
        <v>50</v>
      </c>
      <c r="R567" s="150">
        <f>R568</f>
        <v>50</v>
      </c>
      <c r="S567" s="282">
        <f t="shared" si="21"/>
        <v>1</v>
      </c>
    </row>
    <row r="568" spans="1:19" ht="21" customHeight="1">
      <c r="A568" s="61"/>
      <c r="B568" s="60"/>
      <c r="C568" s="65"/>
      <c r="D568" s="63"/>
      <c r="E568" s="75"/>
      <c r="F568" s="75"/>
      <c r="G568" s="51"/>
      <c r="H568" s="3" t="s">
        <v>638</v>
      </c>
      <c r="I568" s="6">
        <v>663</v>
      </c>
      <c r="J568" s="18">
        <v>7</v>
      </c>
      <c r="K568" s="14">
        <v>3</v>
      </c>
      <c r="L568" s="14">
        <v>6</v>
      </c>
      <c r="M568" s="58" t="s">
        <v>519</v>
      </c>
      <c r="N568" s="58" t="s">
        <v>522</v>
      </c>
      <c r="O568" s="58" t="s">
        <v>238</v>
      </c>
      <c r="P568" s="8">
        <v>610</v>
      </c>
      <c r="Q568" s="150">
        <v>50</v>
      </c>
      <c r="R568" s="150">
        <v>50</v>
      </c>
      <c r="S568" s="282">
        <f t="shared" si="21"/>
        <v>1</v>
      </c>
    </row>
    <row r="569" spans="1:19" ht="21" customHeight="1">
      <c r="A569" s="61"/>
      <c r="B569" s="60"/>
      <c r="C569" s="65"/>
      <c r="D569" s="63"/>
      <c r="E569" s="75"/>
      <c r="F569" s="75"/>
      <c r="G569" s="51"/>
      <c r="H569" s="3" t="s">
        <v>101</v>
      </c>
      <c r="I569" s="6">
        <v>663</v>
      </c>
      <c r="J569" s="18">
        <v>7</v>
      </c>
      <c r="K569" s="14">
        <v>3</v>
      </c>
      <c r="L569" s="14">
        <v>6</v>
      </c>
      <c r="M569" s="58" t="s">
        <v>519</v>
      </c>
      <c r="N569" s="58" t="s">
        <v>65</v>
      </c>
      <c r="O569" s="58" t="s">
        <v>556</v>
      </c>
      <c r="P569" s="8"/>
      <c r="Q569" s="150">
        <f>Q570</f>
        <v>728.8</v>
      </c>
      <c r="R569" s="150">
        <f>R570</f>
        <v>728.8</v>
      </c>
      <c r="S569" s="282">
        <f t="shared" si="21"/>
        <v>1</v>
      </c>
    </row>
    <row r="570" spans="1:19" ht="33.75" customHeight="1">
      <c r="A570" s="61"/>
      <c r="B570" s="60"/>
      <c r="C570" s="65"/>
      <c r="D570" s="63"/>
      <c r="E570" s="75"/>
      <c r="F570" s="75"/>
      <c r="G570" s="51"/>
      <c r="H570" s="3" t="s">
        <v>105</v>
      </c>
      <c r="I570" s="6">
        <v>663</v>
      </c>
      <c r="J570" s="18">
        <v>7</v>
      </c>
      <c r="K570" s="14">
        <v>3</v>
      </c>
      <c r="L570" s="14">
        <v>6</v>
      </c>
      <c r="M570" s="58" t="s">
        <v>519</v>
      </c>
      <c r="N570" s="58" t="s">
        <v>65</v>
      </c>
      <c r="O570" s="58" t="s">
        <v>66</v>
      </c>
      <c r="P570" s="4"/>
      <c r="Q570" s="151">
        <v>728.8</v>
      </c>
      <c r="R570" s="151">
        <v>728.8</v>
      </c>
      <c r="S570" s="282">
        <f t="shared" si="21"/>
        <v>1</v>
      </c>
    </row>
    <row r="571" spans="1:19" ht="21" customHeight="1">
      <c r="A571" s="61"/>
      <c r="B571" s="60"/>
      <c r="C571" s="65"/>
      <c r="D571" s="63"/>
      <c r="E571" s="75"/>
      <c r="F571" s="75"/>
      <c r="G571" s="51"/>
      <c r="H571" s="3" t="s">
        <v>638</v>
      </c>
      <c r="I571" s="6">
        <v>663</v>
      </c>
      <c r="J571" s="18">
        <v>7</v>
      </c>
      <c r="K571" s="14">
        <v>3</v>
      </c>
      <c r="L571" s="14">
        <v>6</v>
      </c>
      <c r="M571" s="58" t="s">
        <v>519</v>
      </c>
      <c r="N571" s="58" t="s">
        <v>65</v>
      </c>
      <c r="O571" s="58" t="s">
        <v>66</v>
      </c>
      <c r="P571" s="4">
        <v>610</v>
      </c>
      <c r="Q571" s="151">
        <v>728.8</v>
      </c>
      <c r="R571" s="151">
        <v>728.8</v>
      </c>
      <c r="S571" s="282">
        <f t="shared" si="21"/>
        <v>1</v>
      </c>
    </row>
    <row r="572" spans="1:19" s="135" customFormat="1" ht="24.75" customHeight="1">
      <c r="A572" s="101"/>
      <c r="B572" s="102"/>
      <c r="C572" s="112"/>
      <c r="D572" s="109"/>
      <c r="E572" s="113"/>
      <c r="F572" s="113"/>
      <c r="G572" s="95"/>
      <c r="H572" s="108" t="s">
        <v>500</v>
      </c>
      <c r="I572" s="111">
        <v>663</v>
      </c>
      <c r="J572" s="115">
        <v>7</v>
      </c>
      <c r="K572" s="98">
        <v>9</v>
      </c>
      <c r="L572" s="99"/>
      <c r="M572" s="100"/>
      <c r="N572" s="100"/>
      <c r="O572" s="100"/>
      <c r="P572" s="105"/>
      <c r="Q572" s="152">
        <f>Q573+Q624+Q635+Q619+Q612</f>
        <v>13391.999999999998</v>
      </c>
      <c r="R572" s="152">
        <f>R573+R624+R635+R619+R612</f>
        <v>13291.299999999997</v>
      </c>
      <c r="S572" s="282">
        <f t="shared" si="21"/>
        <v>0.9924805854241338</v>
      </c>
    </row>
    <row r="573" spans="1:19" ht="30.75" customHeight="1">
      <c r="A573" s="61"/>
      <c r="B573" s="60"/>
      <c r="C573" s="65"/>
      <c r="D573" s="63"/>
      <c r="E573" s="66"/>
      <c r="F573" s="66"/>
      <c r="G573" s="51"/>
      <c r="H573" s="179" t="s">
        <v>239</v>
      </c>
      <c r="I573" s="8">
        <v>663</v>
      </c>
      <c r="J573" s="14">
        <v>7</v>
      </c>
      <c r="K573" s="14">
        <v>9</v>
      </c>
      <c r="L573" s="57" t="s">
        <v>547</v>
      </c>
      <c r="M573" s="58" t="s">
        <v>519</v>
      </c>
      <c r="N573" s="58" t="s">
        <v>539</v>
      </c>
      <c r="O573" s="58" t="s">
        <v>556</v>
      </c>
      <c r="P573" s="8"/>
      <c r="Q573" s="150">
        <f>Q574+Q579+Q587+Q593+Q598</f>
        <v>13276.599999999999</v>
      </c>
      <c r="R573" s="150">
        <f>R574+R579+R587+R593+R598</f>
        <v>13175.899999999998</v>
      </c>
      <c r="S573" s="282">
        <f t="shared" si="21"/>
        <v>0.9924152267899914</v>
      </c>
    </row>
    <row r="574" spans="1:19" ht="32.25" customHeight="1">
      <c r="A574" s="61"/>
      <c r="B574" s="60"/>
      <c r="C574" s="65"/>
      <c r="D574" s="63"/>
      <c r="E574" s="66"/>
      <c r="F574" s="66"/>
      <c r="G574" s="51"/>
      <c r="H574" s="180" t="s">
        <v>592</v>
      </c>
      <c r="I574" s="8">
        <v>663</v>
      </c>
      <c r="J574" s="14">
        <v>7</v>
      </c>
      <c r="K574" s="14">
        <v>9</v>
      </c>
      <c r="L574" s="57" t="s">
        <v>547</v>
      </c>
      <c r="M574" s="58" t="s">
        <v>519</v>
      </c>
      <c r="N574" s="58" t="s">
        <v>520</v>
      </c>
      <c r="O574" s="58" t="s">
        <v>556</v>
      </c>
      <c r="P574" s="8" t="s">
        <v>557</v>
      </c>
      <c r="Q574" s="150">
        <f>Q575+Q577</f>
        <v>102.3</v>
      </c>
      <c r="R574" s="150">
        <f>R575+R577</f>
        <v>102.3</v>
      </c>
      <c r="S574" s="282">
        <f t="shared" si="21"/>
        <v>1</v>
      </c>
    </row>
    <row r="575" spans="1:19" ht="32.25" customHeight="1" hidden="1">
      <c r="A575" s="61"/>
      <c r="B575" s="60"/>
      <c r="C575" s="65"/>
      <c r="D575" s="63"/>
      <c r="E575" s="66"/>
      <c r="F575" s="66"/>
      <c r="G575" s="51"/>
      <c r="H575" s="184" t="s">
        <v>309</v>
      </c>
      <c r="I575" s="8">
        <v>663</v>
      </c>
      <c r="J575" s="14">
        <v>7</v>
      </c>
      <c r="K575" s="14">
        <v>9</v>
      </c>
      <c r="L575" s="57" t="s">
        <v>547</v>
      </c>
      <c r="M575" s="58" t="s">
        <v>519</v>
      </c>
      <c r="N575" s="58" t="s">
        <v>520</v>
      </c>
      <c r="O575" s="58" t="s">
        <v>584</v>
      </c>
      <c r="P575" s="8"/>
      <c r="Q575" s="150">
        <f>Q576</f>
        <v>0</v>
      </c>
      <c r="R575" s="150">
        <f>R576</f>
        <v>0</v>
      </c>
      <c r="S575" s="282" t="e">
        <f t="shared" si="21"/>
        <v>#DIV/0!</v>
      </c>
    </row>
    <row r="576" spans="1:19" ht="32.25" customHeight="1" hidden="1">
      <c r="A576" s="61"/>
      <c r="B576" s="60"/>
      <c r="C576" s="65"/>
      <c r="D576" s="63"/>
      <c r="E576" s="66"/>
      <c r="F576" s="66"/>
      <c r="G576" s="51"/>
      <c r="H576" s="184" t="s">
        <v>636</v>
      </c>
      <c r="I576" s="8">
        <v>663</v>
      </c>
      <c r="J576" s="14">
        <v>7</v>
      </c>
      <c r="K576" s="14">
        <v>9</v>
      </c>
      <c r="L576" s="57" t="s">
        <v>547</v>
      </c>
      <c r="M576" s="58" t="s">
        <v>519</v>
      </c>
      <c r="N576" s="58" t="s">
        <v>520</v>
      </c>
      <c r="O576" s="58" t="s">
        <v>584</v>
      </c>
      <c r="P576" s="8">
        <v>240</v>
      </c>
      <c r="Q576" s="150">
        <f>15-15</f>
        <v>0</v>
      </c>
      <c r="R576" s="150">
        <f>15-15</f>
        <v>0</v>
      </c>
      <c r="S576" s="282" t="e">
        <f t="shared" si="21"/>
        <v>#DIV/0!</v>
      </c>
    </row>
    <row r="577" spans="1:19" ht="39" customHeight="1">
      <c r="A577" s="61"/>
      <c r="B577" s="60"/>
      <c r="C577" s="65"/>
      <c r="D577" s="63"/>
      <c r="E577" s="66"/>
      <c r="F577" s="66"/>
      <c r="G577" s="51"/>
      <c r="H577" s="19" t="s">
        <v>298</v>
      </c>
      <c r="I577" s="8">
        <v>663</v>
      </c>
      <c r="J577" s="14">
        <v>7</v>
      </c>
      <c r="K577" s="14">
        <v>9</v>
      </c>
      <c r="L577" s="57" t="s">
        <v>547</v>
      </c>
      <c r="M577" s="58" t="s">
        <v>519</v>
      </c>
      <c r="N577" s="58" t="s">
        <v>520</v>
      </c>
      <c r="O577" s="58" t="s">
        <v>297</v>
      </c>
      <c r="P577" s="8"/>
      <c r="Q577" s="150">
        <f>Q578</f>
        <v>102.3</v>
      </c>
      <c r="R577" s="150">
        <f>R578</f>
        <v>102.3</v>
      </c>
      <c r="S577" s="282">
        <f t="shared" si="21"/>
        <v>1</v>
      </c>
    </row>
    <row r="578" spans="1:19" ht="33" customHeight="1">
      <c r="A578" s="61"/>
      <c r="B578" s="60"/>
      <c r="C578" s="65"/>
      <c r="D578" s="63"/>
      <c r="E578" s="66"/>
      <c r="F578" s="66"/>
      <c r="G578" s="51"/>
      <c r="H578" s="3" t="s">
        <v>638</v>
      </c>
      <c r="I578" s="8">
        <v>663</v>
      </c>
      <c r="J578" s="14">
        <v>7</v>
      </c>
      <c r="K578" s="14">
        <v>9</v>
      </c>
      <c r="L578" s="57" t="s">
        <v>547</v>
      </c>
      <c r="M578" s="58" t="s">
        <v>519</v>
      </c>
      <c r="N578" s="58" t="s">
        <v>520</v>
      </c>
      <c r="O578" s="58" t="s">
        <v>297</v>
      </c>
      <c r="P578" s="8">
        <v>610</v>
      </c>
      <c r="Q578" s="150">
        <v>102.3</v>
      </c>
      <c r="R578" s="150">
        <v>102.3</v>
      </c>
      <c r="S578" s="282">
        <f t="shared" si="21"/>
        <v>1</v>
      </c>
    </row>
    <row r="579" spans="1:19" ht="29.25" customHeight="1">
      <c r="A579" s="61"/>
      <c r="B579" s="60"/>
      <c r="C579" s="65"/>
      <c r="D579" s="63"/>
      <c r="E579" s="66"/>
      <c r="F579" s="66"/>
      <c r="G579" s="51"/>
      <c r="H579" s="15" t="s">
        <v>593</v>
      </c>
      <c r="I579" s="8">
        <v>663</v>
      </c>
      <c r="J579" s="14">
        <v>7</v>
      </c>
      <c r="K579" s="14">
        <v>9</v>
      </c>
      <c r="L579" s="57" t="s">
        <v>547</v>
      </c>
      <c r="M579" s="58" t="s">
        <v>519</v>
      </c>
      <c r="N579" s="58" t="s">
        <v>545</v>
      </c>
      <c r="O579" s="58" t="s">
        <v>556</v>
      </c>
      <c r="P579" s="8" t="s">
        <v>557</v>
      </c>
      <c r="Q579" s="150">
        <f>Q580+Q584+Q582</f>
        <v>6693.599999999999</v>
      </c>
      <c r="R579" s="150">
        <f>R580+R584+R582</f>
        <v>6693.599999999999</v>
      </c>
      <c r="S579" s="282">
        <f t="shared" si="21"/>
        <v>1</v>
      </c>
    </row>
    <row r="580" spans="1:19" ht="29.25" customHeight="1">
      <c r="A580" s="61"/>
      <c r="B580" s="60"/>
      <c r="C580" s="65"/>
      <c r="D580" s="63"/>
      <c r="E580" s="66"/>
      <c r="F580" s="66"/>
      <c r="G580" s="51"/>
      <c r="H580" s="19" t="s">
        <v>309</v>
      </c>
      <c r="I580" s="8">
        <v>663</v>
      </c>
      <c r="J580" s="14">
        <v>7</v>
      </c>
      <c r="K580" s="14">
        <v>9</v>
      </c>
      <c r="L580" s="57" t="s">
        <v>547</v>
      </c>
      <c r="M580" s="58" t="s">
        <v>519</v>
      </c>
      <c r="N580" s="58" t="s">
        <v>545</v>
      </c>
      <c r="O580" s="58" t="s">
        <v>584</v>
      </c>
      <c r="P580" s="8"/>
      <c r="Q580" s="150">
        <f>Q581</f>
        <v>20.4</v>
      </c>
      <c r="R580" s="150">
        <f>R581</f>
        <v>20.4</v>
      </c>
      <c r="S580" s="282">
        <f t="shared" si="21"/>
        <v>1</v>
      </c>
    </row>
    <row r="581" spans="1:19" ht="29.25" customHeight="1">
      <c r="A581" s="61"/>
      <c r="B581" s="60"/>
      <c r="C581" s="65"/>
      <c r="D581" s="63"/>
      <c r="E581" s="66"/>
      <c r="F581" s="66"/>
      <c r="G581" s="51"/>
      <c r="H581" s="19" t="s">
        <v>636</v>
      </c>
      <c r="I581" s="8">
        <v>663</v>
      </c>
      <c r="J581" s="14">
        <v>7</v>
      </c>
      <c r="K581" s="14">
        <v>9</v>
      </c>
      <c r="L581" s="57" t="s">
        <v>547</v>
      </c>
      <c r="M581" s="58" t="s">
        <v>519</v>
      </c>
      <c r="N581" s="58" t="s">
        <v>545</v>
      </c>
      <c r="O581" s="58" t="s">
        <v>584</v>
      </c>
      <c r="P581" s="8">
        <v>240</v>
      </c>
      <c r="Q581" s="150">
        <f>51-1-17.7-11-0.9</f>
        <v>20.4</v>
      </c>
      <c r="R581" s="150">
        <f>51-1-17.7-11-0.9</f>
        <v>20.4</v>
      </c>
      <c r="S581" s="282">
        <f t="shared" si="21"/>
        <v>1</v>
      </c>
    </row>
    <row r="582" spans="1:19" ht="35.25" customHeight="1">
      <c r="A582" s="61"/>
      <c r="B582" s="60"/>
      <c r="C582" s="65"/>
      <c r="D582" s="63"/>
      <c r="E582" s="66"/>
      <c r="F582" s="66"/>
      <c r="G582" s="51"/>
      <c r="H582" s="185" t="s">
        <v>460</v>
      </c>
      <c r="I582" s="8">
        <v>663</v>
      </c>
      <c r="J582" s="14">
        <v>7</v>
      </c>
      <c r="K582" s="14">
        <v>9</v>
      </c>
      <c r="L582" s="57" t="s">
        <v>547</v>
      </c>
      <c r="M582" s="58" t="s">
        <v>519</v>
      </c>
      <c r="N582" s="58" t="s">
        <v>545</v>
      </c>
      <c r="O582" s="58" t="s">
        <v>268</v>
      </c>
      <c r="P582" s="8"/>
      <c r="Q582" s="150">
        <f>Q583</f>
        <v>6</v>
      </c>
      <c r="R582" s="150">
        <f>R583</f>
        <v>6</v>
      </c>
      <c r="S582" s="282">
        <f t="shared" si="21"/>
        <v>1</v>
      </c>
    </row>
    <row r="583" spans="1:19" ht="29.25" customHeight="1">
      <c r="A583" s="61"/>
      <c r="B583" s="60"/>
      <c r="C583" s="65"/>
      <c r="D583" s="63"/>
      <c r="E583" s="66"/>
      <c r="F583" s="66"/>
      <c r="G583" s="51"/>
      <c r="H583" s="185" t="s">
        <v>639</v>
      </c>
      <c r="I583" s="8">
        <v>663</v>
      </c>
      <c r="J583" s="14">
        <v>7</v>
      </c>
      <c r="K583" s="14">
        <v>9</v>
      </c>
      <c r="L583" s="57" t="s">
        <v>547</v>
      </c>
      <c r="M583" s="58" t="s">
        <v>519</v>
      </c>
      <c r="N583" s="58" t="s">
        <v>545</v>
      </c>
      <c r="O583" s="58" t="s">
        <v>268</v>
      </c>
      <c r="P583" s="8">
        <v>110</v>
      </c>
      <c r="Q583" s="150">
        <f>5.5+0.5</f>
        <v>6</v>
      </c>
      <c r="R583" s="150">
        <f>5.5+0.5</f>
        <v>6</v>
      </c>
      <c r="S583" s="282">
        <f t="shared" si="21"/>
        <v>1</v>
      </c>
    </row>
    <row r="584" spans="1:19" ht="39" customHeight="1">
      <c r="A584" s="61"/>
      <c r="B584" s="60"/>
      <c r="C584" s="65"/>
      <c r="D584" s="63"/>
      <c r="E584" s="66"/>
      <c r="F584" s="66"/>
      <c r="G584" s="51"/>
      <c r="H584" s="19" t="s">
        <v>298</v>
      </c>
      <c r="I584" s="8">
        <v>663</v>
      </c>
      <c r="J584" s="14">
        <v>7</v>
      </c>
      <c r="K584" s="14">
        <v>9</v>
      </c>
      <c r="L584" s="57" t="s">
        <v>547</v>
      </c>
      <c r="M584" s="58" t="s">
        <v>519</v>
      </c>
      <c r="N584" s="58" t="s">
        <v>545</v>
      </c>
      <c r="O584" s="58" t="s">
        <v>297</v>
      </c>
      <c r="P584" s="8"/>
      <c r="Q584" s="150">
        <f>Q585+Q586</f>
        <v>6667.2</v>
      </c>
      <c r="R584" s="150">
        <f>R585+R586</f>
        <v>6667.2</v>
      </c>
      <c r="S584" s="282">
        <f t="shared" si="21"/>
        <v>1</v>
      </c>
    </row>
    <row r="585" spans="1:19" ht="33" customHeight="1">
      <c r="A585" s="61"/>
      <c r="B585" s="60"/>
      <c r="C585" s="65"/>
      <c r="D585" s="63"/>
      <c r="E585" s="66"/>
      <c r="F585" s="66"/>
      <c r="G585" s="51"/>
      <c r="H585" s="19" t="s">
        <v>641</v>
      </c>
      <c r="I585" s="8">
        <v>663</v>
      </c>
      <c r="J585" s="14">
        <v>7</v>
      </c>
      <c r="K585" s="14">
        <v>9</v>
      </c>
      <c r="L585" s="57" t="s">
        <v>547</v>
      </c>
      <c r="M585" s="58" t="s">
        <v>519</v>
      </c>
      <c r="N585" s="58" t="s">
        <v>545</v>
      </c>
      <c r="O585" s="58" t="s">
        <v>297</v>
      </c>
      <c r="P585" s="8">
        <v>320</v>
      </c>
      <c r="Q585" s="150">
        <f>1956.6-7.8</f>
        <v>1948.8</v>
      </c>
      <c r="R585" s="150">
        <f>1956.6-7.8</f>
        <v>1948.8</v>
      </c>
      <c r="S585" s="282">
        <f t="shared" si="21"/>
        <v>1</v>
      </c>
    </row>
    <row r="586" spans="1:19" ht="33" customHeight="1">
      <c r="A586" s="61"/>
      <c r="B586" s="60"/>
      <c r="C586" s="65"/>
      <c r="D586" s="63"/>
      <c r="E586" s="66"/>
      <c r="F586" s="66"/>
      <c r="G586" s="51"/>
      <c r="H586" s="3" t="s">
        <v>638</v>
      </c>
      <c r="I586" s="8">
        <v>663</v>
      </c>
      <c r="J586" s="14">
        <v>7</v>
      </c>
      <c r="K586" s="14">
        <v>9</v>
      </c>
      <c r="L586" s="57" t="s">
        <v>547</v>
      </c>
      <c r="M586" s="58" t="s">
        <v>519</v>
      </c>
      <c r="N586" s="58" t="s">
        <v>545</v>
      </c>
      <c r="O586" s="58" t="s">
        <v>297</v>
      </c>
      <c r="P586" s="8">
        <v>610</v>
      </c>
      <c r="Q586" s="150">
        <f>7298.8+1051.1-251.5-3380</f>
        <v>4718.4</v>
      </c>
      <c r="R586" s="150">
        <f>7298.8+1051.1-251.5-3380</f>
        <v>4718.4</v>
      </c>
      <c r="S586" s="282">
        <f t="shared" si="21"/>
        <v>1</v>
      </c>
    </row>
    <row r="587" spans="1:19" ht="27" customHeight="1">
      <c r="A587" s="61"/>
      <c r="B587" s="60"/>
      <c r="C587" s="65"/>
      <c r="D587" s="63"/>
      <c r="E587" s="66"/>
      <c r="F587" s="66"/>
      <c r="G587" s="51"/>
      <c r="H587" s="9" t="s">
        <v>705</v>
      </c>
      <c r="I587" s="8">
        <v>663</v>
      </c>
      <c r="J587" s="14">
        <v>7</v>
      </c>
      <c r="K587" s="14">
        <v>9</v>
      </c>
      <c r="L587" s="57" t="s">
        <v>547</v>
      </c>
      <c r="M587" s="58" t="s">
        <v>519</v>
      </c>
      <c r="N587" s="58" t="s">
        <v>546</v>
      </c>
      <c r="O587" s="58" t="s">
        <v>556</v>
      </c>
      <c r="P587" s="8"/>
      <c r="Q587" s="150">
        <f>Q588+Q591</f>
        <v>2074.2</v>
      </c>
      <c r="R587" s="150">
        <f>R588+R591</f>
        <v>2074.2</v>
      </c>
      <c r="S587" s="282">
        <f t="shared" si="21"/>
        <v>1</v>
      </c>
    </row>
    <row r="588" spans="1:19" ht="18" customHeight="1">
      <c r="A588" s="61"/>
      <c r="B588" s="60"/>
      <c r="C588" s="65"/>
      <c r="D588" s="63"/>
      <c r="E588" s="66"/>
      <c r="F588" s="66"/>
      <c r="G588" s="51"/>
      <c r="H588" s="9" t="s">
        <v>309</v>
      </c>
      <c r="I588" s="8">
        <v>663</v>
      </c>
      <c r="J588" s="14">
        <v>7</v>
      </c>
      <c r="K588" s="14">
        <v>9</v>
      </c>
      <c r="L588" s="57" t="s">
        <v>547</v>
      </c>
      <c r="M588" s="58" t="s">
        <v>519</v>
      </c>
      <c r="N588" s="58" t="s">
        <v>546</v>
      </c>
      <c r="O588" s="58" t="s">
        <v>584</v>
      </c>
      <c r="P588" s="8"/>
      <c r="Q588" s="150">
        <f>Q590+Q589</f>
        <v>2069.2</v>
      </c>
      <c r="R588" s="150">
        <f>R590+R589</f>
        <v>2069.2</v>
      </c>
      <c r="S588" s="282">
        <f aca="true" t="shared" si="23" ref="S588:S651">R588/Q588</f>
        <v>1</v>
      </c>
    </row>
    <row r="589" spans="1:19" ht="18" customHeight="1" hidden="1">
      <c r="A589" s="61"/>
      <c r="B589" s="60"/>
      <c r="C589" s="65"/>
      <c r="D589" s="63"/>
      <c r="E589" s="66"/>
      <c r="F589" s="66"/>
      <c r="G589" s="51"/>
      <c r="H589" s="19" t="s">
        <v>636</v>
      </c>
      <c r="I589" s="8">
        <v>663</v>
      </c>
      <c r="J589" s="14">
        <v>7</v>
      </c>
      <c r="K589" s="14">
        <v>9</v>
      </c>
      <c r="L589" s="57" t="s">
        <v>547</v>
      </c>
      <c r="M589" s="58" t="s">
        <v>519</v>
      </c>
      <c r="N589" s="58" t="s">
        <v>546</v>
      </c>
      <c r="O589" s="58" t="s">
        <v>584</v>
      </c>
      <c r="P589" s="8">
        <v>240</v>
      </c>
      <c r="Q589" s="150">
        <f>70-70</f>
        <v>0</v>
      </c>
      <c r="R589" s="150">
        <f>70-70</f>
        <v>0</v>
      </c>
      <c r="S589" s="282" t="e">
        <f t="shared" si="23"/>
        <v>#DIV/0!</v>
      </c>
    </row>
    <row r="590" spans="1:19" ht="37.5" customHeight="1">
      <c r="A590" s="61"/>
      <c r="B590" s="60"/>
      <c r="C590" s="65"/>
      <c r="D590" s="63"/>
      <c r="E590" s="66"/>
      <c r="F590" s="66"/>
      <c r="G590" s="51"/>
      <c r="H590" s="9" t="s">
        <v>180</v>
      </c>
      <c r="I590" s="8">
        <v>663</v>
      </c>
      <c r="J590" s="14">
        <v>7</v>
      </c>
      <c r="K590" s="14">
        <v>9</v>
      </c>
      <c r="L590" s="57" t="s">
        <v>547</v>
      </c>
      <c r="M590" s="58" t="s">
        <v>519</v>
      </c>
      <c r="N590" s="58" t="s">
        <v>546</v>
      </c>
      <c r="O590" s="58" t="s">
        <v>584</v>
      </c>
      <c r="P590" s="8">
        <v>630</v>
      </c>
      <c r="Q590" s="150">
        <f>1507+129.3+231.8+200+1.1</f>
        <v>2069.2</v>
      </c>
      <c r="R590" s="150">
        <f>1507+129.3+231.8+200+1.1</f>
        <v>2069.2</v>
      </c>
      <c r="S590" s="282">
        <f t="shared" si="23"/>
        <v>1</v>
      </c>
    </row>
    <row r="591" spans="1:19" ht="39" customHeight="1">
      <c r="A591" s="61"/>
      <c r="B591" s="60"/>
      <c r="C591" s="65"/>
      <c r="D591" s="63"/>
      <c r="E591" s="66"/>
      <c r="F591" s="66"/>
      <c r="G591" s="51"/>
      <c r="H591" s="9" t="s">
        <v>295</v>
      </c>
      <c r="I591" s="8">
        <v>663</v>
      </c>
      <c r="J591" s="14">
        <v>7</v>
      </c>
      <c r="K591" s="14">
        <v>9</v>
      </c>
      <c r="L591" s="57" t="s">
        <v>547</v>
      </c>
      <c r="M591" s="58" t="s">
        <v>519</v>
      </c>
      <c r="N591" s="58" t="s">
        <v>546</v>
      </c>
      <c r="O591" s="58" t="s">
        <v>268</v>
      </c>
      <c r="P591" s="8"/>
      <c r="Q591" s="150">
        <f>Q592</f>
        <v>5</v>
      </c>
      <c r="R591" s="150">
        <f>R592</f>
        <v>5</v>
      </c>
      <c r="S591" s="282">
        <f t="shared" si="23"/>
        <v>1</v>
      </c>
    </row>
    <row r="592" spans="1:19" ht="24.75" customHeight="1">
      <c r="A592" s="61"/>
      <c r="B592" s="60"/>
      <c r="C592" s="65"/>
      <c r="D592" s="63"/>
      <c r="E592" s="66"/>
      <c r="F592" s="66"/>
      <c r="G592" s="51"/>
      <c r="H592" s="9" t="s">
        <v>636</v>
      </c>
      <c r="I592" s="8">
        <v>663</v>
      </c>
      <c r="J592" s="14">
        <v>7</v>
      </c>
      <c r="K592" s="14">
        <v>9</v>
      </c>
      <c r="L592" s="57" t="s">
        <v>547</v>
      </c>
      <c r="M592" s="58" t="s">
        <v>519</v>
      </c>
      <c r="N592" s="58" t="s">
        <v>546</v>
      </c>
      <c r="O592" s="58" t="s">
        <v>268</v>
      </c>
      <c r="P592" s="8">
        <v>240</v>
      </c>
      <c r="Q592" s="150">
        <f>75-70</f>
        <v>5</v>
      </c>
      <c r="R592" s="150">
        <f>75-70</f>
        <v>5</v>
      </c>
      <c r="S592" s="282">
        <f t="shared" si="23"/>
        <v>1</v>
      </c>
    </row>
    <row r="593" spans="1:19" ht="28.5" customHeight="1" hidden="1">
      <c r="A593" s="61"/>
      <c r="B593" s="60"/>
      <c r="C593" s="65"/>
      <c r="D593" s="63"/>
      <c r="E593" s="66"/>
      <c r="F593" s="66"/>
      <c r="G593" s="51"/>
      <c r="H593" s="19" t="s">
        <v>594</v>
      </c>
      <c r="I593" s="8">
        <v>663</v>
      </c>
      <c r="J593" s="14">
        <v>7</v>
      </c>
      <c r="K593" s="14">
        <v>9</v>
      </c>
      <c r="L593" s="57" t="s">
        <v>547</v>
      </c>
      <c r="M593" s="58" t="s">
        <v>519</v>
      </c>
      <c r="N593" s="58" t="s">
        <v>544</v>
      </c>
      <c r="O593" s="58" t="s">
        <v>556</v>
      </c>
      <c r="P593" s="8"/>
      <c r="Q593" s="150">
        <f>Q594+Q596</f>
        <v>0</v>
      </c>
      <c r="R593" s="150">
        <f>R594+R596</f>
        <v>0</v>
      </c>
      <c r="S593" s="282" t="e">
        <f t="shared" si="23"/>
        <v>#DIV/0!</v>
      </c>
    </row>
    <row r="594" spans="1:19" ht="28.5" customHeight="1" hidden="1">
      <c r="A594" s="61"/>
      <c r="B594" s="60"/>
      <c r="C594" s="65"/>
      <c r="D594" s="63"/>
      <c r="E594" s="66"/>
      <c r="F594" s="66"/>
      <c r="G594" s="51"/>
      <c r="H594" s="19" t="s">
        <v>309</v>
      </c>
      <c r="I594" s="8">
        <v>663</v>
      </c>
      <c r="J594" s="14">
        <v>7</v>
      </c>
      <c r="K594" s="14">
        <v>9</v>
      </c>
      <c r="L594" s="57" t="s">
        <v>547</v>
      </c>
      <c r="M594" s="58" t="s">
        <v>519</v>
      </c>
      <c r="N594" s="58" t="s">
        <v>544</v>
      </c>
      <c r="O594" s="58" t="s">
        <v>584</v>
      </c>
      <c r="P594" s="8"/>
      <c r="Q594" s="150">
        <f>Q595</f>
        <v>0</v>
      </c>
      <c r="R594" s="150">
        <f>R595</f>
        <v>0</v>
      </c>
      <c r="S594" s="282" t="e">
        <f t="shared" si="23"/>
        <v>#DIV/0!</v>
      </c>
    </row>
    <row r="595" spans="1:19" ht="28.5" customHeight="1" hidden="1">
      <c r="A595" s="61"/>
      <c r="B595" s="60"/>
      <c r="C595" s="65"/>
      <c r="D595" s="63"/>
      <c r="E595" s="66"/>
      <c r="F595" s="66"/>
      <c r="G595" s="51"/>
      <c r="H595" s="19" t="s">
        <v>636</v>
      </c>
      <c r="I595" s="8">
        <v>663</v>
      </c>
      <c r="J595" s="14">
        <v>7</v>
      </c>
      <c r="K595" s="14">
        <v>9</v>
      </c>
      <c r="L595" s="57" t="s">
        <v>547</v>
      </c>
      <c r="M595" s="58" t="s">
        <v>519</v>
      </c>
      <c r="N595" s="58" t="s">
        <v>544</v>
      </c>
      <c r="O595" s="58" t="s">
        <v>584</v>
      </c>
      <c r="P595" s="8">
        <v>240</v>
      </c>
      <c r="Q595" s="150">
        <f>11.5+30-17.8-12.2-0.2-1.3-10</f>
        <v>0</v>
      </c>
      <c r="R595" s="150">
        <f>11.5+30-17.8-12.2-0.2-1.3-10</f>
        <v>0</v>
      </c>
      <c r="S595" s="282" t="e">
        <f t="shared" si="23"/>
        <v>#DIV/0!</v>
      </c>
    </row>
    <row r="596" spans="1:19" ht="41.25" customHeight="1" hidden="1">
      <c r="A596" s="61"/>
      <c r="B596" s="60"/>
      <c r="C596" s="65"/>
      <c r="D596" s="63"/>
      <c r="E596" s="66"/>
      <c r="F596" s="66"/>
      <c r="G596" s="51"/>
      <c r="H596" s="19" t="s">
        <v>460</v>
      </c>
      <c r="I596" s="8">
        <v>663</v>
      </c>
      <c r="J596" s="14">
        <v>7</v>
      </c>
      <c r="K596" s="14">
        <v>9</v>
      </c>
      <c r="L596" s="57" t="s">
        <v>547</v>
      </c>
      <c r="M596" s="58" t="s">
        <v>519</v>
      </c>
      <c r="N596" s="58" t="s">
        <v>544</v>
      </c>
      <c r="O596" s="58" t="s">
        <v>268</v>
      </c>
      <c r="P596" s="8"/>
      <c r="Q596" s="150">
        <f>Q597</f>
        <v>0</v>
      </c>
      <c r="R596" s="150">
        <f>R597</f>
        <v>0</v>
      </c>
      <c r="S596" s="282" t="e">
        <f t="shared" si="23"/>
        <v>#DIV/0!</v>
      </c>
    </row>
    <row r="597" spans="1:19" ht="30" customHeight="1" hidden="1">
      <c r="A597" s="61"/>
      <c r="B597" s="60"/>
      <c r="C597" s="65"/>
      <c r="D597" s="63"/>
      <c r="E597" s="66"/>
      <c r="F597" s="66"/>
      <c r="G597" s="51"/>
      <c r="H597" s="19" t="s">
        <v>636</v>
      </c>
      <c r="I597" s="8">
        <v>663</v>
      </c>
      <c r="J597" s="14">
        <v>7</v>
      </c>
      <c r="K597" s="14">
        <v>9</v>
      </c>
      <c r="L597" s="57" t="s">
        <v>547</v>
      </c>
      <c r="M597" s="58" t="s">
        <v>519</v>
      </c>
      <c r="N597" s="58" t="s">
        <v>544</v>
      </c>
      <c r="O597" s="58" t="s">
        <v>268</v>
      </c>
      <c r="P597" s="8">
        <v>240</v>
      </c>
      <c r="Q597" s="150">
        <f>30-30</f>
        <v>0</v>
      </c>
      <c r="R597" s="150">
        <f>30-30</f>
        <v>0</v>
      </c>
      <c r="S597" s="282" t="e">
        <f t="shared" si="23"/>
        <v>#DIV/0!</v>
      </c>
    </row>
    <row r="598" spans="1:19" ht="29.25" customHeight="1">
      <c r="A598" s="61"/>
      <c r="B598" s="60"/>
      <c r="C598" s="65"/>
      <c r="D598" s="63"/>
      <c r="E598" s="66"/>
      <c r="F598" s="66"/>
      <c r="G598" s="51"/>
      <c r="H598" s="19" t="s">
        <v>9</v>
      </c>
      <c r="I598" s="8">
        <v>663</v>
      </c>
      <c r="J598" s="14">
        <v>7</v>
      </c>
      <c r="K598" s="14">
        <v>9</v>
      </c>
      <c r="L598" s="57" t="s">
        <v>547</v>
      </c>
      <c r="M598" s="58" t="s">
        <v>519</v>
      </c>
      <c r="N598" s="58" t="s">
        <v>547</v>
      </c>
      <c r="O598" s="58" t="s">
        <v>556</v>
      </c>
      <c r="P598" s="8"/>
      <c r="Q598" s="150">
        <f>Q599+Q608+Q606+Q604</f>
        <v>4406.5</v>
      </c>
      <c r="R598" s="150">
        <f>R599+R608+R606+R604</f>
        <v>4305.8</v>
      </c>
      <c r="S598" s="282">
        <f t="shared" si="23"/>
        <v>0.9771473958924317</v>
      </c>
    </row>
    <row r="599" spans="1:19" ht="27" customHeight="1">
      <c r="A599" s="61"/>
      <c r="B599" s="60"/>
      <c r="C599" s="65"/>
      <c r="D599" s="63"/>
      <c r="E599" s="66"/>
      <c r="F599" s="66"/>
      <c r="G599" s="51"/>
      <c r="H599" s="19" t="s">
        <v>309</v>
      </c>
      <c r="I599" s="8">
        <v>663</v>
      </c>
      <c r="J599" s="14">
        <v>7</v>
      </c>
      <c r="K599" s="14">
        <v>9</v>
      </c>
      <c r="L599" s="57" t="s">
        <v>547</v>
      </c>
      <c r="M599" s="58" t="s">
        <v>519</v>
      </c>
      <c r="N599" s="58" t="s">
        <v>547</v>
      </c>
      <c r="O599" s="58" t="s">
        <v>584</v>
      </c>
      <c r="P599" s="8"/>
      <c r="Q599" s="150">
        <f>SUM(Q600:Q603)</f>
        <v>3095.5</v>
      </c>
      <c r="R599" s="150">
        <f>SUM(R600:R603)</f>
        <v>2994.8</v>
      </c>
      <c r="S599" s="282">
        <f t="shared" si="23"/>
        <v>0.9674689064771443</v>
      </c>
    </row>
    <row r="600" spans="1:19" ht="27" customHeight="1">
      <c r="A600" s="61"/>
      <c r="B600" s="60"/>
      <c r="C600" s="65"/>
      <c r="D600" s="63"/>
      <c r="E600" s="66"/>
      <c r="F600" s="66"/>
      <c r="G600" s="51"/>
      <c r="H600" s="19" t="s">
        <v>490</v>
      </c>
      <c r="I600" s="8">
        <v>663</v>
      </c>
      <c r="J600" s="14">
        <v>7</v>
      </c>
      <c r="K600" s="14">
        <v>9</v>
      </c>
      <c r="L600" s="57" t="s">
        <v>547</v>
      </c>
      <c r="M600" s="58" t="s">
        <v>519</v>
      </c>
      <c r="N600" s="58" t="s">
        <v>547</v>
      </c>
      <c r="O600" s="58" t="s">
        <v>584</v>
      </c>
      <c r="P600" s="8">
        <v>120</v>
      </c>
      <c r="Q600" s="150">
        <f>1916.7+1357.6-28.3+1.4-284-151.3</f>
        <v>2812.1</v>
      </c>
      <c r="R600" s="150">
        <v>2718.8</v>
      </c>
      <c r="S600" s="282">
        <f t="shared" si="23"/>
        <v>0.9668219480103838</v>
      </c>
    </row>
    <row r="601" spans="1:19" ht="26.25" customHeight="1">
      <c r="A601" s="61"/>
      <c r="B601" s="60"/>
      <c r="C601" s="65"/>
      <c r="D601" s="63"/>
      <c r="E601" s="66"/>
      <c r="F601" s="66"/>
      <c r="G601" s="51"/>
      <c r="H601" s="19" t="s">
        <v>636</v>
      </c>
      <c r="I601" s="8">
        <v>663</v>
      </c>
      <c r="J601" s="14">
        <v>7</v>
      </c>
      <c r="K601" s="14">
        <v>9</v>
      </c>
      <c r="L601" s="57" t="s">
        <v>547</v>
      </c>
      <c r="M601" s="58" t="s">
        <v>519</v>
      </c>
      <c r="N601" s="58" t="s">
        <v>547</v>
      </c>
      <c r="O601" s="58" t="s">
        <v>584</v>
      </c>
      <c r="P601" s="8">
        <v>240</v>
      </c>
      <c r="Q601" s="150">
        <f>469-344+90+25.7-9-1.4+25.8+1-0.8-1-1.3-0.7+0.8</f>
        <v>254.09999999999997</v>
      </c>
      <c r="R601" s="150">
        <v>247.5</v>
      </c>
      <c r="S601" s="282">
        <f t="shared" si="23"/>
        <v>0.9740259740259741</v>
      </c>
    </row>
    <row r="602" spans="1:19" ht="26.25" customHeight="1">
      <c r="A602" s="61"/>
      <c r="B602" s="60"/>
      <c r="C602" s="65"/>
      <c r="D602" s="63"/>
      <c r="E602" s="66"/>
      <c r="F602" s="66"/>
      <c r="G602" s="51"/>
      <c r="H602" s="19" t="s">
        <v>641</v>
      </c>
      <c r="I602" s="8">
        <v>663</v>
      </c>
      <c r="J602" s="14">
        <v>7</v>
      </c>
      <c r="K602" s="14">
        <v>9</v>
      </c>
      <c r="L602" s="57" t="s">
        <v>547</v>
      </c>
      <c r="M602" s="58" t="s">
        <v>519</v>
      </c>
      <c r="N602" s="58" t="s">
        <v>547</v>
      </c>
      <c r="O602" s="58" t="s">
        <v>584</v>
      </c>
      <c r="P602" s="8">
        <v>320</v>
      </c>
      <c r="Q602" s="150">
        <v>28.3</v>
      </c>
      <c r="R602" s="150">
        <v>28.3</v>
      </c>
      <c r="S602" s="282">
        <f t="shared" si="23"/>
        <v>1</v>
      </c>
    </row>
    <row r="603" spans="1:19" ht="26.25" customHeight="1">
      <c r="A603" s="61"/>
      <c r="B603" s="60"/>
      <c r="C603" s="65"/>
      <c r="D603" s="63"/>
      <c r="E603" s="66"/>
      <c r="F603" s="66"/>
      <c r="G603" s="51"/>
      <c r="H603" s="9" t="s">
        <v>637</v>
      </c>
      <c r="I603" s="8">
        <v>663</v>
      </c>
      <c r="J603" s="14">
        <v>7</v>
      </c>
      <c r="K603" s="14">
        <v>9</v>
      </c>
      <c r="L603" s="57" t="s">
        <v>547</v>
      </c>
      <c r="M603" s="58" t="s">
        <v>519</v>
      </c>
      <c r="N603" s="58" t="s">
        <v>547</v>
      </c>
      <c r="O603" s="58" t="s">
        <v>584</v>
      </c>
      <c r="P603" s="8">
        <v>850</v>
      </c>
      <c r="Q603" s="150">
        <v>1</v>
      </c>
      <c r="R603" s="150">
        <v>0.2</v>
      </c>
      <c r="S603" s="282">
        <f t="shared" si="23"/>
        <v>0.2</v>
      </c>
    </row>
    <row r="604" spans="1:19" ht="48" customHeight="1">
      <c r="A604" s="61"/>
      <c r="B604" s="60"/>
      <c r="C604" s="65"/>
      <c r="D604" s="63"/>
      <c r="E604" s="66"/>
      <c r="F604" s="66"/>
      <c r="G604" s="51"/>
      <c r="H604" s="70" t="s">
        <v>775</v>
      </c>
      <c r="I604" s="8">
        <v>663</v>
      </c>
      <c r="J604" s="14">
        <v>7</v>
      </c>
      <c r="K604" s="14">
        <v>9</v>
      </c>
      <c r="L604" s="57" t="s">
        <v>547</v>
      </c>
      <c r="M604" s="58" t="s">
        <v>519</v>
      </c>
      <c r="N604" s="58" t="s">
        <v>547</v>
      </c>
      <c r="O604" s="58" t="s">
        <v>774</v>
      </c>
      <c r="P604" s="8"/>
      <c r="Q604" s="150">
        <f>Q605</f>
        <v>35.9</v>
      </c>
      <c r="R604" s="150">
        <f>R605</f>
        <v>35.9</v>
      </c>
      <c r="S604" s="282">
        <f t="shared" si="23"/>
        <v>1</v>
      </c>
    </row>
    <row r="605" spans="1:19" ht="26.25" customHeight="1">
      <c r="A605" s="61"/>
      <c r="B605" s="60"/>
      <c r="C605" s="65"/>
      <c r="D605" s="63"/>
      <c r="E605" s="66"/>
      <c r="F605" s="66"/>
      <c r="G605" s="51"/>
      <c r="H605" s="9" t="s">
        <v>490</v>
      </c>
      <c r="I605" s="8">
        <v>663</v>
      </c>
      <c r="J605" s="14">
        <v>7</v>
      </c>
      <c r="K605" s="14">
        <v>9</v>
      </c>
      <c r="L605" s="57" t="s">
        <v>547</v>
      </c>
      <c r="M605" s="58" t="s">
        <v>519</v>
      </c>
      <c r="N605" s="58" t="s">
        <v>547</v>
      </c>
      <c r="O605" s="58" t="s">
        <v>774</v>
      </c>
      <c r="P605" s="8">
        <v>120</v>
      </c>
      <c r="Q605" s="150">
        <v>35.9</v>
      </c>
      <c r="R605" s="150">
        <v>35.9</v>
      </c>
      <c r="S605" s="282">
        <f t="shared" si="23"/>
        <v>1</v>
      </c>
    </row>
    <row r="606" spans="1:19" ht="40.5" customHeight="1">
      <c r="A606" s="61"/>
      <c r="B606" s="60"/>
      <c r="C606" s="65"/>
      <c r="D606" s="63"/>
      <c r="E606" s="66"/>
      <c r="F606" s="66"/>
      <c r="G606" s="51"/>
      <c r="H606" s="185" t="s">
        <v>50</v>
      </c>
      <c r="I606" s="8">
        <v>663</v>
      </c>
      <c r="J606" s="14">
        <v>7</v>
      </c>
      <c r="K606" s="14">
        <v>9</v>
      </c>
      <c r="L606" s="57" t="s">
        <v>547</v>
      </c>
      <c r="M606" s="58" t="s">
        <v>519</v>
      </c>
      <c r="N606" s="58" t="s">
        <v>547</v>
      </c>
      <c r="O606" s="58" t="s">
        <v>49</v>
      </c>
      <c r="P606" s="8"/>
      <c r="Q606" s="150">
        <f>Q607</f>
        <v>655.5</v>
      </c>
      <c r="R606" s="150">
        <f>R607</f>
        <v>655.5</v>
      </c>
      <c r="S606" s="282">
        <f t="shared" si="23"/>
        <v>1</v>
      </c>
    </row>
    <row r="607" spans="1:19" ht="26.25" customHeight="1">
      <c r="A607" s="61"/>
      <c r="B607" s="60"/>
      <c r="C607" s="65"/>
      <c r="D607" s="63"/>
      <c r="E607" s="66"/>
      <c r="F607" s="66"/>
      <c r="G607" s="51"/>
      <c r="H607" s="19" t="s">
        <v>490</v>
      </c>
      <c r="I607" s="8">
        <v>663</v>
      </c>
      <c r="J607" s="14">
        <v>7</v>
      </c>
      <c r="K607" s="14">
        <v>9</v>
      </c>
      <c r="L607" s="57" t="s">
        <v>547</v>
      </c>
      <c r="M607" s="58" t="s">
        <v>519</v>
      </c>
      <c r="N607" s="58" t="s">
        <v>547</v>
      </c>
      <c r="O607" s="58" t="s">
        <v>49</v>
      </c>
      <c r="P607" s="8">
        <v>120</v>
      </c>
      <c r="Q607" s="150">
        <f>326.2+329.3</f>
        <v>655.5</v>
      </c>
      <c r="R607" s="150">
        <f>326.2+329.3</f>
        <v>655.5</v>
      </c>
      <c r="S607" s="282">
        <f t="shared" si="23"/>
        <v>1</v>
      </c>
    </row>
    <row r="608" spans="1:19" ht="38.25" customHeight="1">
      <c r="A608" s="61"/>
      <c r="B608" s="60"/>
      <c r="C608" s="65"/>
      <c r="D608" s="63"/>
      <c r="E608" s="66"/>
      <c r="F608" s="66"/>
      <c r="G608" s="51"/>
      <c r="H608" s="185" t="s">
        <v>460</v>
      </c>
      <c r="I608" s="8">
        <v>663</v>
      </c>
      <c r="J608" s="14">
        <v>7</v>
      </c>
      <c r="K608" s="14">
        <v>9</v>
      </c>
      <c r="L608" s="57" t="s">
        <v>547</v>
      </c>
      <c r="M608" s="58" t="s">
        <v>519</v>
      </c>
      <c r="N608" s="58" t="s">
        <v>547</v>
      </c>
      <c r="O608" s="58" t="s">
        <v>268</v>
      </c>
      <c r="P608" s="8"/>
      <c r="Q608" s="150">
        <f>SUM(Q609:Q611)</f>
        <v>619.6000000000001</v>
      </c>
      <c r="R608" s="150">
        <f>SUM(R609:R611)</f>
        <v>619.6000000000001</v>
      </c>
      <c r="S608" s="282">
        <f t="shared" si="23"/>
        <v>1</v>
      </c>
    </row>
    <row r="609" spans="1:19" ht="27" customHeight="1">
      <c r="A609" s="61"/>
      <c r="B609" s="60"/>
      <c r="C609" s="65"/>
      <c r="D609" s="63"/>
      <c r="E609" s="66"/>
      <c r="F609" s="66"/>
      <c r="G609" s="51"/>
      <c r="H609" s="185" t="s">
        <v>639</v>
      </c>
      <c r="I609" s="8">
        <v>663</v>
      </c>
      <c r="J609" s="14">
        <v>7</v>
      </c>
      <c r="K609" s="14">
        <v>9</v>
      </c>
      <c r="L609" s="57" t="s">
        <v>547</v>
      </c>
      <c r="M609" s="58" t="s">
        <v>519</v>
      </c>
      <c r="N609" s="58" t="s">
        <v>547</v>
      </c>
      <c r="O609" s="58" t="s">
        <v>268</v>
      </c>
      <c r="P609" s="8">
        <v>110</v>
      </c>
      <c r="Q609" s="150">
        <f>1944.8-0.1-1357.6</f>
        <v>587.1000000000001</v>
      </c>
      <c r="R609" s="150">
        <f>1944.8-0.1-1357.6</f>
        <v>587.1000000000001</v>
      </c>
      <c r="S609" s="282">
        <f t="shared" si="23"/>
        <v>1</v>
      </c>
    </row>
    <row r="610" spans="1:19" ht="22.5" customHeight="1">
      <c r="A610" s="61"/>
      <c r="B610" s="60"/>
      <c r="C610" s="65"/>
      <c r="D610" s="63"/>
      <c r="E610" s="66"/>
      <c r="F610" s="66"/>
      <c r="G610" s="51"/>
      <c r="H610" s="185" t="s">
        <v>636</v>
      </c>
      <c r="I610" s="8">
        <v>663</v>
      </c>
      <c r="J610" s="14">
        <v>7</v>
      </c>
      <c r="K610" s="14">
        <v>9</v>
      </c>
      <c r="L610" s="57" t="s">
        <v>547</v>
      </c>
      <c r="M610" s="58" t="s">
        <v>519</v>
      </c>
      <c r="N610" s="58" t="s">
        <v>547</v>
      </c>
      <c r="O610" s="58" t="s">
        <v>268</v>
      </c>
      <c r="P610" s="8">
        <v>240</v>
      </c>
      <c r="Q610" s="150">
        <f>59.1-0.2-26.7</f>
        <v>32.2</v>
      </c>
      <c r="R610" s="150">
        <f>59.1-0.2-26.7</f>
        <v>32.2</v>
      </c>
      <c r="S610" s="282">
        <f t="shared" si="23"/>
        <v>1</v>
      </c>
    </row>
    <row r="611" spans="1:19" ht="22.5" customHeight="1">
      <c r="A611" s="61"/>
      <c r="B611" s="60"/>
      <c r="C611" s="65"/>
      <c r="D611" s="63"/>
      <c r="E611" s="66"/>
      <c r="F611" s="66"/>
      <c r="G611" s="51"/>
      <c r="H611" s="9" t="s">
        <v>637</v>
      </c>
      <c r="I611" s="8">
        <v>663</v>
      </c>
      <c r="J611" s="14">
        <v>7</v>
      </c>
      <c r="K611" s="14">
        <v>9</v>
      </c>
      <c r="L611" s="57" t="s">
        <v>547</v>
      </c>
      <c r="M611" s="58" t="s">
        <v>519</v>
      </c>
      <c r="N611" s="58" t="s">
        <v>547</v>
      </c>
      <c r="O611" s="58" t="s">
        <v>268</v>
      </c>
      <c r="P611" s="8">
        <v>850</v>
      </c>
      <c r="Q611" s="150">
        <f>0.1+0.2</f>
        <v>0.30000000000000004</v>
      </c>
      <c r="R611" s="150">
        <f>0.1+0.2</f>
        <v>0.30000000000000004</v>
      </c>
      <c r="S611" s="282">
        <f t="shared" si="23"/>
        <v>1</v>
      </c>
    </row>
    <row r="612" spans="1:19" ht="39" customHeight="1">
      <c r="A612" s="61"/>
      <c r="B612" s="60"/>
      <c r="C612" s="59"/>
      <c r="D612" s="63"/>
      <c r="E612" s="77"/>
      <c r="F612" s="77"/>
      <c r="G612" s="51"/>
      <c r="H612" s="79" t="s">
        <v>257</v>
      </c>
      <c r="I612" s="4">
        <v>663</v>
      </c>
      <c r="J612" s="16">
        <v>7</v>
      </c>
      <c r="K612" s="14">
        <v>9</v>
      </c>
      <c r="L612" s="57" t="s">
        <v>515</v>
      </c>
      <c r="M612" s="58" t="s">
        <v>519</v>
      </c>
      <c r="N612" s="58" t="s">
        <v>539</v>
      </c>
      <c r="O612" s="58" t="s">
        <v>556</v>
      </c>
      <c r="P612" s="4"/>
      <c r="Q612" s="151">
        <f>Q613+Q616</f>
        <v>30</v>
      </c>
      <c r="R612" s="151">
        <f>R613+R616</f>
        <v>30</v>
      </c>
      <c r="S612" s="282">
        <f t="shared" si="23"/>
        <v>1</v>
      </c>
    </row>
    <row r="613" spans="1:19" ht="41.25" customHeight="1">
      <c r="A613" s="61"/>
      <c r="B613" s="60"/>
      <c r="C613" s="59"/>
      <c r="D613" s="63"/>
      <c r="E613" s="77"/>
      <c r="F613" s="77"/>
      <c r="G613" s="51"/>
      <c r="H613" s="3" t="s">
        <v>258</v>
      </c>
      <c r="I613" s="4">
        <v>663</v>
      </c>
      <c r="J613" s="16">
        <v>7</v>
      </c>
      <c r="K613" s="14">
        <v>9</v>
      </c>
      <c r="L613" s="57" t="s">
        <v>515</v>
      </c>
      <c r="M613" s="58" t="s">
        <v>519</v>
      </c>
      <c r="N613" s="58" t="s">
        <v>520</v>
      </c>
      <c r="O613" s="58" t="s">
        <v>556</v>
      </c>
      <c r="P613" s="4"/>
      <c r="Q613" s="151">
        <f aca="true" t="shared" si="24" ref="Q613:R617">Q614</f>
        <v>20</v>
      </c>
      <c r="R613" s="151">
        <f t="shared" si="24"/>
        <v>20</v>
      </c>
      <c r="S613" s="282">
        <f t="shared" si="23"/>
        <v>1</v>
      </c>
    </row>
    <row r="614" spans="1:19" ht="30.75" customHeight="1">
      <c r="A614" s="61"/>
      <c r="B614" s="60"/>
      <c r="C614" s="59"/>
      <c r="D614" s="63"/>
      <c r="E614" s="77"/>
      <c r="F614" s="77"/>
      <c r="G614" s="51"/>
      <c r="H614" s="3" t="s">
        <v>260</v>
      </c>
      <c r="I614" s="4">
        <v>663</v>
      </c>
      <c r="J614" s="16">
        <v>7</v>
      </c>
      <c r="K614" s="14">
        <v>9</v>
      </c>
      <c r="L614" s="57" t="s">
        <v>515</v>
      </c>
      <c r="M614" s="58" t="s">
        <v>519</v>
      </c>
      <c r="N614" s="58" t="s">
        <v>520</v>
      </c>
      <c r="O614" s="58" t="s">
        <v>259</v>
      </c>
      <c r="P614" s="4"/>
      <c r="Q614" s="151">
        <f t="shared" si="24"/>
        <v>20</v>
      </c>
      <c r="R614" s="151">
        <f t="shared" si="24"/>
        <v>20</v>
      </c>
      <c r="S614" s="282">
        <f t="shared" si="23"/>
        <v>1</v>
      </c>
    </row>
    <row r="615" spans="1:19" ht="29.25" customHeight="1">
      <c r="A615" s="61"/>
      <c r="B615" s="60"/>
      <c r="C615" s="59"/>
      <c r="D615" s="63"/>
      <c r="E615" s="77"/>
      <c r="F615" s="77"/>
      <c r="G615" s="51"/>
      <c r="H615" s="185" t="s">
        <v>636</v>
      </c>
      <c r="I615" s="4">
        <v>663</v>
      </c>
      <c r="J615" s="16">
        <v>7</v>
      </c>
      <c r="K615" s="14">
        <v>9</v>
      </c>
      <c r="L615" s="57" t="s">
        <v>515</v>
      </c>
      <c r="M615" s="58" t="s">
        <v>519</v>
      </c>
      <c r="N615" s="58" t="s">
        <v>520</v>
      </c>
      <c r="O615" s="58" t="s">
        <v>259</v>
      </c>
      <c r="P615" s="4">
        <v>240</v>
      </c>
      <c r="Q615" s="151">
        <v>20</v>
      </c>
      <c r="R615" s="151">
        <v>20</v>
      </c>
      <c r="S615" s="282">
        <f t="shared" si="23"/>
        <v>1</v>
      </c>
    </row>
    <row r="616" spans="1:19" ht="36.75" customHeight="1">
      <c r="A616" s="61"/>
      <c r="B616" s="60"/>
      <c r="C616" s="59"/>
      <c r="D616" s="63"/>
      <c r="E616" s="77"/>
      <c r="F616" s="77"/>
      <c r="G616" s="51"/>
      <c r="H616" s="3" t="s">
        <v>89</v>
      </c>
      <c r="I616" s="4">
        <v>663</v>
      </c>
      <c r="J616" s="16">
        <v>7</v>
      </c>
      <c r="K616" s="14">
        <v>9</v>
      </c>
      <c r="L616" s="57" t="s">
        <v>515</v>
      </c>
      <c r="M616" s="58" t="s">
        <v>519</v>
      </c>
      <c r="N616" s="58" t="s">
        <v>545</v>
      </c>
      <c r="O616" s="58" t="s">
        <v>556</v>
      </c>
      <c r="P616" s="4"/>
      <c r="Q616" s="151">
        <f t="shared" si="24"/>
        <v>10</v>
      </c>
      <c r="R616" s="151">
        <f t="shared" si="24"/>
        <v>10</v>
      </c>
      <c r="S616" s="282">
        <f t="shared" si="23"/>
        <v>1</v>
      </c>
    </row>
    <row r="617" spans="1:19" ht="30.75" customHeight="1">
      <c r="A617" s="61"/>
      <c r="B617" s="60"/>
      <c r="C617" s="59"/>
      <c r="D617" s="63"/>
      <c r="E617" s="77"/>
      <c r="F617" s="77"/>
      <c r="G617" s="51"/>
      <c r="H617" s="3" t="s">
        <v>260</v>
      </c>
      <c r="I617" s="4">
        <v>663</v>
      </c>
      <c r="J617" s="16">
        <v>7</v>
      </c>
      <c r="K617" s="14">
        <v>9</v>
      </c>
      <c r="L617" s="57" t="s">
        <v>515</v>
      </c>
      <c r="M617" s="58" t="s">
        <v>519</v>
      </c>
      <c r="N617" s="58" t="s">
        <v>545</v>
      </c>
      <c r="O617" s="58" t="s">
        <v>259</v>
      </c>
      <c r="P617" s="4"/>
      <c r="Q617" s="151">
        <f t="shared" si="24"/>
        <v>10</v>
      </c>
      <c r="R617" s="151">
        <f t="shared" si="24"/>
        <v>10</v>
      </c>
      <c r="S617" s="282">
        <f t="shared" si="23"/>
        <v>1</v>
      </c>
    </row>
    <row r="618" spans="1:19" ht="29.25" customHeight="1">
      <c r="A618" s="61"/>
      <c r="B618" s="60"/>
      <c r="C618" s="59"/>
      <c r="D618" s="63"/>
      <c r="E618" s="77"/>
      <c r="F618" s="77"/>
      <c r="G618" s="51"/>
      <c r="H618" s="185" t="s">
        <v>636</v>
      </c>
      <c r="I618" s="4">
        <v>663</v>
      </c>
      <c r="J618" s="16">
        <v>7</v>
      </c>
      <c r="K618" s="14">
        <v>9</v>
      </c>
      <c r="L618" s="57" t="s">
        <v>515</v>
      </c>
      <c r="M618" s="58" t="s">
        <v>519</v>
      </c>
      <c r="N618" s="58" t="s">
        <v>545</v>
      </c>
      <c r="O618" s="58" t="s">
        <v>259</v>
      </c>
      <c r="P618" s="4">
        <v>240</v>
      </c>
      <c r="Q618" s="151">
        <v>10</v>
      </c>
      <c r="R618" s="151">
        <v>10</v>
      </c>
      <c r="S618" s="282">
        <f t="shared" si="23"/>
        <v>1</v>
      </c>
    </row>
    <row r="619" spans="1:19" ht="30.75" customHeight="1">
      <c r="A619" s="61"/>
      <c r="B619" s="60"/>
      <c r="C619" s="65"/>
      <c r="D619" s="63"/>
      <c r="E619" s="66"/>
      <c r="F619" s="66"/>
      <c r="G619" s="51"/>
      <c r="H619" s="3" t="s">
        <v>437</v>
      </c>
      <c r="I619" s="8">
        <v>663</v>
      </c>
      <c r="J619" s="14">
        <v>7</v>
      </c>
      <c r="K619" s="14">
        <v>9</v>
      </c>
      <c r="L619" s="57" t="s">
        <v>549</v>
      </c>
      <c r="M619" s="58" t="s">
        <v>519</v>
      </c>
      <c r="N619" s="58" t="s">
        <v>539</v>
      </c>
      <c r="O619" s="58" t="s">
        <v>556</v>
      </c>
      <c r="P619" s="8"/>
      <c r="Q619" s="150">
        <f aca="true" t="shared" si="25" ref="Q619:R622">Q620</f>
        <v>15</v>
      </c>
      <c r="R619" s="150">
        <f t="shared" si="25"/>
        <v>15</v>
      </c>
      <c r="S619" s="282">
        <f t="shared" si="23"/>
        <v>1</v>
      </c>
    </row>
    <row r="620" spans="1:19" ht="22.5" customHeight="1">
      <c r="A620" s="61"/>
      <c r="B620" s="60"/>
      <c r="C620" s="65"/>
      <c r="D620" s="63"/>
      <c r="E620" s="66"/>
      <c r="F620" s="66"/>
      <c r="G620" s="51"/>
      <c r="H620" s="3" t="s">
        <v>147</v>
      </c>
      <c r="I620" s="8">
        <v>663</v>
      </c>
      <c r="J620" s="14">
        <v>7</v>
      </c>
      <c r="K620" s="14">
        <v>9</v>
      </c>
      <c r="L620" s="57" t="s">
        <v>549</v>
      </c>
      <c r="M620" s="58" t="s">
        <v>521</v>
      </c>
      <c r="N620" s="58" t="s">
        <v>539</v>
      </c>
      <c r="O620" s="58" t="s">
        <v>556</v>
      </c>
      <c r="P620" s="8"/>
      <c r="Q620" s="150">
        <f t="shared" si="25"/>
        <v>15</v>
      </c>
      <c r="R620" s="150">
        <f t="shared" si="25"/>
        <v>15</v>
      </c>
      <c r="S620" s="282">
        <f t="shared" si="23"/>
        <v>1</v>
      </c>
    </row>
    <row r="621" spans="1:19" ht="30.75" customHeight="1">
      <c r="A621" s="61"/>
      <c r="B621" s="60"/>
      <c r="C621" s="65"/>
      <c r="D621" s="63"/>
      <c r="E621" s="66"/>
      <c r="F621" s="66"/>
      <c r="G621" s="51"/>
      <c r="H621" s="3" t="s">
        <v>148</v>
      </c>
      <c r="I621" s="8">
        <v>663</v>
      </c>
      <c r="J621" s="14">
        <v>7</v>
      </c>
      <c r="K621" s="14">
        <v>9</v>
      </c>
      <c r="L621" s="57" t="s">
        <v>549</v>
      </c>
      <c r="M621" s="58" t="s">
        <v>521</v>
      </c>
      <c r="N621" s="58" t="s">
        <v>545</v>
      </c>
      <c r="O621" s="58" t="s">
        <v>556</v>
      </c>
      <c r="P621" s="8"/>
      <c r="Q621" s="150">
        <f t="shared" si="25"/>
        <v>15</v>
      </c>
      <c r="R621" s="150">
        <f t="shared" si="25"/>
        <v>15</v>
      </c>
      <c r="S621" s="282">
        <f t="shared" si="23"/>
        <v>1</v>
      </c>
    </row>
    <row r="622" spans="1:19" ht="22.5" customHeight="1">
      <c r="A622" s="61"/>
      <c r="B622" s="60"/>
      <c r="C622" s="65"/>
      <c r="D622" s="63"/>
      <c r="E622" s="66"/>
      <c r="F622" s="66"/>
      <c r="G622" s="51"/>
      <c r="H622" s="3" t="s">
        <v>260</v>
      </c>
      <c r="I622" s="8">
        <v>663</v>
      </c>
      <c r="J622" s="14">
        <v>7</v>
      </c>
      <c r="K622" s="14">
        <v>9</v>
      </c>
      <c r="L622" s="57" t="s">
        <v>549</v>
      </c>
      <c r="M622" s="58" t="s">
        <v>521</v>
      </c>
      <c r="N622" s="58" t="s">
        <v>545</v>
      </c>
      <c r="O622" s="58" t="s">
        <v>259</v>
      </c>
      <c r="P622" s="8"/>
      <c r="Q622" s="150">
        <f t="shared" si="25"/>
        <v>15</v>
      </c>
      <c r="R622" s="150">
        <f t="shared" si="25"/>
        <v>15</v>
      </c>
      <c r="S622" s="282">
        <f t="shared" si="23"/>
        <v>1</v>
      </c>
    </row>
    <row r="623" spans="1:19" ht="22.5" customHeight="1">
      <c r="A623" s="61"/>
      <c r="B623" s="60"/>
      <c r="C623" s="65"/>
      <c r="D623" s="63"/>
      <c r="E623" s="66"/>
      <c r="F623" s="66"/>
      <c r="G623" s="51"/>
      <c r="H623" s="185" t="s">
        <v>636</v>
      </c>
      <c r="I623" s="8">
        <v>663</v>
      </c>
      <c r="J623" s="14">
        <v>7</v>
      </c>
      <c r="K623" s="14">
        <v>9</v>
      </c>
      <c r="L623" s="57" t="s">
        <v>549</v>
      </c>
      <c r="M623" s="58" t="s">
        <v>521</v>
      </c>
      <c r="N623" s="58" t="s">
        <v>545</v>
      </c>
      <c r="O623" s="58" t="s">
        <v>259</v>
      </c>
      <c r="P623" s="8">
        <v>240</v>
      </c>
      <c r="Q623" s="150">
        <v>15</v>
      </c>
      <c r="R623" s="150">
        <v>15</v>
      </c>
      <c r="S623" s="282">
        <f t="shared" si="23"/>
        <v>1</v>
      </c>
    </row>
    <row r="624" spans="1:19" ht="39.75" customHeight="1">
      <c r="A624" s="61"/>
      <c r="B624" s="60"/>
      <c r="C624" s="65"/>
      <c r="D624" s="63"/>
      <c r="E624" s="66"/>
      <c r="F624" s="66"/>
      <c r="G624" s="51"/>
      <c r="H624" s="3" t="s">
        <v>621</v>
      </c>
      <c r="I624" s="8">
        <v>663</v>
      </c>
      <c r="J624" s="14">
        <v>7</v>
      </c>
      <c r="K624" s="14">
        <v>9</v>
      </c>
      <c r="L624" s="57" t="s">
        <v>622</v>
      </c>
      <c r="M624" s="58" t="s">
        <v>519</v>
      </c>
      <c r="N624" s="58" t="s">
        <v>539</v>
      </c>
      <c r="O624" s="58" t="s">
        <v>556</v>
      </c>
      <c r="P624" s="8"/>
      <c r="Q624" s="150">
        <f>Q625+Q628+Q632</f>
        <v>70.4</v>
      </c>
      <c r="R624" s="150">
        <f>R625+R628+R632</f>
        <v>70.4</v>
      </c>
      <c r="S624" s="282">
        <f t="shared" si="23"/>
        <v>1</v>
      </c>
    </row>
    <row r="625" spans="1:19" ht="33.75" customHeight="1" hidden="1">
      <c r="A625" s="61"/>
      <c r="B625" s="60"/>
      <c r="C625" s="65"/>
      <c r="D625" s="63"/>
      <c r="E625" s="66"/>
      <c r="F625" s="66"/>
      <c r="G625" s="51"/>
      <c r="H625" s="3" t="s">
        <v>296</v>
      </c>
      <c r="I625" s="8">
        <v>663</v>
      </c>
      <c r="J625" s="14">
        <v>7</v>
      </c>
      <c r="K625" s="14">
        <v>9</v>
      </c>
      <c r="L625" s="57" t="s">
        <v>622</v>
      </c>
      <c r="M625" s="58" t="s">
        <v>519</v>
      </c>
      <c r="N625" s="58" t="s">
        <v>520</v>
      </c>
      <c r="O625" s="58" t="s">
        <v>556</v>
      </c>
      <c r="P625" s="8"/>
      <c r="Q625" s="150">
        <f>Q626</f>
        <v>0</v>
      </c>
      <c r="R625" s="150">
        <f>R626</f>
        <v>0</v>
      </c>
      <c r="S625" s="282" t="e">
        <f t="shared" si="23"/>
        <v>#DIV/0!</v>
      </c>
    </row>
    <row r="626" spans="1:19" ht="42" customHeight="1" hidden="1">
      <c r="A626" s="61"/>
      <c r="B626" s="60"/>
      <c r="C626" s="65"/>
      <c r="D626" s="63"/>
      <c r="E626" s="66"/>
      <c r="F626" s="66"/>
      <c r="G626" s="51"/>
      <c r="H626" s="3" t="s">
        <v>295</v>
      </c>
      <c r="I626" s="8">
        <v>663</v>
      </c>
      <c r="J626" s="14">
        <v>7</v>
      </c>
      <c r="K626" s="14">
        <v>9</v>
      </c>
      <c r="L626" s="57" t="s">
        <v>622</v>
      </c>
      <c r="M626" s="58" t="s">
        <v>519</v>
      </c>
      <c r="N626" s="58" t="s">
        <v>520</v>
      </c>
      <c r="O626" s="58" t="s">
        <v>268</v>
      </c>
      <c r="P626" s="8"/>
      <c r="Q626" s="150">
        <f>Q627</f>
        <v>0</v>
      </c>
      <c r="R626" s="150">
        <f>R627</f>
        <v>0</v>
      </c>
      <c r="S626" s="282" t="e">
        <f t="shared" si="23"/>
        <v>#DIV/0!</v>
      </c>
    </row>
    <row r="627" spans="1:19" ht="28.5" customHeight="1" hidden="1">
      <c r="A627" s="61"/>
      <c r="B627" s="60"/>
      <c r="C627" s="65"/>
      <c r="D627" s="63"/>
      <c r="E627" s="66"/>
      <c r="F627" s="66"/>
      <c r="G627" s="51"/>
      <c r="H627" s="3" t="s">
        <v>636</v>
      </c>
      <c r="I627" s="8">
        <v>663</v>
      </c>
      <c r="J627" s="14">
        <v>7</v>
      </c>
      <c r="K627" s="14">
        <v>9</v>
      </c>
      <c r="L627" s="57" t="s">
        <v>622</v>
      </c>
      <c r="M627" s="58" t="s">
        <v>519</v>
      </c>
      <c r="N627" s="58" t="s">
        <v>520</v>
      </c>
      <c r="O627" s="58" t="s">
        <v>268</v>
      </c>
      <c r="P627" s="8">
        <v>240</v>
      </c>
      <c r="Q627" s="150">
        <f>10-10</f>
        <v>0</v>
      </c>
      <c r="R627" s="150">
        <f>10-10</f>
        <v>0</v>
      </c>
      <c r="S627" s="282" t="e">
        <f t="shared" si="23"/>
        <v>#DIV/0!</v>
      </c>
    </row>
    <row r="628" spans="1:19" ht="37.5" customHeight="1" hidden="1">
      <c r="A628" s="61"/>
      <c r="B628" s="60"/>
      <c r="C628" s="65"/>
      <c r="D628" s="63"/>
      <c r="E628" s="66"/>
      <c r="F628" s="66"/>
      <c r="G628" s="51"/>
      <c r="H628" s="3" t="s">
        <v>620</v>
      </c>
      <c r="I628" s="8">
        <v>663</v>
      </c>
      <c r="J628" s="14">
        <v>7</v>
      </c>
      <c r="K628" s="14">
        <v>9</v>
      </c>
      <c r="L628" s="57" t="s">
        <v>622</v>
      </c>
      <c r="M628" s="58" t="s">
        <v>519</v>
      </c>
      <c r="N628" s="58" t="s">
        <v>544</v>
      </c>
      <c r="O628" s="58" t="s">
        <v>556</v>
      </c>
      <c r="P628" s="8"/>
      <c r="Q628" s="150">
        <f>Q629</f>
        <v>0</v>
      </c>
      <c r="R628" s="150">
        <f>R629</f>
        <v>0</v>
      </c>
      <c r="S628" s="282" t="e">
        <f t="shared" si="23"/>
        <v>#DIV/0!</v>
      </c>
    </row>
    <row r="629" spans="1:19" ht="37.5" customHeight="1" hidden="1">
      <c r="A629" s="61"/>
      <c r="B629" s="60"/>
      <c r="C629" s="65"/>
      <c r="D629" s="63"/>
      <c r="E629" s="66"/>
      <c r="F629" s="66"/>
      <c r="G629" s="51"/>
      <c r="H629" s="3" t="s">
        <v>295</v>
      </c>
      <c r="I629" s="8">
        <v>663</v>
      </c>
      <c r="J629" s="14">
        <v>7</v>
      </c>
      <c r="K629" s="14">
        <v>9</v>
      </c>
      <c r="L629" s="57" t="s">
        <v>622</v>
      </c>
      <c r="M629" s="58" t="s">
        <v>519</v>
      </c>
      <c r="N629" s="58" t="s">
        <v>544</v>
      </c>
      <c r="O629" s="58" t="s">
        <v>268</v>
      </c>
      <c r="P629" s="8"/>
      <c r="Q629" s="150">
        <f>SUM(Q630:Q631)</f>
        <v>0</v>
      </c>
      <c r="R629" s="150">
        <f>SUM(R630:R631)</f>
        <v>0</v>
      </c>
      <c r="S629" s="282" t="e">
        <f t="shared" si="23"/>
        <v>#DIV/0!</v>
      </c>
    </row>
    <row r="630" spans="1:19" ht="30" customHeight="1" hidden="1">
      <c r="A630" s="61"/>
      <c r="B630" s="60"/>
      <c r="C630" s="65"/>
      <c r="D630" s="63"/>
      <c r="E630" s="66"/>
      <c r="F630" s="66"/>
      <c r="G630" s="51"/>
      <c r="H630" s="3" t="s">
        <v>636</v>
      </c>
      <c r="I630" s="8">
        <v>663</v>
      </c>
      <c r="J630" s="14">
        <v>7</v>
      </c>
      <c r="K630" s="14">
        <v>9</v>
      </c>
      <c r="L630" s="57" t="s">
        <v>622</v>
      </c>
      <c r="M630" s="58" t="s">
        <v>519</v>
      </c>
      <c r="N630" s="58" t="s">
        <v>544</v>
      </c>
      <c r="O630" s="58" t="s">
        <v>268</v>
      </c>
      <c r="P630" s="8">
        <v>240</v>
      </c>
      <c r="Q630" s="150">
        <f>7-7</f>
        <v>0</v>
      </c>
      <c r="R630" s="150">
        <f>7-7</f>
        <v>0</v>
      </c>
      <c r="S630" s="282" t="e">
        <f t="shared" si="23"/>
        <v>#DIV/0!</v>
      </c>
    </row>
    <row r="631" spans="1:19" ht="27" customHeight="1" hidden="1">
      <c r="A631" s="61"/>
      <c r="B631" s="60"/>
      <c r="C631" s="65"/>
      <c r="D631" s="63"/>
      <c r="E631" s="66"/>
      <c r="F631" s="66"/>
      <c r="G631" s="51"/>
      <c r="H631" s="3" t="s">
        <v>641</v>
      </c>
      <c r="I631" s="8">
        <v>663</v>
      </c>
      <c r="J631" s="14">
        <v>7</v>
      </c>
      <c r="K631" s="14">
        <v>9</v>
      </c>
      <c r="L631" s="57" t="s">
        <v>622</v>
      </c>
      <c r="M631" s="58" t="s">
        <v>519</v>
      </c>
      <c r="N631" s="58" t="s">
        <v>544</v>
      </c>
      <c r="O631" s="58" t="s">
        <v>268</v>
      </c>
      <c r="P631" s="8">
        <v>320</v>
      </c>
      <c r="Q631" s="150">
        <f>70-15.5-28.9-10.8-14.8</f>
        <v>0</v>
      </c>
      <c r="R631" s="150">
        <f>70-15.5-28.9-10.8-14.8</f>
        <v>0</v>
      </c>
      <c r="S631" s="282" t="e">
        <f t="shared" si="23"/>
        <v>#DIV/0!</v>
      </c>
    </row>
    <row r="632" spans="1:19" ht="30" customHeight="1">
      <c r="A632" s="61"/>
      <c r="B632" s="60"/>
      <c r="C632" s="65"/>
      <c r="D632" s="63"/>
      <c r="E632" s="66"/>
      <c r="F632" s="66"/>
      <c r="G632" s="51"/>
      <c r="H632" s="3" t="s">
        <v>221</v>
      </c>
      <c r="I632" s="8">
        <v>663</v>
      </c>
      <c r="J632" s="14">
        <v>7</v>
      </c>
      <c r="K632" s="14">
        <v>9</v>
      </c>
      <c r="L632" s="57" t="s">
        <v>622</v>
      </c>
      <c r="M632" s="58" t="s">
        <v>519</v>
      </c>
      <c r="N632" s="58" t="s">
        <v>522</v>
      </c>
      <c r="O632" s="58" t="s">
        <v>556</v>
      </c>
      <c r="P632" s="8"/>
      <c r="Q632" s="150">
        <f>Q633</f>
        <v>70.4</v>
      </c>
      <c r="R632" s="150">
        <f>R633</f>
        <v>70.4</v>
      </c>
      <c r="S632" s="282">
        <f t="shared" si="23"/>
        <v>1</v>
      </c>
    </row>
    <row r="633" spans="1:19" ht="33" customHeight="1">
      <c r="A633" s="61"/>
      <c r="B633" s="60"/>
      <c r="C633" s="65"/>
      <c r="D633" s="63"/>
      <c r="E633" s="66"/>
      <c r="F633" s="66"/>
      <c r="G633" s="51"/>
      <c r="H633" s="3" t="s">
        <v>295</v>
      </c>
      <c r="I633" s="8">
        <v>663</v>
      </c>
      <c r="J633" s="14">
        <v>7</v>
      </c>
      <c r="K633" s="14">
        <v>9</v>
      </c>
      <c r="L633" s="57" t="s">
        <v>622</v>
      </c>
      <c r="M633" s="58" t="s">
        <v>519</v>
      </c>
      <c r="N633" s="58" t="s">
        <v>522</v>
      </c>
      <c r="O633" s="58" t="s">
        <v>268</v>
      </c>
      <c r="P633" s="8"/>
      <c r="Q633" s="150">
        <f>Q634</f>
        <v>70.4</v>
      </c>
      <c r="R633" s="150">
        <f>R634</f>
        <v>70.4</v>
      </c>
      <c r="S633" s="282">
        <f t="shared" si="23"/>
        <v>1</v>
      </c>
    </row>
    <row r="634" spans="1:19" ht="30" customHeight="1">
      <c r="A634" s="61"/>
      <c r="B634" s="60"/>
      <c r="C634" s="65"/>
      <c r="D634" s="63"/>
      <c r="E634" s="66"/>
      <c r="F634" s="66"/>
      <c r="G634" s="51"/>
      <c r="H634" s="3" t="s">
        <v>641</v>
      </c>
      <c r="I634" s="8">
        <v>663</v>
      </c>
      <c r="J634" s="14">
        <v>7</v>
      </c>
      <c r="K634" s="14">
        <v>9</v>
      </c>
      <c r="L634" s="57" t="s">
        <v>622</v>
      </c>
      <c r="M634" s="58" t="s">
        <v>519</v>
      </c>
      <c r="N634" s="58" t="s">
        <v>522</v>
      </c>
      <c r="O634" s="58" t="s">
        <v>268</v>
      </c>
      <c r="P634" s="8">
        <v>320</v>
      </c>
      <c r="Q634" s="150">
        <f>75-36-13+15.5+28.9</f>
        <v>70.4</v>
      </c>
      <c r="R634" s="150">
        <f>75-36-13+15.5+28.9</f>
        <v>70.4</v>
      </c>
      <c r="S634" s="282">
        <f t="shared" si="23"/>
        <v>1</v>
      </c>
    </row>
    <row r="635" spans="1:19" ht="23.25" customHeight="1" hidden="1">
      <c r="A635" s="61"/>
      <c r="B635" s="60"/>
      <c r="C635" s="65"/>
      <c r="D635" s="63"/>
      <c r="E635" s="66"/>
      <c r="F635" s="66"/>
      <c r="G635" s="51"/>
      <c r="H635" s="19" t="s">
        <v>267</v>
      </c>
      <c r="I635" s="8">
        <v>663</v>
      </c>
      <c r="J635" s="14">
        <v>7</v>
      </c>
      <c r="K635" s="14">
        <v>9</v>
      </c>
      <c r="L635" s="57" t="s">
        <v>536</v>
      </c>
      <c r="M635" s="58" t="s">
        <v>519</v>
      </c>
      <c r="N635" s="58" t="s">
        <v>539</v>
      </c>
      <c r="O635" s="58" t="s">
        <v>556</v>
      </c>
      <c r="P635" s="8"/>
      <c r="Q635" s="150">
        <f>Q636+Q639+Q642+Q645+Q647</f>
        <v>0</v>
      </c>
      <c r="R635" s="150">
        <f>R636+R639+R642+R645+R647</f>
        <v>0</v>
      </c>
      <c r="S635" s="282" t="e">
        <f t="shared" si="23"/>
        <v>#DIV/0!</v>
      </c>
    </row>
    <row r="636" spans="1:19" ht="24" customHeight="1" hidden="1">
      <c r="A636" s="61"/>
      <c r="B636" s="60"/>
      <c r="C636" s="65"/>
      <c r="D636" s="63"/>
      <c r="E636" s="66"/>
      <c r="F636" s="66"/>
      <c r="G636" s="51"/>
      <c r="H636" s="19" t="s">
        <v>490</v>
      </c>
      <c r="I636" s="8">
        <v>663</v>
      </c>
      <c r="J636" s="14">
        <v>7</v>
      </c>
      <c r="K636" s="14">
        <v>9</v>
      </c>
      <c r="L636" s="57" t="s">
        <v>536</v>
      </c>
      <c r="M636" s="58" t="s">
        <v>519</v>
      </c>
      <c r="N636" s="58" t="s">
        <v>539</v>
      </c>
      <c r="O636" s="58" t="s">
        <v>584</v>
      </c>
      <c r="P636" s="8"/>
      <c r="Q636" s="150">
        <f>SUM(Q637:Q638)</f>
        <v>0</v>
      </c>
      <c r="R636" s="150">
        <f>SUM(R637:R638)</f>
        <v>0</v>
      </c>
      <c r="S636" s="282" t="e">
        <f t="shared" si="23"/>
        <v>#DIV/0!</v>
      </c>
    </row>
    <row r="637" spans="1:19" ht="24.75" customHeight="1" hidden="1">
      <c r="A637" s="61"/>
      <c r="B637" s="60"/>
      <c r="C637" s="65"/>
      <c r="D637" s="63"/>
      <c r="E637" s="66"/>
      <c r="F637" s="66"/>
      <c r="G637" s="51"/>
      <c r="H637" s="19" t="s">
        <v>490</v>
      </c>
      <c r="I637" s="8">
        <v>663</v>
      </c>
      <c r="J637" s="14">
        <v>7</v>
      </c>
      <c r="K637" s="14">
        <v>9</v>
      </c>
      <c r="L637" s="57" t="s">
        <v>536</v>
      </c>
      <c r="M637" s="58" t="s">
        <v>519</v>
      </c>
      <c r="N637" s="58" t="s">
        <v>539</v>
      </c>
      <c r="O637" s="58" t="s">
        <v>584</v>
      </c>
      <c r="P637" s="8">
        <v>120</v>
      </c>
      <c r="Q637" s="150">
        <v>0</v>
      </c>
      <c r="R637" s="150">
        <v>0</v>
      </c>
      <c r="S637" s="282" t="e">
        <f t="shared" si="23"/>
        <v>#DIV/0!</v>
      </c>
    </row>
    <row r="638" spans="1:19" ht="24.75" customHeight="1" hidden="1">
      <c r="A638" s="61"/>
      <c r="B638" s="60"/>
      <c r="C638" s="65"/>
      <c r="D638" s="63"/>
      <c r="E638" s="66"/>
      <c r="F638" s="66"/>
      <c r="G638" s="51"/>
      <c r="H638" s="19" t="s">
        <v>636</v>
      </c>
      <c r="I638" s="8">
        <v>663</v>
      </c>
      <c r="J638" s="14">
        <v>7</v>
      </c>
      <c r="K638" s="14">
        <v>9</v>
      </c>
      <c r="L638" s="57" t="s">
        <v>536</v>
      </c>
      <c r="M638" s="58" t="s">
        <v>519</v>
      </c>
      <c r="N638" s="58" t="s">
        <v>539</v>
      </c>
      <c r="O638" s="58" t="s">
        <v>584</v>
      </c>
      <c r="P638" s="8">
        <v>240</v>
      </c>
      <c r="Q638" s="150">
        <v>0</v>
      </c>
      <c r="R638" s="150">
        <v>0</v>
      </c>
      <c r="S638" s="282" t="e">
        <f t="shared" si="23"/>
        <v>#DIV/0!</v>
      </c>
    </row>
    <row r="639" spans="1:19" ht="33" customHeight="1" hidden="1">
      <c r="A639" s="61"/>
      <c r="B639" s="60"/>
      <c r="C639" s="65"/>
      <c r="D639" s="63"/>
      <c r="E639" s="66"/>
      <c r="F639" s="66"/>
      <c r="G639" s="51"/>
      <c r="H639" s="19" t="s">
        <v>460</v>
      </c>
      <c r="I639" s="8">
        <v>663</v>
      </c>
      <c r="J639" s="14">
        <v>7</v>
      </c>
      <c r="K639" s="14">
        <v>9</v>
      </c>
      <c r="L639" s="57" t="s">
        <v>536</v>
      </c>
      <c r="M639" s="58" t="s">
        <v>519</v>
      </c>
      <c r="N639" s="58" t="s">
        <v>539</v>
      </c>
      <c r="O639" s="58" t="s">
        <v>268</v>
      </c>
      <c r="P639" s="8"/>
      <c r="Q639" s="150">
        <f>SUM(Q640:Q641)</f>
        <v>0</v>
      </c>
      <c r="R639" s="150">
        <f>SUM(R640:R641)</f>
        <v>0</v>
      </c>
      <c r="S639" s="282" t="e">
        <f t="shared" si="23"/>
        <v>#DIV/0!</v>
      </c>
    </row>
    <row r="640" spans="1:19" ht="33" customHeight="1" hidden="1">
      <c r="A640" s="61"/>
      <c r="B640" s="60"/>
      <c r="C640" s="65"/>
      <c r="D640" s="63"/>
      <c r="E640" s="66"/>
      <c r="F640" s="66"/>
      <c r="G640" s="51"/>
      <c r="H640" s="19" t="s">
        <v>639</v>
      </c>
      <c r="I640" s="8">
        <v>663</v>
      </c>
      <c r="J640" s="14">
        <v>7</v>
      </c>
      <c r="K640" s="14">
        <v>9</v>
      </c>
      <c r="L640" s="57" t="s">
        <v>536</v>
      </c>
      <c r="M640" s="58" t="s">
        <v>519</v>
      </c>
      <c r="N640" s="58" t="s">
        <v>539</v>
      </c>
      <c r="O640" s="58" t="s">
        <v>268</v>
      </c>
      <c r="P640" s="8">
        <v>110</v>
      </c>
      <c r="Q640" s="150">
        <v>0</v>
      </c>
      <c r="R640" s="150">
        <v>0</v>
      </c>
      <c r="S640" s="282" t="e">
        <f t="shared" si="23"/>
        <v>#DIV/0!</v>
      </c>
    </row>
    <row r="641" spans="1:19" ht="33" customHeight="1" hidden="1">
      <c r="A641" s="61"/>
      <c r="B641" s="60"/>
      <c r="C641" s="65"/>
      <c r="D641" s="63"/>
      <c r="E641" s="66"/>
      <c r="F641" s="66"/>
      <c r="G641" s="51"/>
      <c r="H641" s="19" t="s">
        <v>636</v>
      </c>
      <c r="I641" s="8">
        <v>663</v>
      </c>
      <c r="J641" s="14">
        <v>7</v>
      </c>
      <c r="K641" s="14">
        <v>9</v>
      </c>
      <c r="L641" s="57" t="s">
        <v>536</v>
      </c>
      <c r="M641" s="58" t="s">
        <v>519</v>
      </c>
      <c r="N641" s="58" t="s">
        <v>539</v>
      </c>
      <c r="O641" s="58" t="s">
        <v>268</v>
      </c>
      <c r="P641" s="8">
        <v>240</v>
      </c>
      <c r="Q641" s="150">
        <v>0</v>
      </c>
      <c r="R641" s="150">
        <v>0</v>
      </c>
      <c r="S641" s="282" t="e">
        <f t="shared" si="23"/>
        <v>#DIV/0!</v>
      </c>
    </row>
    <row r="642" spans="1:19" ht="48" customHeight="1" hidden="1">
      <c r="A642" s="61"/>
      <c r="B642" s="60"/>
      <c r="C642" s="65"/>
      <c r="D642" s="63"/>
      <c r="E642" s="66"/>
      <c r="F642" s="66"/>
      <c r="G642" s="51"/>
      <c r="H642" s="19" t="s">
        <v>298</v>
      </c>
      <c r="I642" s="8">
        <v>663</v>
      </c>
      <c r="J642" s="14">
        <v>7</v>
      </c>
      <c r="K642" s="14">
        <v>9</v>
      </c>
      <c r="L642" s="57" t="s">
        <v>536</v>
      </c>
      <c r="M642" s="58" t="s">
        <v>519</v>
      </c>
      <c r="N642" s="58" t="s">
        <v>539</v>
      </c>
      <c r="O642" s="58" t="s">
        <v>297</v>
      </c>
      <c r="P642" s="8"/>
      <c r="Q642" s="150">
        <f>Q643+Q644</f>
        <v>0</v>
      </c>
      <c r="R642" s="150">
        <f>R643+R644</f>
        <v>0</v>
      </c>
      <c r="S642" s="282" t="e">
        <f t="shared" si="23"/>
        <v>#DIV/0!</v>
      </c>
    </row>
    <row r="643" spans="1:19" ht="33" customHeight="1" hidden="1">
      <c r="A643" s="61"/>
      <c r="B643" s="60"/>
      <c r="C643" s="65"/>
      <c r="D643" s="63"/>
      <c r="E643" s="66"/>
      <c r="F643" s="66"/>
      <c r="G643" s="51"/>
      <c r="H643" s="19" t="s">
        <v>641</v>
      </c>
      <c r="I643" s="8">
        <v>663</v>
      </c>
      <c r="J643" s="14">
        <v>7</v>
      </c>
      <c r="K643" s="14">
        <v>9</v>
      </c>
      <c r="L643" s="57" t="s">
        <v>536</v>
      </c>
      <c r="M643" s="58" t="s">
        <v>519</v>
      </c>
      <c r="N643" s="58" t="s">
        <v>539</v>
      </c>
      <c r="O643" s="58" t="s">
        <v>297</v>
      </c>
      <c r="P643" s="8">
        <v>320</v>
      </c>
      <c r="Q643" s="150">
        <v>0</v>
      </c>
      <c r="R643" s="150">
        <v>0</v>
      </c>
      <c r="S643" s="282" t="e">
        <f t="shared" si="23"/>
        <v>#DIV/0!</v>
      </c>
    </row>
    <row r="644" spans="1:19" ht="33" customHeight="1" hidden="1">
      <c r="A644" s="61"/>
      <c r="B644" s="60"/>
      <c r="C644" s="65"/>
      <c r="D644" s="63"/>
      <c r="E644" s="66"/>
      <c r="F644" s="66"/>
      <c r="G644" s="51"/>
      <c r="H644" s="3" t="s">
        <v>638</v>
      </c>
      <c r="I644" s="8">
        <v>663</v>
      </c>
      <c r="J644" s="14">
        <v>7</v>
      </c>
      <c r="K644" s="14">
        <v>9</v>
      </c>
      <c r="L644" s="57" t="s">
        <v>536</v>
      </c>
      <c r="M644" s="58" t="s">
        <v>519</v>
      </c>
      <c r="N644" s="58" t="s">
        <v>539</v>
      </c>
      <c r="O644" s="58" t="s">
        <v>297</v>
      </c>
      <c r="P644" s="8">
        <v>610</v>
      </c>
      <c r="Q644" s="150"/>
      <c r="R644" s="150"/>
      <c r="S644" s="282" t="e">
        <f t="shared" si="23"/>
        <v>#DIV/0!</v>
      </c>
    </row>
    <row r="645" spans="1:19" ht="51.75" customHeight="1" hidden="1">
      <c r="A645" s="61"/>
      <c r="B645" s="60"/>
      <c r="C645" s="65"/>
      <c r="D645" s="63"/>
      <c r="E645" s="66"/>
      <c r="F645" s="66"/>
      <c r="G645" s="51"/>
      <c r="H645" s="9" t="s">
        <v>625</v>
      </c>
      <c r="I645" s="8">
        <v>663</v>
      </c>
      <c r="J645" s="14">
        <v>7</v>
      </c>
      <c r="K645" s="14">
        <v>9</v>
      </c>
      <c r="L645" s="57" t="s">
        <v>536</v>
      </c>
      <c r="M645" s="58" t="s">
        <v>519</v>
      </c>
      <c r="N645" s="58" t="s">
        <v>623</v>
      </c>
      <c r="O645" s="58" t="s">
        <v>624</v>
      </c>
      <c r="P645" s="8"/>
      <c r="Q645" s="150">
        <f>Q646</f>
        <v>0</v>
      </c>
      <c r="R645" s="150">
        <f>R646</f>
        <v>0</v>
      </c>
      <c r="S645" s="282" t="e">
        <f t="shared" si="23"/>
        <v>#DIV/0!</v>
      </c>
    </row>
    <row r="646" spans="1:19" ht="24.75" customHeight="1" hidden="1">
      <c r="A646" s="61"/>
      <c r="B646" s="60"/>
      <c r="C646" s="65"/>
      <c r="D646" s="63"/>
      <c r="E646" s="66"/>
      <c r="F646" s="66"/>
      <c r="G646" s="51"/>
      <c r="H646" s="3" t="s">
        <v>638</v>
      </c>
      <c r="I646" s="8">
        <v>663</v>
      </c>
      <c r="J646" s="14">
        <v>7</v>
      </c>
      <c r="K646" s="14">
        <v>9</v>
      </c>
      <c r="L646" s="57" t="s">
        <v>536</v>
      </c>
      <c r="M646" s="58" t="s">
        <v>519</v>
      </c>
      <c r="N646" s="58" t="s">
        <v>623</v>
      </c>
      <c r="O646" s="58" t="s">
        <v>624</v>
      </c>
      <c r="P646" s="8">
        <v>610</v>
      </c>
      <c r="Q646" s="150"/>
      <c r="R646" s="150"/>
      <c r="S646" s="282" t="e">
        <f t="shared" si="23"/>
        <v>#DIV/0!</v>
      </c>
    </row>
    <row r="647" spans="1:19" ht="33" customHeight="1" hidden="1">
      <c r="A647" s="61"/>
      <c r="B647" s="60"/>
      <c r="C647" s="65"/>
      <c r="D647" s="63"/>
      <c r="E647" s="66"/>
      <c r="F647" s="66"/>
      <c r="G647" s="51"/>
      <c r="H647" s="9" t="s">
        <v>628</v>
      </c>
      <c r="I647" s="8">
        <v>663</v>
      </c>
      <c r="J647" s="14">
        <v>7</v>
      </c>
      <c r="K647" s="14">
        <v>9</v>
      </c>
      <c r="L647" s="57" t="s">
        <v>536</v>
      </c>
      <c r="M647" s="58" t="s">
        <v>519</v>
      </c>
      <c r="N647" s="58" t="s">
        <v>626</v>
      </c>
      <c r="O647" s="58" t="s">
        <v>627</v>
      </c>
      <c r="P647" s="8"/>
      <c r="Q647" s="150">
        <f>Q648</f>
        <v>0</v>
      </c>
      <c r="R647" s="150">
        <f>R648</f>
        <v>0</v>
      </c>
      <c r="S647" s="282" t="e">
        <f t="shared" si="23"/>
        <v>#DIV/0!</v>
      </c>
    </row>
    <row r="648" spans="1:19" ht="27" customHeight="1" hidden="1">
      <c r="A648" s="61"/>
      <c r="B648" s="60"/>
      <c r="C648" s="65"/>
      <c r="D648" s="63"/>
      <c r="E648" s="66"/>
      <c r="F648" s="66"/>
      <c r="G648" s="51"/>
      <c r="H648" s="3" t="s">
        <v>638</v>
      </c>
      <c r="I648" s="8">
        <v>663</v>
      </c>
      <c r="J648" s="14">
        <v>7</v>
      </c>
      <c r="K648" s="14">
        <v>9</v>
      </c>
      <c r="L648" s="57" t="s">
        <v>536</v>
      </c>
      <c r="M648" s="58" t="s">
        <v>519</v>
      </c>
      <c r="N648" s="58" t="s">
        <v>626</v>
      </c>
      <c r="O648" s="58" t="s">
        <v>627</v>
      </c>
      <c r="P648" s="8">
        <v>610</v>
      </c>
      <c r="Q648" s="150"/>
      <c r="R648" s="150"/>
      <c r="S648" s="282" t="e">
        <f t="shared" si="23"/>
        <v>#DIV/0!</v>
      </c>
    </row>
    <row r="649" spans="1:19" s="135" customFormat="1" ht="21.75" customHeight="1">
      <c r="A649" s="101"/>
      <c r="B649" s="102"/>
      <c r="C649" s="112"/>
      <c r="D649" s="109"/>
      <c r="E649" s="104"/>
      <c r="F649" s="104"/>
      <c r="G649" s="95"/>
      <c r="H649" s="96" t="s">
        <v>498</v>
      </c>
      <c r="I649" s="97">
        <v>663</v>
      </c>
      <c r="J649" s="98">
        <v>10</v>
      </c>
      <c r="K649" s="98"/>
      <c r="L649" s="99"/>
      <c r="M649" s="100"/>
      <c r="N649" s="100"/>
      <c r="O649" s="100"/>
      <c r="P649" s="97"/>
      <c r="Q649" s="149">
        <f>Q650</f>
        <v>2705</v>
      </c>
      <c r="R649" s="149">
        <f>R650</f>
        <v>2705</v>
      </c>
      <c r="S649" s="282">
        <f t="shared" si="23"/>
        <v>1</v>
      </c>
    </row>
    <row r="650" spans="1:19" s="135" customFormat="1" ht="18.75" customHeight="1">
      <c r="A650" s="101"/>
      <c r="B650" s="102"/>
      <c r="C650" s="112"/>
      <c r="D650" s="109"/>
      <c r="E650" s="288">
        <v>3150300</v>
      </c>
      <c r="F650" s="288"/>
      <c r="G650" s="95">
        <v>850</v>
      </c>
      <c r="H650" s="96" t="s">
        <v>340</v>
      </c>
      <c r="I650" s="97">
        <v>663</v>
      </c>
      <c r="J650" s="98">
        <v>10</v>
      </c>
      <c r="K650" s="98">
        <v>4</v>
      </c>
      <c r="L650" s="99" t="s">
        <v>491</v>
      </c>
      <c r="M650" s="100" t="s">
        <v>491</v>
      </c>
      <c r="N650" s="100"/>
      <c r="O650" s="100" t="s">
        <v>491</v>
      </c>
      <c r="P650" s="97" t="s">
        <v>491</v>
      </c>
      <c r="Q650" s="149">
        <f>Q651+Q655</f>
        <v>2705</v>
      </c>
      <c r="R650" s="149">
        <f>R651+R655</f>
        <v>2705</v>
      </c>
      <c r="S650" s="282">
        <f t="shared" si="23"/>
        <v>1</v>
      </c>
    </row>
    <row r="651" spans="1:19" ht="22.5" customHeight="1">
      <c r="A651" s="61"/>
      <c r="B651" s="60"/>
      <c r="C651" s="65"/>
      <c r="D651" s="63"/>
      <c r="E651" s="285">
        <v>5221300</v>
      </c>
      <c r="F651" s="285"/>
      <c r="G651" s="51">
        <v>410</v>
      </c>
      <c r="H651" s="9" t="s">
        <v>239</v>
      </c>
      <c r="I651" s="8">
        <v>663</v>
      </c>
      <c r="J651" s="14">
        <v>10</v>
      </c>
      <c r="K651" s="14">
        <v>4</v>
      </c>
      <c r="L651" s="57" t="s">
        <v>547</v>
      </c>
      <c r="M651" s="58" t="s">
        <v>519</v>
      </c>
      <c r="N651" s="58" t="s">
        <v>539</v>
      </c>
      <c r="O651" s="58" t="s">
        <v>556</v>
      </c>
      <c r="P651" s="8" t="s">
        <v>491</v>
      </c>
      <c r="Q651" s="150">
        <f aca="true" t="shared" si="26" ref="Q651:R653">Q652</f>
        <v>2705</v>
      </c>
      <c r="R651" s="150">
        <f t="shared" si="26"/>
        <v>2705</v>
      </c>
      <c r="S651" s="282">
        <f t="shared" si="23"/>
        <v>1</v>
      </c>
    </row>
    <row r="652" spans="1:19" ht="29.25" customHeight="1">
      <c r="A652" s="61"/>
      <c r="B652" s="60"/>
      <c r="C652" s="65"/>
      <c r="D652" s="63"/>
      <c r="E652" s="66"/>
      <c r="F652" s="66"/>
      <c r="G652" s="51"/>
      <c r="H652" s="179" t="s">
        <v>304</v>
      </c>
      <c r="I652" s="8">
        <v>663</v>
      </c>
      <c r="J652" s="14">
        <v>10</v>
      </c>
      <c r="K652" s="14">
        <v>4</v>
      </c>
      <c r="L652" s="57" t="s">
        <v>547</v>
      </c>
      <c r="M652" s="58" t="s">
        <v>519</v>
      </c>
      <c r="N652" s="58" t="s">
        <v>520</v>
      </c>
      <c r="O652" s="58" t="s">
        <v>556</v>
      </c>
      <c r="P652" s="8"/>
      <c r="Q652" s="150">
        <f t="shared" si="26"/>
        <v>2705</v>
      </c>
      <c r="R652" s="150">
        <f t="shared" si="26"/>
        <v>2705</v>
      </c>
      <c r="S652" s="282">
        <f aca="true" t="shared" si="27" ref="S652:S704">R652/Q652</f>
        <v>1</v>
      </c>
    </row>
    <row r="653" spans="1:19" ht="48" customHeight="1">
      <c r="A653" s="61"/>
      <c r="B653" s="60"/>
      <c r="C653" s="65"/>
      <c r="D653" s="63"/>
      <c r="E653" s="66"/>
      <c r="F653" s="66"/>
      <c r="G653" s="51"/>
      <c r="H653" s="180" t="s">
        <v>298</v>
      </c>
      <c r="I653" s="8">
        <v>663</v>
      </c>
      <c r="J653" s="5">
        <v>10</v>
      </c>
      <c r="K653" s="14">
        <v>4</v>
      </c>
      <c r="L653" s="57" t="s">
        <v>547</v>
      </c>
      <c r="M653" s="58" t="s">
        <v>519</v>
      </c>
      <c r="N653" s="58" t="s">
        <v>520</v>
      </c>
      <c r="O653" s="58" t="s">
        <v>297</v>
      </c>
      <c r="P653" s="8"/>
      <c r="Q653" s="150">
        <f t="shared" si="26"/>
        <v>2705</v>
      </c>
      <c r="R653" s="150">
        <f t="shared" si="26"/>
        <v>2705</v>
      </c>
      <c r="S653" s="282">
        <f t="shared" si="27"/>
        <v>1</v>
      </c>
    </row>
    <row r="654" spans="1:19" ht="26.25" customHeight="1">
      <c r="A654" s="61"/>
      <c r="B654" s="60"/>
      <c r="C654" s="65"/>
      <c r="D654" s="63"/>
      <c r="E654" s="66"/>
      <c r="F654" s="66"/>
      <c r="G654" s="51"/>
      <c r="H654" s="184" t="s">
        <v>641</v>
      </c>
      <c r="I654" s="8">
        <v>663</v>
      </c>
      <c r="J654" s="5">
        <v>10</v>
      </c>
      <c r="K654" s="14">
        <v>4</v>
      </c>
      <c r="L654" s="57" t="s">
        <v>547</v>
      </c>
      <c r="M654" s="58" t="s">
        <v>519</v>
      </c>
      <c r="N654" s="58" t="s">
        <v>520</v>
      </c>
      <c r="O654" s="58" t="s">
        <v>297</v>
      </c>
      <c r="P654" s="8">
        <v>320</v>
      </c>
      <c r="Q654" s="150">
        <f>3455.1-265.5-265.5-219.1</f>
        <v>2705</v>
      </c>
      <c r="R654" s="150">
        <f>3455.1-265.5-265.5-219.1</f>
        <v>2705</v>
      </c>
      <c r="S654" s="282">
        <f t="shared" si="27"/>
        <v>1</v>
      </c>
    </row>
    <row r="655" spans="1:19" ht="26.25" customHeight="1" hidden="1">
      <c r="A655" s="72"/>
      <c r="B655" s="73"/>
      <c r="C655" s="68"/>
      <c r="D655" s="69"/>
      <c r="E655" s="66"/>
      <c r="F655" s="66"/>
      <c r="G655" s="51"/>
      <c r="H655" s="19" t="s">
        <v>267</v>
      </c>
      <c r="I655" s="8">
        <v>663</v>
      </c>
      <c r="J655" s="5">
        <v>10</v>
      </c>
      <c r="K655" s="14">
        <v>4</v>
      </c>
      <c r="L655" s="57" t="s">
        <v>536</v>
      </c>
      <c r="M655" s="58" t="s">
        <v>519</v>
      </c>
      <c r="N655" s="58" t="s">
        <v>539</v>
      </c>
      <c r="O655" s="58" t="s">
        <v>556</v>
      </c>
      <c r="P655" s="8"/>
      <c r="Q655" s="150">
        <f>Q656</f>
        <v>0</v>
      </c>
      <c r="R655" s="150">
        <f>R656</f>
        <v>0</v>
      </c>
      <c r="S655" s="282" t="e">
        <f t="shared" si="27"/>
        <v>#DIV/0!</v>
      </c>
    </row>
    <row r="656" spans="1:19" ht="51" customHeight="1" hidden="1">
      <c r="A656" s="72"/>
      <c r="B656" s="73"/>
      <c r="C656" s="68"/>
      <c r="D656" s="69"/>
      <c r="E656" s="66"/>
      <c r="F656" s="66"/>
      <c r="G656" s="51"/>
      <c r="H656" s="9" t="s">
        <v>298</v>
      </c>
      <c r="I656" s="8">
        <v>663</v>
      </c>
      <c r="J656" s="5">
        <v>10</v>
      </c>
      <c r="K656" s="14">
        <v>4</v>
      </c>
      <c r="L656" s="14">
        <v>91</v>
      </c>
      <c r="M656" s="58" t="s">
        <v>519</v>
      </c>
      <c r="N656" s="58" t="s">
        <v>539</v>
      </c>
      <c r="O656" s="58" t="s">
        <v>297</v>
      </c>
      <c r="P656" s="8"/>
      <c r="Q656" s="150">
        <f>Q657</f>
        <v>0</v>
      </c>
      <c r="R656" s="150">
        <f>R657</f>
        <v>0</v>
      </c>
      <c r="S656" s="282" t="e">
        <f t="shared" si="27"/>
        <v>#DIV/0!</v>
      </c>
    </row>
    <row r="657" spans="1:19" ht="26.25" customHeight="1" hidden="1">
      <c r="A657" s="72"/>
      <c r="B657" s="73"/>
      <c r="C657" s="68"/>
      <c r="D657" s="69"/>
      <c r="E657" s="66"/>
      <c r="F657" s="66"/>
      <c r="G657" s="51"/>
      <c r="H657" s="9" t="s">
        <v>641</v>
      </c>
      <c r="I657" s="8">
        <v>663</v>
      </c>
      <c r="J657" s="5">
        <v>10</v>
      </c>
      <c r="K657" s="14">
        <v>4</v>
      </c>
      <c r="L657" s="14">
        <v>91</v>
      </c>
      <c r="M657" s="58" t="s">
        <v>519</v>
      </c>
      <c r="N657" s="58" t="s">
        <v>539</v>
      </c>
      <c r="O657" s="58" t="s">
        <v>297</v>
      </c>
      <c r="P657" s="8">
        <v>320</v>
      </c>
      <c r="Q657" s="150">
        <v>0</v>
      </c>
      <c r="R657" s="150">
        <v>0</v>
      </c>
      <c r="S657" s="282" t="e">
        <f t="shared" si="27"/>
        <v>#DIV/0!</v>
      </c>
    </row>
    <row r="658" spans="1:19" s="232" customFormat="1" ht="18.75" customHeight="1">
      <c r="A658" s="290">
        <v>17</v>
      </c>
      <c r="B658" s="290"/>
      <c r="C658" s="290"/>
      <c r="D658" s="290"/>
      <c r="E658" s="290"/>
      <c r="F658" s="290"/>
      <c r="G658" s="91">
        <v>240</v>
      </c>
      <c r="H658" s="30" t="s">
        <v>509</v>
      </c>
      <c r="I658" s="12">
        <v>664</v>
      </c>
      <c r="J658" s="13" t="s">
        <v>491</v>
      </c>
      <c r="K658" s="13" t="s">
        <v>491</v>
      </c>
      <c r="L658" s="92" t="s">
        <v>491</v>
      </c>
      <c r="M658" s="93" t="s">
        <v>491</v>
      </c>
      <c r="N658" s="93"/>
      <c r="O658" s="93"/>
      <c r="P658" s="12" t="s">
        <v>491</v>
      </c>
      <c r="Q658" s="148">
        <f>Q659+Q692+Q698</f>
        <v>12069.4</v>
      </c>
      <c r="R658" s="148">
        <f>R659+R692+R698</f>
        <v>11689.099999999999</v>
      </c>
      <c r="S658" s="282">
        <f t="shared" si="27"/>
        <v>0.9684905629111636</v>
      </c>
    </row>
    <row r="659" spans="1:19" s="135" customFormat="1" ht="18.75" customHeight="1">
      <c r="A659" s="291">
        <v>100</v>
      </c>
      <c r="B659" s="291"/>
      <c r="C659" s="292"/>
      <c r="D659" s="292"/>
      <c r="E659" s="292"/>
      <c r="F659" s="292"/>
      <c r="G659" s="95">
        <v>240</v>
      </c>
      <c r="H659" s="96" t="s">
        <v>493</v>
      </c>
      <c r="I659" s="97">
        <v>664</v>
      </c>
      <c r="J659" s="98">
        <v>1</v>
      </c>
      <c r="K659" s="98" t="s">
        <v>557</v>
      </c>
      <c r="L659" s="99" t="s">
        <v>491</v>
      </c>
      <c r="M659" s="100" t="s">
        <v>491</v>
      </c>
      <c r="N659" s="100"/>
      <c r="O659" s="100" t="s">
        <v>491</v>
      </c>
      <c r="P659" s="97" t="s">
        <v>491</v>
      </c>
      <c r="Q659" s="149">
        <f>Q660</f>
        <v>6954.599999999999</v>
      </c>
      <c r="R659" s="149">
        <f>R660</f>
        <v>6774.299999999999</v>
      </c>
      <c r="S659" s="282">
        <f t="shared" si="27"/>
        <v>0.9740747131395048</v>
      </c>
    </row>
    <row r="660" spans="1:19" s="135" customFormat="1" ht="18.75" customHeight="1">
      <c r="A660" s="101"/>
      <c r="B660" s="102"/>
      <c r="C660" s="291">
        <v>113</v>
      </c>
      <c r="D660" s="292"/>
      <c r="E660" s="292"/>
      <c r="F660" s="292"/>
      <c r="G660" s="95">
        <v>240</v>
      </c>
      <c r="H660" s="96" t="s">
        <v>492</v>
      </c>
      <c r="I660" s="97">
        <v>664</v>
      </c>
      <c r="J660" s="98">
        <v>1</v>
      </c>
      <c r="K660" s="98">
        <v>13</v>
      </c>
      <c r="L660" s="99" t="s">
        <v>491</v>
      </c>
      <c r="M660" s="100" t="s">
        <v>491</v>
      </c>
      <c r="N660" s="100"/>
      <c r="O660" s="100" t="s">
        <v>491</v>
      </c>
      <c r="P660" s="97" t="s">
        <v>491</v>
      </c>
      <c r="Q660" s="149">
        <f>Q661</f>
        <v>6954.599999999999</v>
      </c>
      <c r="R660" s="149">
        <f>R661</f>
        <v>6774.299999999999</v>
      </c>
      <c r="S660" s="282">
        <f t="shared" si="27"/>
        <v>0.9740747131395048</v>
      </c>
    </row>
    <row r="661" spans="1:19" ht="33.75" customHeight="1">
      <c r="A661" s="59"/>
      <c r="B661" s="60"/>
      <c r="C661" s="59"/>
      <c r="D661" s="73"/>
      <c r="E661" s="76"/>
      <c r="F661" s="76"/>
      <c r="G661" s="51"/>
      <c r="H661" s="9" t="s">
        <v>114</v>
      </c>
      <c r="I661" s="8">
        <v>664</v>
      </c>
      <c r="J661" s="14">
        <v>1</v>
      </c>
      <c r="K661" s="14">
        <v>13</v>
      </c>
      <c r="L661" s="57" t="s">
        <v>112</v>
      </c>
      <c r="M661" s="58" t="s">
        <v>519</v>
      </c>
      <c r="N661" s="58" t="s">
        <v>539</v>
      </c>
      <c r="O661" s="58" t="s">
        <v>556</v>
      </c>
      <c r="P661" s="8"/>
      <c r="Q661" s="150">
        <f>Q662+Q665+Q668+Q673+Q689</f>
        <v>6954.599999999999</v>
      </c>
      <c r="R661" s="150">
        <f>R662+R665+R668+R673+R689</f>
        <v>6774.299999999999</v>
      </c>
      <c r="S661" s="282">
        <f t="shared" si="27"/>
        <v>0.9740747131395048</v>
      </c>
    </row>
    <row r="662" spans="1:19" ht="24.75" customHeight="1">
      <c r="A662" s="61"/>
      <c r="B662" s="60"/>
      <c r="C662" s="59"/>
      <c r="D662" s="71"/>
      <c r="E662" s="66"/>
      <c r="F662" s="66"/>
      <c r="G662" s="51"/>
      <c r="H662" s="9" t="s">
        <v>116</v>
      </c>
      <c r="I662" s="8">
        <v>664</v>
      </c>
      <c r="J662" s="14">
        <v>1</v>
      </c>
      <c r="K662" s="14">
        <v>13</v>
      </c>
      <c r="L662" s="14">
        <v>48</v>
      </c>
      <c r="M662" s="58" t="s">
        <v>519</v>
      </c>
      <c r="N662" s="58" t="s">
        <v>520</v>
      </c>
      <c r="O662" s="58" t="s">
        <v>556</v>
      </c>
      <c r="P662" s="8"/>
      <c r="Q662" s="150">
        <f>Q663</f>
        <v>367.7</v>
      </c>
      <c r="R662" s="150">
        <f>R663</f>
        <v>348.9</v>
      </c>
      <c r="S662" s="282">
        <f t="shared" si="27"/>
        <v>0.9488713625237966</v>
      </c>
    </row>
    <row r="663" spans="1:19" ht="24.75" customHeight="1">
      <c r="A663" s="61"/>
      <c r="B663" s="60"/>
      <c r="C663" s="59"/>
      <c r="D663" s="71"/>
      <c r="E663" s="66"/>
      <c r="F663" s="66"/>
      <c r="G663" s="51"/>
      <c r="H663" s="9" t="s">
        <v>332</v>
      </c>
      <c r="I663" s="8">
        <v>664</v>
      </c>
      <c r="J663" s="14">
        <v>1</v>
      </c>
      <c r="K663" s="14">
        <v>13</v>
      </c>
      <c r="L663" s="14">
        <v>48</v>
      </c>
      <c r="M663" s="58" t="s">
        <v>519</v>
      </c>
      <c r="N663" s="58" t="s">
        <v>520</v>
      </c>
      <c r="O663" s="58" t="s">
        <v>287</v>
      </c>
      <c r="P663" s="8"/>
      <c r="Q663" s="150">
        <f>Q664</f>
        <v>367.7</v>
      </c>
      <c r="R663" s="150">
        <f>R664</f>
        <v>348.9</v>
      </c>
      <c r="S663" s="282">
        <f t="shared" si="27"/>
        <v>0.9488713625237966</v>
      </c>
    </row>
    <row r="664" spans="1:19" ht="24.75" customHeight="1">
      <c r="A664" s="61"/>
      <c r="B664" s="60"/>
      <c r="C664" s="59"/>
      <c r="D664" s="71"/>
      <c r="E664" s="66"/>
      <c r="F664" s="66"/>
      <c r="G664" s="51"/>
      <c r="H664" s="9" t="s">
        <v>636</v>
      </c>
      <c r="I664" s="8">
        <v>664</v>
      </c>
      <c r="J664" s="14">
        <v>1</v>
      </c>
      <c r="K664" s="14">
        <v>13</v>
      </c>
      <c r="L664" s="14">
        <v>48</v>
      </c>
      <c r="M664" s="58" t="s">
        <v>519</v>
      </c>
      <c r="N664" s="58" t="s">
        <v>520</v>
      </c>
      <c r="O664" s="58" t="s">
        <v>287</v>
      </c>
      <c r="P664" s="8">
        <v>240</v>
      </c>
      <c r="Q664" s="150">
        <f>470-77.3-25</f>
        <v>367.7</v>
      </c>
      <c r="R664" s="150">
        <v>348.9</v>
      </c>
      <c r="S664" s="282">
        <f t="shared" si="27"/>
        <v>0.9488713625237966</v>
      </c>
    </row>
    <row r="665" spans="1:19" ht="39" customHeight="1">
      <c r="A665" s="61"/>
      <c r="B665" s="60"/>
      <c r="C665" s="59"/>
      <c r="D665" s="71"/>
      <c r="E665" s="66"/>
      <c r="F665" s="66"/>
      <c r="G665" s="51"/>
      <c r="H665" s="9" t="s">
        <v>117</v>
      </c>
      <c r="I665" s="8">
        <v>664</v>
      </c>
      <c r="J665" s="14">
        <v>1</v>
      </c>
      <c r="K665" s="14">
        <v>13</v>
      </c>
      <c r="L665" s="14">
        <v>48</v>
      </c>
      <c r="M665" s="58" t="s">
        <v>519</v>
      </c>
      <c r="N665" s="58" t="s">
        <v>545</v>
      </c>
      <c r="O665" s="58" t="s">
        <v>556</v>
      </c>
      <c r="P665" s="8"/>
      <c r="Q665" s="150">
        <f>Q666</f>
        <v>62.3</v>
      </c>
      <c r="R665" s="150">
        <f>R666</f>
        <v>62.3</v>
      </c>
      <c r="S665" s="282">
        <f t="shared" si="27"/>
        <v>1</v>
      </c>
    </row>
    <row r="666" spans="1:19" ht="33" customHeight="1">
      <c r="A666" s="61"/>
      <c r="B666" s="60"/>
      <c r="C666" s="59"/>
      <c r="D666" s="71"/>
      <c r="E666" s="66"/>
      <c r="F666" s="66"/>
      <c r="G666" s="51"/>
      <c r="H666" s="9" t="s">
        <v>118</v>
      </c>
      <c r="I666" s="8">
        <v>664</v>
      </c>
      <c r="J666" s="14">
        <v>1</v>
      </c>
      <c r="K666" s="14">
        <v>13</v>
      </c>
      <c r="L666" s="14">
        <v>48</v>
      </c>
      <c r="M666" s="58" t="s">
        <v>519</v>
      </c>
      <c r="N666" s="58" t="s">
        <v>545</v>
      </c>
      <c r="O666" s="58" t="s">
        <v>286</v>
      </c>
      <c r="P666" s="8"/>
      <c r="Q666" s="150">
        <f>Q667</f>
        <v>62.3</v>
      </c>
      <c r="R666" s="150">
        <f>R667</f>
        <v>62.3</v>
      </c>
      <c r="S666" s="282">
        <f t="shared" si="27"/>
        <v>1</v>
      </c>
    </row>
    <row r="667" spans="1:19" ht="24.75" customHeight="1">
      <c r="A667" s="61"/>
      <c r="B667" s="60"/>
      <c r="C667" s="59"/>
      <c r="D667" s="71"/>
      <c r="E667" s="66"/>
      <c r="F667" s="66"/>
      <c r="G667" s="51"/>
      <c r="H667" s="9" t="s">
        <v>636</v>
      </c>
      <c r="I667" s="8">
        <v>664</v>
      </c>
      <c r="J667" s="14">
        <v>1</v>
      </c>
      <c r="K667" s="14">
        <v>13</v>
      </c>
      <c r="L667" s="14">
        <v>48</v>
      </c>
      <c r="M667" s="58" t="s">
        <v>519</v>
      </c>
      <c r="N667" s="58" t="s">
        <v>545</v>
      </c>
      <c r="O667" s="58" t="s">
        <v>286</v>
      </c>
      <c r="P667" s="8">
        <v>240</v>
      </c>
      <c r="Q667" s="150">
        <f>100-37.7</f>
        <v>62.3</v>
      </c>
      <c r="R667" s="150">
        <f>100-37.7</f>
        <v>62.3</v>
      </c>
      <c r="S667" s="282">
        <f t="shared" si="27"/>
        <v>1</v>
      </c>
    </row>
    <row r="668" spans="1:19" ht="39.75" customHeight="1">
      <c r="A668" s="61"/>
      <c r="B668" s="60"/>
      <c r="C668" s="59"/>
      <c r="D668" s="71"/>
      <c r="E668" s="66"/>
      <c r="F668" s="66"/>
      <c r="G668" s="51"/>
      <c r="H668" s="9" t="s">
        <v>119</v>
      </c>
      <c r="I668" s="8">
        <v>664</v>
      </c>
      <c r="J668" s="14">
        <v>1</v>
      </c>
      <c r="K668" s="14">
        <v>13</v>
      </c>
      <c r="L668" s="14">
        <v>48</v>
      </c>
      <c r="M668" s="58" t="s">
        <v>519</v>
      </c>
      <c r="N668" s="58" t="s">
        <v>546</v>
      </c>
      <c r="O668" s="58" t="s">
        <v>556</v>
      </c>
      <c r="P668" s="8"/>
      <c r="Q668" s="150">
        <f>Q669</f>
        <v>1626.8</v>
      </c>
      <c r="R668" s="150">
        <f>R669</f>
        <v>1580.1</v>
      </c>
      <c r="S668" s="282">
        <f t="shared" si="27"/>
        <v>0.9712933366117531</v>
      </c>
    </row>
    <row r="669" spans="1:19" ht="28.5" customHeight="1">
      <c r="A669" s="61"/>
      <c r="B669" s="60"/>
      <c r="C669" s="59"/>
      <c r="D669" s="71"/>
      <c r="E669" s="66"/>
      <c r="F669" s="66"/>
      <c r="G669" s="51"/>
      <c r="H669" s="9" t="s">
        <v>248</v>
      </c>
      <c r="I669" s="8">
        <v>664</v>
      </c>
      <c r="J669" s="14">
        <v>1</v>
      </c>
      <c r="K669" s="14">
        <v>13</v>
      </c>
      <c r="L669" s="14">
        <v>48</v>
      </c>
      <c r="M669" s="58" t="s">
        <v>519</v>
      </c>
      <c r="N669" s="58" t="s">
        <v>546</v>
      </c>
      <c r="O669" s="58" t="s">
        <v>247</v>
      </c>
      <c r="P669" s="8"/>
      <c r="Q669" s="150">
        <f>SUM(Q670:Q672)</f>
        <v>1626.8</v>
      </c>
      <c r="R669" s="150">
        <f>SUM(R670:R672)</f>
        <v>1580.1</v>
      </c>
      <c r="S669" s="282">
        <f t="shared" si="27"/>
        <v>0.9712933366117531</v>
      </c>
    </row>
    <row r="670" spans="1:19" ht="24.75" customHeight="1">
      <c r="A670" s="61"/>
      <c r="B670" s="60"/>
      <c r="C670" s="59"/>
      <c r="D670" s="71"/>
      <c r="E670" s="66"/>
      <c r="F670" s="66"/>
      <c r="G670" s="51"/>
      <c r="H670" s="9" t="s">
        <v>636</v>
      </c>
      <c r="I670" s="8">
        <v>664</v>
      </c>
      <c r="J670" s="14">
        <v>1</v>
      </c>
      <c r="K670" s="14">
        <v>13</v>
      </c>
      <c r="L670" s="14">
        <v>48</v>
      </c>
      <c r="M670" s="58" t="s">
        <v>519</v>
      </c>
      <c r="N670" s="58" t="s">
        <v>546</v>
      </c>
      <c r="O670" s="58" t="s">
        <v>247</v>
      </c>
      <c r="P670" s="8">
        <v>240</v>
      </c>
      <c r="Q670" s="150">
        <f>150+7.5-56.3-7.5-51</f>
        <v>42.7</v>
      </c>
      <c r="R670" s="150">
        <v>0.8</v>
      </c>
      <c r="S670" s="282">
        <f t="shared" si="27"/>
        <v>0.01873536299765808</v>
      </c>
    </row>
    <row r="671" spans="1:19" ht="24.75" customHeight="1">
      <c r="A671" s="61"/>
      <c r="B671" s="60"/>
      <c r="C671" s="59"/>
      <c r="D671" s="71"/>
      <c r="E671" s="66"/>
      <c r="F671" s="66"/>
      <c r="G671" s="51"/>
      <c r="H671" s="9" t="s">
        <v>644</v>
      </c>
      <c r="I671" s="8">
        <v>664</v>
      </c>
      <c r="J671" s="14">
        <v>1</v>
      </c>
      <c r="K671" s="14">
        <v>13</v>
      </c>
      <c r="L671" s="14">
        <v>48</v>
      </c>
      <c r="M671" s="58" t="s">
        <v>519</v>
      </c>
      <c r="N671" s="58" t="s">
        <v>546</v>
      </c>
      <c r="O671" s="58" t="s">
        <v>247</v>
      </c>
      <c r="P671" s="8">
        <v>830</v>
      </c>
      <c r="Q671" s="150">
        <v>1548.5</v>
      </c>
      <c r="R671" s="150">
        <v>1548.5</v>
      </c>
      <c r="S671" s="282">
        <f t="shared" si="27"/>
        <v>1</v>
      </c>
    </row>
    <row r="672" spans="1:19" ht="24.75" customHeight="1">
      <c r="A672" s="61"/>
      <c r="B672" s="60"/>
      <c r="C672" s="59"/>
      <c r="D672" s="71"/>
      <c r="E672" s="66"/>
      <c r="F672" s="66"/>
      <c r="G672" s="51"/>
      <c r="H672" s="3" t="s">
        <v>637</v>
      </c>
      <c r="I672" s="8">
        <v>664</v>
      </c>
      <c r="J672" s="14">
        <v>1</v>
      </c>
      <c r="K672" s="14">
        <v>13</v>
      </c>
      <c r="L672" s="14">
        <v>48</v>
      </c>
      <c r="M672" s="58" t="s">
        <v>519</v>
      </c>
      <c r="N672" s="58" t="s">
        <v>546</v>
      </c>
      <c r="O672" s="58" t="s">
        <v>247</v>
      </c>
      <c r="P672" s="8">
        <v>850</v>
      </c>
      <c r="Q672" s="150">
        <v>35.6</v>
      </c>
      <c r="R672" s="150">
        <v>30.8</v>
      </c>
      <c r="S672" s="282">
        <f t="shared" si="27"/>
        <v>0.8651685393258427</v>
      </c>
    </row>
    <row r="673" spans="1:19" ht="24.75" customHeight="1">
      <c r="A673" s="61"/>
      <c r="B673" s="60"/>
      <c r="C673" s="59"/>
      <c r="D673" s="71"/>
      <c r="E673" s="66"/>
      <c r="F673" s="66"/>
      <c r="G673" s="51"/>
      <c r="H673" s="9" t="s">
        <v>120</v>
      </c>
      <c r="I673" s="8">
        <v>664</v>
      </c>
      <c r="J673" s="14">
        <v>1</v>
      </c>
      <c r="K673" s="14">
        <v>13</v>
      </c>
      <c r="L673" s="14">
        <v>48</v>
      </c>
      <c r="M673" s="58" t="s">
        <v>519</v>
      </c>
      <c r="N673" s="58" t="s">
        <v>544</v>
      </c>
      <c r="O673" s="58" t="s">
        <v>556</v>
      </c>
      <c r="P673" s="8"/>
      <c r="Q673" s="150">
        <f>Q674+Q681+Q683+Q686+Q679</f>
        <v>4824.099999999999</v>
      </c>
      <c r="R673" s="150">
        <f>R674+R681+R683+R686+R679</f>
        <v>4709.299999999999</v>
      </c>
      <c r="S673" s="282">
        <f t="shared" si="27"/>
        <v>0.9762028150328558</v>
      </c>
    </row>
    <row r="674" spans="1:19" ht="24.75" customHeight="1">
      <c r="A674" s="61"/>
      <c r="B674" s="60"/>
      <c r="C674" s="59"/>
      <c r="D674" s="71"/>
      <c r="E674" s="66"/>
      <c r="F674" s="66"/>
      <c r="G674" s="51"/>
      <c r="H674" s="9" t="s">
        <v>309</v>
      </c>
      <c r="I674" s="8">
        <v>664</v>
      </c>
      <c r="J674" s="14">
        <v>1</v>
      </c>
      <c r="K674" s="14">
        <v>13</v>
      </c>
      <c r="L674" s="14">
        <v>48</v>
      </c>
      <c r="M674" s="58" t="s">
        <v>519</v>
      </c>
      <c r="N674" s="58" t="s">
        <v>544</v>
      </c>
      <c r="O674" s="58" t="s">
        <v>584</v>
      </c>
      <c r="P674" s="8"/>
      <c r="Q674" s="150">
        <f>Q675+Q676+Q677+Q678</f>
        <v>3155.8</v>
      </c>
      <c r="R674" s="150">
        <f>R675+R676+R677+R678</f>
        <v>3048.2999999999997</v>
      </c>
      <c r="S674" s="282">
        <f t="shared" si="27"/>
        <v>0.965935737372457</v>
      </c>
    </row>
    <row r="675" spans="1:19" ht="24.75" customHeight="1">
      <c r="A675" s="61"/>
      <c r="B675" s="60"/>
      <c r="C675" s="59"/>
      <c r="D675" s="71"/>
      <c r="E675" s="66"/>
      <c r="F675" s="66"/>
      <c r="G675" s="51"/>
      <c r="H675" s="9" t="s">
        <v>490</v>
      </c>
      <c r="I675" s="8">
        <v>664</v>
      </c>
      <c r="J675" s="14">
        <v>1</v>
      </c>
      <c r="K675" s="14">
        <v>13</v>
      </c>
      <c r="L675" s="14">
        <v>48</v>
      </c>
      <c r="M675" s="58" t="s">
        <v>519</v>
      </c>
      <c r="N675" s="58" t="s">
        <v>544</v>
      </c>
      <c r="O675" s="58" t="s">
        <v>584</v>
      </c>
      <c r="P675" s="8">
        <v>120</v>
      </c>
      <c r="Q675" s="150">
        <f>2820.6-8</f>
        <v>2812.6</v>
      </c>
      <c r="R675" s="150">
        <v>2731.5</v>
      </c>
      <c r="S675" s="282">
        <f t="shared" si="27"/>
        <v>0.9711654696721894</v>
      </c>
    </row>
    <row r="676" spans="1:19" ht="24.75" customHeight="1">
      <c r="A676" s="61"/>
      <c r="B676" s="60"/>
      <c r="C676" s="59"/>
      <c r="D676" s="71"/>
      <c r="E676" s="66"/>
      <c r="F676" s="66"/>
      <c r="G676" s="51"/>
      <c r="H676" s="9" t="s">
        <v>636</v>
      </c>
      <c r="I676" s="8">
        <v>664</v>
      </c>
      <c r="J676" s="14">
        <v>1</v>
      </c>
      <c r="K676" s="14">
        <v>13</v>
      </c>
      <c r="L676" s="14">
        <v>48</v>
      </c>
      <c r="M676" s="58" t="s">
        <v>519</v>
      </c>
      <c r="N676" s="58" t="s">
        <v>544</v>
      </c>
      <c r="O676" s="58" t="s">
        <v>584</v>
      </c>
      <c r="P676" s="8">
        <v>240</v>
      </c>
      <c r="Q676" s="150">
        <f>518.1+46.2+2.6-189.9-11.4-35.4-7</f>
        <v>323.20000000000016</v>
      </c>
      <c r="R676" s="150">
        <v>316.7</v>
      </c>
      <c r="S676" s="282">
        <f t="shared" si="27"/>
        <v>0.9798886138613856</v>
      </c>
    </row>
    <row r="677" spans="1:19" ht="16.5" customHeight="1">
      <c r="A677" s="61"/>
      <c r="B677" s="60"/>
      <c r="C677" s="59"/>
      <c r="D677" s="71"/>
      <c r="E677" s="66"/>
      <c r="F677" s="66"/>
      <c r="G677" s="51"/>
      <c r="H677" s="3" t="s">
        <v>644</v>
      </c>
      <c r="I677" s="8">
        <v>664</v>
      </c>
      <c r="J677" s="14">
        <v>1</v>
      </c>
      <c r="K677" s="14">
        <v>13</v>
      </c>
      <c r="L677" s="14">
        <v>48</v>
      </c>
      <c r="M677" s="58" t="s">
        <v>519</v>
      </c>
      <c r="N677" s="58" t="s">
        <v>544</v>
      </c>
      <c r="O677" s="58" t="s">
        <v>584</v>
      </c>
      <c r="P677" s="8">
        <v>830</v>
      </c>
      <c r="Q677" s="150">
        <v>10</v>
      </c>
      <c r="R677" s="150">
        <v>0</v>
      </c>
      <c r="S677" s="282">
        <f t="shared" si="27"/>
        <v>0</v>
      </c>
    </row>
    <row r="678" spans="1:19" ht="18.75" customHeight="1">
      <c r="A678" s="61"/>
      <c r="B678" s="60"/>
      <c r="C678" s="59"/>
      <c r="D678" s="71"/>
      <c r="E678" s="66"/>
      <c r="F678" s="66"/>
      <c r="G678" s="51"/>
      <c r="H678" s="3" t="s">
        <v>637</v>
      </c>
      <c r="I678" s="8">
        <v>664</v>
      </c>
      <c r="J678" s="14">
        <v>1</v>
      </c>
      <c r="K678" s="14">
        <v>13</v>
      </c>
      <c r="L678" s="14">
        <v>48</v>
      </c>
      <c r="M678" s="58" t="s">
        <v>519</v>
      </c>
      <c r="N678" s="58" t="s">
        <v>544</v>
      </c>
      <c r="O678" s="58" t="s">
        <v>584</v>
      </c>
      <c r="P678" s="8">
        <v>850</v>
      </c>
      <c r="Q678" s="150">
        <v>10</v>
      </c>
      <c r="R678" s="150">
        <v>0.1</v>
      </c>
      <c r="S678" s="282">
        <f t="shared" si="27"/>
        <v>0.01</v>
      </c>
    </row>
    <row r="679" spans="1:19" ht="54.75" customHeight="1">
      <c r="A679" s="61"/>
      <c r="B679" s="60"/>
      <c r="C679" s="59"/>
      <c r="D679" s="71"/>
      <c r="E679" s="66"/>
      <c r="F679" s="66"/>
      <c r="G679" s="51"/>
      <c r="H679" s="70" t="s">
        <v>775</v>
      </c>
      <c r="I679" s="8">
        <v>664</v>
      </c>
      <c r="J679" s="14">
        <v>1</v>
      </c>
      <c r="K679" s="14">
        <v>13</v>
      </c>
      <c r="L679" s="14">
        <v>48</v>
      </c>
      <c r="M679" s="58" t="s">
        <v>519</v>
      </c>
      <c r="N679" s="58" t="s">
        <v>544</v>
      </c>
      <c r="O679" s="58" t="s">
        <v>774</v>
      </c>
      <c r="P679" s="8"/>
      <c r="Q679" s="150">
        <f>Q680</f>
        <v>44.9</v>
      </c>
      <c r="R679" s="150">
        <f>R680</f>
        <v>44.9</v>
      </c>
      <c r="S679" s="282">
        <f t="shared" si="27"/>
        <v>1</v>
      </c>
    </row>
    <row r="680" spans="1:19" ht="18.75" customHeight="1">
      <c r="A680" s="61"/>
      <c r="B680" s="60"/>
      <c r="C680" s="59"/>
      <c r="D680" s="71"/>
      <c r="E680" s="66"/>
      <c r="F680" s="66"/>
      <c r="G680" s="51"/>
      <c r="H680" s="9" t="s">
        <v>490</v>
      </c>
      <c r="I680" s="8">
        <v>664</v>
      </c>
      <c r="J680" s="14">
        <v>1</v>
      </c>
      <c r="K680" s="14">
        <v>13</v>
      </c>
      <c r="L680" s="14">
        <v>48</v>
      </c>
      <c r="M680" s="58" t="s">
        <v>519</v>
      </c>
      <c r="N680" s="58" t="s">
        <v>544</v>
      </c>
      <c r="O680" s="58" t="s">
        <v>774</v>
      </c>
      <c r="P680" s="8">
        <v>120</v>
      </c>
      <c r="Q680" s="150">
        <v>44.9</v>
      </c>
      <c r="R680" s="150">
        <v>44.9</v>
      </c>
      <c r="S680" s="282">
        <f t="shared" si="27"/>
        <v>1</v>
      </c>
    </row>
    <row r="681" spans="1:19" ht="36" customHeight="1">
      <c r="A681" s="61"/>
      <c r="B681" s="60"/>
      <c r="C681" s="59"/>
      <c r="D681" s="71"/>
      <c r="E681" s="66"/>
      <c r="F681" s="66"/>
      <c r="G681" s="51"/>
      <c r="H681" s="9" t="s">
        <v>50</v>
      </c>
      <c r="I681" s="8">
        <v>664</v>
      </c>
      <c r="J681" s="14">
        <v>1</v>
      </c>
      <c r="K681" s="14">
        <v>13</v>
      </c>
      <c r="L681" s="14">
        <v>48</v>
      </c>
      <c r="M681" s="58" t="s">
        <v>519</v>
      </c>
      <c r="N681" s="58" t="s">
        <v>544</v>
      </c>
      <c r="O681" s="58" t="s">
        <v>49</v>
      </c>
      <c r="P681" s="8"/>
      <c r="Q681" s="150">
        <f>Q682</f>
        <v>789.2</v>
      </c>
      <c r="R681" s="150">
        <f>R682</f>
        <v>789.2</v>
      </c>
      <c r="S681" s="282">
        <f t="shared" si="27"/>
        <v>1</v>
      </c>
    </row>
    <row r="682" spans="1:19" ht="24.75" customHeight="1">
      <c r="A682" s="61"/>
      <c r="B682" s="60"/>
      <c r="C682" s="59"/>
      <c r="D682" s="71"/>
      <c r="E682" s="66"/>
      <c r="F682" s="66"/>
      <c r="G682" s="51"/>
      <c r="H682" s="9" t="s">
        <v>490</v>
      </c>
      <c r="I682" s="8">
        <v>664</v>
      </c>
      <c r="J682" s="14">
        <v>1</v>
      </c>
      <c r="K682" s="14">
        <v>13</v>
      </c>
      <c r="L682" s="14">
        <v>48</v>
      </c>
      <c r="M682" s="58" t="s">
        <v>519</v>
      </c>
      <c r="N682" s="58" t="s">
        <v>544</v>
      </c>
      <c r="O682" s="58" t="s">
        <v>49</v>
      </c>
      <c r="P682" s="8">
        <v>120</v>
      </c>
      <c r="Q682" s="150">
        <v>789.2</v>
      </c>
      <c r="R682" s="150">
        <v>789.2</v>
      </c>
      <c r="S682" s="282">
        <f t="shared" si="27"/>
        <v>1</v>
      </c>
    </row>
    <row r="683" spans="1:19" ht="51.75" customHeight="1">
      <c r="A683" s="61"/>
      <c r="B683" s="60"/>
      <c r="C683" s="59"/>
      <c r="D683" s="71"/>
      <c r="E683" s="66"/>
      <c r="F683" s="66"/>
      <c r="G683" s="51"/>
      <c r="H683" s="9" t="s">
        <v>121</v>
      </c>
      <c r="I683" s="8">
        <v>664</v>
      </c>
      <c r="J683" s="14">
        <v>1</v>
      </c>
      <c r="K683" s="14">
        <v>13</v>
      </c>
      <c r="L683" s="14">
        <v>48</v>
      </c>
      <c r="M683" s="58" t="s">
        <v>519</v>
      </c>
      <c r="N683" s="58" t="s">
        <v>544</v>
      </c>
      <c r="O683" s="58" t="s">
        <v>665</v>
      </c>
      <c r="P683" s="8"/>
      <c r="Q683" s="150">
        <f>Q684+Q685</f>
        <v>373.8</v>
      </c>
      <c r="R683" s="150">
        <f>R684+R685</f>
        <v>372.5</v>
      </c>
      <c r="S683" s="282">
        <f t="shared" si="27"/>
        <v>0.9965222043873729</v>
      </c>
    </row>
    <row r="684" spans="1:19" ht="24.75" customHeight="1">
      <c r="A684" s="61"/>
      <c r="B684" s="60"/>
      <c r="C684" s="59"/>
      <c r="D684" s="71"/>
      <c r="E684" s="66"/>
      <c r="F684" s="66"/>
      <c r="G684" s="51"/>
      <c r="H684" s="9" t="s">
        <v>490</v>
      </c>
      <c r="I684" s="8">
        <v>664</v>
      </c>
      <c r="J684" s="14">
        <v>1</v>
      </c>
      <c r="K684" s="14">
        <v>13</v>
      </c>
      <c r="L684" s="14">
        <v>48</v>
      </c>
      <c r="M684" s="58" t="s">
        <v>519</v>
      </c>
      <c r="N684" s="58" t="s">
        <v>544</v>
      </c>
      <c r="O684" s="58" t="s">
        <v>665</v>
      </c>
      <c r="P684" s="8">
        <v>120</v>
      </c>
      <c r="Q684" s="150">
        <f>402.8-37.5</f>
        <v>365.3</v>
      </c>
      <c r="R684" s="150">
        <v>364</v>
      </c>
      <c r="S684" s="282">
        <f t="shared" si="27"/>
        <v>0.99644128113879</v>
      </c>
    </row>
    <row r="685" spans="1:19" ht="24.75" customHeight="1">
      <c r="A685" s="61"/>
      <c r="B685" s="60"/>
      <c r="C685" s="59"/>
      <c r="D685" s="71"/>
      <c r="E685" s="66"/>
      <c r="F685" s="66"/>
      <c r="G685" s="51"/>
      <c r="H685" s="9" t="s">
        <v>636</v>
      </c>
      <c r="I685" s="8">
        <v>664</v>
      </c>
      <c r="J685" s="14">
        <v>1</v>
      </c>
      <c r="K685" s="14">
        <v>13</v>
      </c>
      <c r="L685" s="14">
        <v>48</v>
      </c>
      <c r="M685" s="58" t="s">
        <v>519</v>
      </c>
      <c r="N685" s="58" t="s">
        <v>544</v>
      </c>
      <c r="O685" s="58" t="s">
        <v>665</v>
      </c>
      <c r="P685" s="8">
        <v>240</v>
      </c>
      <c r="Q685" s="150">
        <v>8.5</v>
      </c>
      <c r="R685" s="150">
        <v>8.5</v>
      </c>
      <c r="S685" s="282">
        <f t="shared" si="27"/>
        <v>1</v>
      </c>
    </row>
    <row r="686" spans="1:19" ht="24.75" customHeight="1">
      <c r="A686" s="61"/>
      <c r="B686" s="60"/>
      <c r="C686" s="59"/>
      <c r="D686" s="71"/>
      <c r="E686" s="66"/>
      <c r="F686" s="66"/>
      <c r="G686" s="51"/>
      <c r="H686" s="9" t="s">
        <v>122</v>
      </c>
      <c r="I686" s="8">
        <v>664</v>
      </c>
      <c r="J686" s="14">
        <v>1</v>
      </c>
      <c r="K686" s="14">
        <v>13</v>
      </c>
      <c r="L686" s="14">
        <v>48</v>
      </c>
      <c r="M686" s="58" t="s">
        <v>519</v>
      </c>
      <c r="N686" s="58" t="s">
        <v>544</v>
      </c>
      <c r="O686" s="58" t="s">
        <v>666</v>
      </c>
      <c r="P686" s="8"/>
      <c r="Q686" s="150">
        <f>Q687+Q688</f>
        <v>460.4</v>
      </c>
      <c r="R686" s="150">
        <f>R687+R688</f>
        <v>454.4</v>
      </c>
      <c r="S686" s="282">
        <f t="shared" si="27"/>
        <v>0.9869678540399652</v>
      </c>
    </row>
    <row r="687" spans="1:19" ht="24.75" customHeight="1">
      <c r="A687" s="61"/>
      <c r="B687" s="60"/>
      <c r="C687" s="59"/>
      <c r="D687" s="71"/>
      <c r="E687" s="66"/>
      <c r="F687" s="66"/>
      <c r="G687" s="51"/>
      <c r="H687" s="9" t="s">
        <v>490</v>
      </c>
      <c r="I687" s="8">
        <v>664</v>
      </c>
      <c r="J687" s="14">
        <v>1</v>
      </c>
      <c r="K687" s="14">
        <v>13</v>
      </c>
      <c r="L687" s="14">
        <v>48</v>
      </c>
      <c r="M687" s="58" t="s">
        <v>519</v>
      </c>
      <c r="N687" s="58" t="s">
        <v>544</v>
      </c>
      <c r="O687" s="58" t="s">
        <v>666</v>
      </c>
      <c r="P687" s="8">
        <v>120</v>
      </c>
      <c r="Q687" s="150">
        <f>486.9-35</f>
        <v>451.9</v>
      </c>
      <c r="R687" s="150">
        <v>448</v>
      </c>
      <c r="S687" s="282">
        <f t="shared" si="27"/>
        <v>0.9913697720734677</v>
      </c>
    </row>
    <row r="688" spans="1:19" ht="24.75" customHeight="1">
      <c r="A688" s="61"/>
      <c r="B688" s="60"/>
      <c r="C688" s="59"/>
      <c r="D688" s="71"/>
      <c r="E688" s="66"/>
      <c r="F688" s="66"/>
      <c r="G688" s="51"/>
      <c r="H688" s="9" t="s">
        <v>636</v>
      </c>
      <c r="I688" s="8">
        <v>664</v>
      </c>
      <c r="J688" s="14">
        <v>1</v>
      </c>
      <c r="K688" s="14">
        <v>13</v>
      </c>
      <c r="L688" s="14">
        <v>48</v>
      </c>
      <c r="M688" s="58" t="s">
        <v>519</v>
      </c>
      <c r="N688" s="58" t="s">
        <v>544</v>
      </c>
      <c r="O688" s="58" t="s">
        <v>666</v>
      </c>
      <c r="P688" s="8">
        <v>240</v>
      </c>
      <c r="Q688" s="150">
        <v>8.5</v>
      </c>
      <c r="R688" s="150">
        <v>6.4</v>
      </c>
      <c r="S688" s="282">
        <f t="shared" si="27"/>
        <v>0.7529411764705882</v>
      </c>
    </row>
    <row r="689" spans="1:19" ht="51.75" customHeight="1">
      <c r="A689" s="61"/>
      <c r="B689" s="60"/>
      <c r="C689" s="59"/>
      <c r="D689" s="71"/>
      <c r="E689" s="66"/>
      <c r="F689" s="66"/>
      <c r="G689" s="51"/>
      <c r="H689" s="9" t="s">
        <v>113</v>
      </c>
      <c r="I689" s="8">
        <v>664</v>
      </c>
      <c r="J689" s="14">
        <v>1</v>
      </c>
      <c r="K689" s="14">
        <v>13</v>
      </c>
      <c r="L689" s="57" t="s">
        <v>112</v>
      </c>
      <c r="M689" s="58" t="s">
        <v>519</v>
      </c>
      <c r="N689" s="58" t="s">
        <v>111</v>
      </c>
      <c r="O689" s="58" t="s">
        <v>556</v>
      </c>
      <c r="P689" s="8"/>
      <c r="Q689" s="150">
        <f>Q690</f>
        <v>73.7</v>
      </c>
      <c r="R689" s="150">
        <f>R690</f>
        <v>73.7</v>
      </c>
      <c r="S689" s="282">
        <f t="shared" si="27"/>
        <v>1</v>
      </c>
    </row>
    <row r="690" spans="1:19" ht="50.25" customHeight="1">
      <c r="A690" s="61"/>
      <c r="B690" s="60"/>
      <c r="C690" s="59"/>
      <c r="D690" s="71"/>
      <c r="E690" s="66"/>
      <c r="F690" s="66"/>
      <c r="G690" s="51"/>
      <c r="H690" s="9" t="s">
        <v>266</v>
      </c>
      <c r="I690" s="8">
        <v>664</v>
      </c>
      <c r="J690" s="14">
        <v>1</v>
      </c>
      <c r="K690" s="14">
        <v>13</v>
      </c>
      <c r="L690" s="14">
        <v>48</v>
      </c>
      <c r="M690" s="58" t="s">
        <v>519</v>
      </c>
      <c r="N690" s="58" t="s">
        <v>111</v>
      </c>
      <c r="O690" s="58" t="s">
        <v>704</v>
      </c>
      <c r="P690" s="8"/>
      <c r="Q690" s="150">
        <f>Q691</f>
        <v>73.7</v>
      </c>
      <c r="R690" s="150">
        <f>R691</f>
        <v>73.7</v>
      </c>
      <c r="S690" s="282">
        <f t="shared" si="27"/>
        <v>1</v>
      </c>
    </row>
    <row r="691" spans="1:19" ht="24.75" customHeight="1">
      <c r="A691" s="61"/>
      <c r="B691" s="60"/>
      <c r="C691" s="59"/>
      <c r="D691" s="71"/>
      <c r="E691" s="66"/>
      <c r="F691" s="66"/>
      <c r="G691" s="51"/>
      <c r="H691" s="9" t="s">
        <v>636</v>
      </c>
      <c r="I691" s="8">
        <v>664</v>
      </c>
      <c r="J691" s="14">
        <v>1</v>
      </c>
      <c r="K691" s="14">
        <v>13</v>
      </c>
      <c r="L691" s="14">
        <v>48</v>
      </c>
      <c r="M691" s="58" t="s">
        <v>519</v>
      </c>
      <c r="N691" s="58" t="s">
        <v>111</v>
      </c>
      <c r="O691" s="58" t="s">
        <v>704</v>
      </c>
      <c r="P691" s="8">
        <v>240</v>
      </c>
      <c r="Q691" s="150">
        <v>73.7</v>
      </c>
      <c r="R691" s="150">
        <v>73.7</v>
      </c>
      <c r="S691" s="282">
        <f t="shared" si="27"/>
        <v>1</v>
      </c>
    </row>
    <row r="692" spans="1:19" s="135" customFormat="1" ht="27.75" customHeight="1">
      <c r="A692" s="101"/>
      <c r="B692" s="102"/>
      <c r="C692" s="101"/>
      <c r="D692" s="94"/>
      <c r="E692" s="94"/>
      <c r="F692" s="94"/>
      <c r="G692" s="95"/>
      <c r="H692" s="108" t="s">
        <v>488</v>
      </c>
      <c r="I692" s="97">
        <v>664</v>
      </c>
      <c r="J692" s="98">
        <v>4</v>
      </c>
      <c r="K692" s="98" t="s">
        <v>557</v>
      </c>
      <c r="L692" s="99"/>
      <c r="M692" s="100"/>
      <c r="N692" s="100"/>
      <c r="O692" s="100"/>
      <c r="P692" s="174"/>
      <c r="Q692" s="153">
        <f aca="true" t="shared" si="28" ref="Q692:R696">Q693</f>
        <v>200</v>
      </c>
      <c r="R692" s="153">
        <f t="shared" si="28"/>
        <v>0</v>
      </c>
      <c r="S692" s="282">
        <f t="shared" si="27"/>
        <v>0</v>
      </c>
    </row>
    <row r="693" spans="1:19" s="135" customFormat="1" ht="30" customHeight="1">
      <c r="A693" s="101"/>
      <c r="B693" s="102"/>
      <c r="C693" s="101"/>
      <c r="D693" s="94"/>
      <c r="E693" s="94"/>
      <c r="F693" s="94"/>
      <c r="G693" s="95"/>
      <c r="H693" s="108" t="s">
        <v>305</v>
      </c>
      <c r="I693" s="97">
        <v>664</v>
      </c>
      <c r="J693" s="98">
        <v>4</v>
      </c>
      <c r="K693" s="98">
        <v>9</v>
      </c>
      <c r="L693" s="99"/>
      <c r="M693" s="100"/>
      <c r="N693" s="100"/>
      <c r="O693" s="100"/>
      <c r="P693" s="174"/>
      <c r="Q693" s="153">
        <f t="shared" si="28"/>
        <v>200</v>
      </c>
      <c r="R693" s="153">
        <f t="shared" si="28"/>
        <v>0</v>
      </c>
      <c r="S693" s="282">
        <f t="shared" si="27"/>
        <v>0</v>
      </c>
    </row>
    <row r="694" spans="1:19" ht="36.75" customHeight="1">
      <c r="A694" s="61"/>
      <c r="B694" s="60"/>
      <c r="C694" s="59"/>
      <c r="D694" s="56"/>
      <c r="E694" s="56"/>
      <c r="F694" s="56"/>
      <c r="G694" s="51"/>
      <c r="H694" s="3" t="s">
        <v>689</v>
      </c>
      <c r="I694" s="8">
        <v>664</v>
      </c>
      <c r="J694" s="14">
        <v>4</v>
      </c>
      <c r="K694" s="14">
        <v>9</v>
      </c>
      <c r="L694" s="57" t="s">
        <v>544</v>
      </c>
      <c r="M694" s="58" t="s">
        <v>519</v>
      </c>
      <c r="N694" s="58" t="s">
        <v>539</v>
      </c>
      <c r="O694" s="58" t="s">
        <v>556</v>
      </c>
      <c r="P694" s="20"/>
      <c r="Q694" s="154">
        <f t="shared" si="28"/>
        <v>200</v>
      </c>
      <c r="R694" s="154">
        <f t="shared" si="28"/>
        <v>0</v>
      </c>
      <c r="S694" s="282">
        <f t="shared" si="27"/>
        <v>0</v>
      </c>
    </row>
    <row r="695" spans="1:19" ht="24" customHeight="1">
      <c r="A695" s="61"/>
      <c r="B695" s="60"/>
      <c r="C695" s="59"/>
      <c r="D695" s="56"/>
      <c r="E695" s="56"/>
      <c r="F695" s="56"/>
      <c r="G695" s="51"/>
      <c r="H695" s="3" t="s">
        <v>698</v>
      </c>
      <c r="I695" s="8">
        <v>664</v>
      </c>
      <c r="J695" s="14">
        <v>4</v>
      </c>
      <c r="K695" s="14">
        <v>9</v>
      </c>
      <c r="L695" s="57" t="s">
        <v>544</v>
      </c>
      <c r="M695" s="58" t="s">
        <v>519</v>
      </c>
      <c r="N695" s="58" t="s">
        <v>544</v>
      </c>
      <c r="O695" s="58" t="s">
        <v>556</v>
      </c>
      <c r="P695" s="20"/>
      <c r="Q695" s="154">
        <f t="shared" si="28"/>
        <v>200</v>
      </c>
      <c r="R695" s="154">
        <f t="shared" si="28"/>
        <v>0</v>
      </c>
      <c r="S695" s="282">
        <f t="shared" si="27"/>
        <v>0</v>
      </c>
    </row>
    <row r="696" spans="1:19" ht="23.25" customHeight="1">
      <c r="A696" s="61"/>
      <c r="B696" s="60"/>
      <c r="C696" s="59"/>
      <c r="D696" s="56"/>
      <c r="E696" s="56"/>
      <c r="F696" s="56"/>
      <c r="G696" s="51"/>
      <c r="H696" s="3" t="s">
        <v>699</v>
      </c>
      <c r="I696" s="8">
        <v>664</v>
      </c>
      <c r="J696" s="14">
        <v>4</v>
      </c>
      <c r="K696" s="14">
        <v>9</v>
      </c>
      <c r="L696" s="57" t="s">
        <v>544</v>
      </c>
      <c r="M696" s="58" t="s">
        <v>519</v>
      </c>
      <c r="N696" s="58" t="s">
        <v>544</v>
      </c>
      <c r="O696" s="58" t="s">
        <v>676</v>
      </c>
      <c r="P696" s="20"/>
      <c r="Q696" s="154">
        <f t="shared" si="28"/>
        <v>200</v>
      </c>
      <c r="R696" s="154">
        <f t="shared" si="28"/>
        <v>0</v>
      </c>
      <c r="S696" s="282">
        <f t="shared" si="27"/>
        <v>0</v>
      </c>
    </row>
    <row r="697" spans="1:19" ht="20.25" customHeight="1">
      <c r="A697" s="61"/>
      <c r="B697" s="60"/>
      <c r="C697" s="59"/>
      <c r="D697" s="56"/>
      <c r="E697" s="56"/>
      <c r="F697" s="56"/>
      <c r="G697" s="51"/>
      <c r="H697" s="3" t="s">
        <v>688</v>
      </c>
      <c r="I697" s="8">
        <v>664</v>
      </c>
      <c r="J697" s="14">
        <v>4</v>
      </c>
      <c r="K697" s="14">
        <v>9</v>
      </c>
      <c r="L697" s="57" t="s">
        <v>544</v>
      </c>
      <c r="M697" s="58" t="s">
        <v>519</v>
      </c>
      <c r="N697" s="58" t="s">
        <v>544</v>
      </c>
      <c r="O697" s="58" t="s">
        <v>676</v>
      </c>
      <c r="P697" s="20">
        <v>240</v>
      </c>
      <c r="Q697" s="154">
        <v>200</v>
      </c>
      <c r="R697" s="154">
        <v>0</v>
      </c>
      <c r="S697" s="282">
        <f t="shared" si="27"/>
        <v>0</v>
      </c>
    </row>
    <row r="698" spans="1:19" s="135" customFormat="1" ht="20.25" customHeight="1">
      <c r="A698" s="101"/>
      <c r="B698" s="102"/>
      <c r="C698" s="101"/>
      <c r="D698" s="170"/>
      <c r="E698" s="125"/>
      <c r="F698" s="125"/>
      <c r="G698" s="95"/>
      <c r="H698" s="96" t="s">
        <v>498</v>
      </c>
      <c r="I698" s="97">
        <v>664</v>
      </c>
      <c r="J698" s="98">
        <v>10</v>
      </c>
      <c r="K698" s="98" t="s">
        <v>557</v>
      </c>
      <c r="L698" s="99"/>
      <c r="M698" s="100"/>
      <c r="N698" s="100"/>
      <c r="O698" s="100"/>
      <c r="P698" s="174"/>
      <c r="Q698" s="153">
        <f aca="true" t="shared" si="29" ref="Q698:R702">Q699</f>
        <v>4914.8</v>
      </c>
      <c r="R698" s="153">
        <f t="shared" si="29"/>
        <v>4914.8</v>
      </c>
      <c r="S698" s="282">
        <f t="shared" si="27"/>
        <v>1</v>
      </c>
    </row>
    <row r="699" spans="1:19" s="135" customFormat="1" ht="20.25" customHeight="1">
      <c r="A699" s="101"/>
      <c r="B699" s="102"/>
      <c r="C699" s="101"/>
      <c r="D699" s="170"/>
      <c r="E699" s="125"/>
      <c r="F699" s="125"/>
      <c r="G699" s="95"/>
      <c r="H699" s="96" t="s">
        <v>497</v>
      </c>
      <c r="I699" s="97">
        <v>664</v>
      </c>
      <c r="J699" s="98">
        <v>10</v>
      </c>
      <c r="K699" s="98">
        <v>3</v>
      </c>
      <c r="L699" s="99"/>
      <c r="M699" s="100"/>
      <c r="N699" s="100"/>
      <c r="O699" s="100"/>
      <c r="P699" s="174"/>
      <c r="Q699" s="153">
        <f t="shared" si="29"/>
        <v>4914.8</v>
      </c>
      <c r="R699" s="153">
        <f t="shared" si="29"/>
        <v>4914.8</v>
      </c>
      <c r="S699" s="282">
        <f t="shared" si="27"/>
        <v>1</v>
      </c>
    </row>
    <row r="700" spans="1:19" ht="37.5" customHeight="1">
      <c r="A700" s="59"/>
      <c r="B700" s="60"/>
      <c r="C700" s="59"/>
      <c r="D700" s="73"/>
      <c r="E700" s="76"/>
      <c r="F700" s="76"/>
      <c r="G700" s="51"/>
      <c r="H700" s="9" t="s">
        <v>114</v>
      </c>
      <c r="I700" s="8">
        <v>664</v>
      </c>
      <c r="J700" s="14">
        <v>10</v>
      </c>
      <c r="K700" s="14">
        <v>3</v>
      </c>
      <c r="L700" s="57" t="s">
        <v>112</v>
      </c>
      <c r="M700" s="58" t="s">
        <v>519</v>
      </c>
      <c r="N700" s="58" t="s">
        <v>539</v>
      </c>
      <c r="O700" s="58" t="s">
        <v>556</v>
      </c>
      <c r="P700" s="20"/>
      <c r="Q700" s="154">
        <f t="shared" si="29"/>
        <v>4914.8</v>
      </c>
      <c r="R700" s="154">
        <f t="shared" si="29"/>
        <v>4914.8</v>
      </c>
      <c r="S700" s="282">
        <f t="shared" si="27"/>
        <v>1</v>
      </c>
    </row>
    <row r="701" spans="1:19" ht="50.25" customHeight="1">
      <c r="A701" s="59"/>
      <c r="B701" s="60"/>
      <c r="C701" s="59"/>
      <c r="D701" s="73"/>
      <c r="E701" s="76"/>
      <c r="F701" s="76"/>
      <c r="G701" s="51"/>
      <c r="H701" s="9" t="s">
        <v>113</v>
      </c>
      <c r="I701" s="8">
        <v>664</v>
      </c>
      <c r="J701" s="14">
        <v>10</v>
      </c>
      <c r="K701" s="14">
        <v>3</v>
      </c>
      <c r="L701" s="57" t="s">
        <v>112</v>
      </c>
      <c r="M701" s="58" t="s">
        <v>519</v>
      </c>
      <c r="N701" s="58" t="s">
        <v>115</v>
      </c>
      <c r="O701" s="58" t="s">
        <v>556</v>
      </c>
      <c r="P701" s="20"/>
      <c r="Q701" s="154">
        <f t="shared" si="29"/>
        <v>4914.8</v>
      </c>
      <c r="R701" s="154">
        <f t="shared" si="29"/>
        <v>4914.8</v>
      </c>
      <c r="S701" s="282">
        <f t="shared" si="27"/>
        <v>1</v>
      </c>
    </row>
    <row r="702" spans="1:19" ht="51" customHeight="1">
      <c r="A702" s="61"/>
      <c r="B702" s="60"/>
      <c r="C702" s="65"/>
      <c r="D702" s="63"/>
      <c r="E702" s="75"/>
      <c r="F702" s="75"/>
      <c r="G702" s="51"/>
      <c r="H702" s="9" t="s">
        <v>266</v>
      </c>
      <c r="I702" s="8">
        <v>664</v>
      </c>
      <c r="J702" s="14">
        <v>10</v>
      </c>
      <c r="K702" s="14">
        <v>3</v>
      </c>
      <c r="L702" s="57" t="s">
        <v>112</v>
      </c>
      <c r="M702" s="58" t="s">
        <v>519</v>
      </c>
      <c r="N702" s="58" t="s">
        <v>111</v>
      </c>
      <c r="O702" s="58" t="s">
        <v>704</v>
      </c>
      <c r="P702" s="8"/>
      <c r="Q702" s="150">
        <f t="shared" si="29"/>
        <v>4914.8</v>
      </c>
      <c r="R702" s="150">
        <f t="shared" si="29"/>
        <v>4914.8</v>
      </c>
      <c r="S702" s="282">
        <f t="shared" si="27"/>
        <v>1</v>
      </c>
    </row>
    <row r="703" spans="1:19" ht="27" customHeight="1">
      <c r="A703" s="61"/>
      <c r="B703" s="60"/>
      <c r="C703" s="65"/>
      <c r="D703" s="63"/>
      <c r="E703" s="75"/>
      <c r="F703" s="75"/>
      <c r="G703" s="51"/>
      <c r="H703" s="9" t="s">
        <v>641</v>
      </c>
      <c r="I703" s="8">
        <v>664</v>
      </c>
      <c r="J703" s="14">
        <v>10</v>
      </c>
      <c r="K703" s="14">
        <v>3</v>
      </c>
      <c r="L703" s="57" t="s">
        <v>112</v>
      </c>
      <c r="M703" s="58" t="s">
        <v>519</v>
      </c>
      <c r="N703" s="58" t="s">
        <v>111</v>
      </c>
      <c r="O703" s="58" t="s">
        <v>704</v>
      </c>
      <c r="P703" s="8">
        <v>320</v>
      </c>
      <c r="Q703" s="150">
        <v>4914.8</v>
      </c>
      <c r="R703" s="150">
        <v>4914.8</v>
      </c>
      <c r="S703" s="282">
        <f t="shared" si="27"/>
        <v>1</v>
      </c>
    </row>
    <row r="704" spans="1:19" ht="21.75" customHeight="1">
      <c r="A704" s="61"/>
      <c r="B704" s="60"/>
      <c r="C704" s="59"/>
      <c r="D704" s="283">
        <v>20000</v>
      </c>
      <c r="E704" s="284"/>
      <c r="F704" s="284"/>
      <c r="G704" s="51">
        <v>360</v>
      </c>
      <c r="H704" s="87" t="s">
        <v>489</v>
      </c>
      <c r="I704" s="52"/>
      <c r="J704" s="53"/>
      <c r="K704" s="53"/>
      <c r="L704" s="54"/>
      <c r="M704" s="55"/>
      <c r="N704" s="55"/>
      <c r="O704" s="55"/>
      <c r="P704" s="7"/>
      <c r="Q704" s="148">
        <f>Q11+Q380+Q393+Q408+Q470+Q658+Q338</f>
        <v>639063.7999999999</v>
      </c>
      <c r="R704" s="148">
        <f>R11+R380+R393+R408+R470+R658+R338</f>
        <v>567626.4</v>
      </c>
      <c r="S704" s="282">
        <f t="shared" si="27"/>
        <v>0.8882155427987004</v>
      </c>
    </row>
    <row r="705" spans="17:18" ht="15.75">
      <c r="Q705" s="234" t="s">
        <v>557</v>
      </c>
      <c r="R705" s="234" t="s">
        <v>557</v>
      </c>
    </row>
  </sheetData>
  <sheetProtection/>
  <mergeCells count="38">
    <mergeCell ref="H7:R7"/>
    <mergeCell ref="D261:F261"/>
    <mergeCell ref="E297:F297"/>
    <mergeCell ref="A38:F38"/>
    <mergeCell ref="C13:F13"/>
    <mergeCell ref="D15:F15"/>
    <mergeCell ref="E262:F262"/>
    <mergeCell ref="E172:F172"/>
    <mergeCell ref="L9:O9"/>
    <mergeCell ref="C39:F39"/>
    <mergeCell ref="A12:F12"/>
    <mergeCell ref="A11:F11"/>
    <mergeCell ref="C246:F246"/>
    <mergeCell ref="L10:O10"/>
    <mergeCell ref="E472:F472"/>
    <mergeCell ref="E57:F57"/>
    <mergeCell ref="C239:F239"/>
    <mergeCell ref="D40:F40"/>
    <mergeCell ref="D60:F60"/>
    <mergeCell ref="A395:F395"/>
    <mergeCell ref="D397:F397"/>
    <mergeCell ref="D248:F248"/>
    <mergeCell ref="A658:F658"/>
    <mergeCell ref="D704:F704"/>
    <mergeCell ref="E650:F650"/>
    <mergeCell ref="E651:F651"/>
    <mergeCell ref="A659:F659"/>
    <mergeCell ref="C660:F660"/>
    <mergeCell ref="D305:F305"/>
    <mergeCell ref="E263:F263"/>
    <mergeCell ref="D471:F471"/>
    <mergeCell ref="E313:F313"/>
    <mergeCell ref="D289:F289"/>
    <mergeCell ref="E410:F410"/>
    <mergeCell ref="E393:F393"/>
    <mergeCell ref="D321:F321"/>
    <mergeCell ref="D409:F409"/>
    <mergeCell ref="D299:F299"/>
  </mergeCells>
  <printOptions/>
  <pageMargins left="0.56" right="0.27" top="0.33" bottom="0.52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6"/>
  <sheetViews>
    <sheetView zoomScale="80" zoomScaleNormal="80" zoomScalePageLayoutView="0" workbookViewId="0" topLeftCell="A138">
      <selection activeCell="C6" sqref="C6"/>
    </sheetView>
  </sheetViews>
  <sheetFormatPr defaultColWidth="9.140625" defaultRowHeight="15"/>
  <cols>
    <col min="1" max="1" width="119.57421875" style="202" customWidth="1"/>
    <col min="2" max="2" width="15.00390625" style="202" customWidth="1"/>
    <col min="3" max="3" width="6.8515625" style="206" customWidth="1"/>
    <col min="4" max="4" width="9.00390625" style="206" customWidth="1"/>
    <col min="5" max="5" width="8.7109375" style="202" customWidth="1"/>
    <col min="6" max="7" width="13.28125" style="207" customWidth="1"/>
    <col min="8" max="16384" width="9.140625" style="202" customWidth="1"/>
  </cols>
  <sheetData>
    <row r="1" spans="1:11" s="262" customFormat="1" ht="18.75" customHeight="1">
      <c r="A1" s="260"/>
      <c r="B1" s="304" t="s">
        <v>782</v>
      </c>
      <c r="C1" s="304"/>
      <c r="D1" s="304"/>
      <c r="E1" s="304"/>
      <c r="F1" s="304"/>
      <c r="G1" s="304"/>
      <c r="H1" s="304"/>
      <c r="I1" s="304"/>
      <c r="J1" s="261"/>
      <c r="K1" s="261" t="s">
        <v>557</v>
      </c>
    </row>
    <row r="2" spans="1:11" s="262" customFormat="1" ht="18.75" customHeight="1">
      <c r="A2" s="260"/>
      <c r="B2" s="305" t="s">
        <v>783</v>
      </c>
      <c r="C2" s="305"/>
      <c r="D2" s="305"/>
      <c r="E2" s="305"/>
      <c r="F2" s="305"/>
      <c r="G2" s="305"/>
      <c r="H2" s="305"/>
      <c r="I2" s="305"/>
      <c r="J2" s="224"/>
      <c r="K2" s="224" t="s">
        <v>557</v>
      </c>
    </row>
    <row r="3" spans="1:11" s="262" customFormat="1" ht="18.75" customHeight="1">
      <c r="A3" s="260"/>
      <c r="B3" s="305" t="s">
        <v>793</v>
      </c>
      <c r="C3" s="305"/>
      <c r="D3" s="305"/>
      <c r="E3" s="305"/>
      <c r="F3" s="305"/>
      <c r="G3" s="305"/>
      <c r="H3" s="263"/>
      <c r="I3" s="254"/>
      <c r="J3" s="224"/>
      <c r="K3" s="224"/>
    </row>
    <row r="4" spans="1:19" s="262" customFormat="1" ht="16.5" customHeight="1">
      <c r="A4" s="260"/>
      <c r="B4" s="306" t="s">
        <v>789</v>
      </c>
      <c r="C4" s="306"/>
      <c r="D4" s="306"/>
      <c r="E4" s="306"/>
      <c r="F4" s="306"/>
      <c r="G4" s="306"/>
      <c r="H4" s="264"/>
      <c r="K4" s="265" t="s">
        <v>557</v>
      </c>
      <c r="L4"/>
      <c r="M4"/>
      <c r="N4"/>
      <c r="O4"/>
      <c r="P4"/>
      <c r="Q4"/>
      <c r="R4"/>
      <c r="S4"/>
    </row>
    <row r="5" spans="1:19" s="262" customFormat="1" ht="16.5" customHeight="1">
      <c r="A5" s="260"/>
      <c r="B5" s="266"/>
      <c r="C5" s="265"/>
      <c r="D5" s="265"/>
      <c r="E5" s="265"/>
      <c r="F5" s="265"/>
      <c r="G5" s="265"/>
      <c r="H5" s="267"/>
      <c r="I5" s="265"/>
      <c r="L5"/>
      <c r="M5"/>
      <c r="N5"/>
      <c r="O5"/>
      <c r="P5"/>
      <c r="Q5"/>
      <c r="R5"/>
      <c r="S5"/>
    </row>
    <row r="6" spans="1:19" s="262" customFormat="1" ht="16.5" customHeight="1">
      <c r="A6" s="260"/>
      <c r="B6" s="266"/>
      <c r="C6" s="265"/>
      <c r="D6" s="265"/>
      <c r="E6" s="265"/>
      <c r="F6" s="265"/>
      <c r="G6" s="265"/>
      <c r="H6" s="267"/>
      <c r="I6" s="265"/>
      <c r="L6"/>
      <c r="M6"/>
      <c r="N6"/>
      <c r="O6"/>
      <c r="P6"/>
      <c r="Q6"/>
      <c r="R6"/>
      <c r="S6"/>
    </row>
    <row r="7" spans="1:19" s="262" customFormat="1" ht="15.75">
      <c r="A7" s="260"/>
      <c r="B7" s="268"/>
      <c r="C7" s="269"/>
      <c r="D7" s="269"/>
      <c r="E7" s="269"/>
      <c r="H7" s="270"/>
      <c r="L7"/>
      <c r="M7"/>
      <c r="N7"/>
      <c r="O7"/>
      <c r="P7"/>
      <c r="Q7"/>
      <c r="R7"/>
      <c r="S7"/>
    </row>
    <row r="8" spans="1:19" s="274" customFormat="1" ht="17.25">
      <c r="A8" s="307" t="s">
        <v>790</v>
      </c>
      <c r="B8" s="307"/>
      <c r="C8" s="307"/>
      <c r="D8" s="307"/>
      <c r="E8" s="307"/>
      <c r="F8" s="307"/>
      <c r="G8" s="307"/>
      <c r="H8" s="271"/>
      <c r="I8" s="272"/>
      <c r="J8" s="272"/>
      <c r="K8" s="272"/>
      <c r="L8" s="273"/>
      <c r="M8" s="273"/>
      <c r="N8" s="273"/>
      <c r="O8" s="273"/>
      <c r="P8" s="273"/>
      <c r="Q8" s="273"/>
      <c r="R8" s="273"/>
      <c r="S8" s="273"/>
    </row>
    <row r="9" spans="1:19" s="274" customFormat="1" ht="18.75">
      <c r="A9" s="310" t="s">
        <v>791</v>
      </c>
      <c r="B9" s="310"/>
      <c r="C9" s="310"/>
      <c r="D9" s="310"/>
      <c r="E9" s="310"/>
      <c r="F9" s="310"/>
      <c r="G9" s="310"/>
      <c r="H9" s="276"/>
      <c r="I9" s="275"/>
      <c r="J9" s="275"/>
      <c r="K9" s="275"/>
      <c r="L9" s="273"/>
      <c r="M9" s="273"/>
      <c r="N9" s="273"/>
      <c r="O9" s="273"/>
      <c r="P9" s="273"/>
      <c r="Q9" s="273"/>
      <c r="R9" s="273"/>
      <c r="S9" s="273"/>
    </row>
    <row r="10" spans="1:7" ht="39.75" customHeight="1">
      <c r="A10" s="191"/>
      <c r="B10" s="191"/>
      <c r="C10" s="192"/>
      <c r="D10" s="192"/>
      <c r="E10" s="191"/>
      <c r="F10" s="207" t="s">
        <v>557</v>
      </c>
      <c r="G10" s="207" t="s">
        <v>8</v>
      </c>
    </row>
    <row r="11" spans="1:7" ht="15.75" customHeight="1">
      <c r="A11" s="314" t="s">
        <v>469</v>
      </c>
      <c r="B11" s="314" t="s">
        <v>465</v>
      </c>
      <c r="C11" s="315" t="s">
        <v>468</v>
      </c>
      <c r="D11" s="315" t="s">
        <v>348</v>
      </c>
      <c r="E11" s="314" t="s">
        <v>464</v>
      </c>
      <c r="F11" s="308" t="s">
        <v>785</v>
      </c>
      <c r="G11" s="302" t="s">
        <v>786</v>
      </c>
    </row>
    <row r="12" spans="1:7" ht="15.75" customHeight="1">
      <c r="A12" s="314"/>
      <c r="B12" s="314"/>
      <c r="C12" s="315"/>
      <c r="D12" s="315"/>
      <c r="E12" s="314"/>
      <c r="F12" s="309"/>
      <c r="G12" s="303"/>
    </row>
    <row r="13" spans="1:7" ht="15.75">
      <c r="A13" s="194">
        <v>1</v>
      </c>
      <c r="B13" s="194">
        <v>2</v>
      </c>
      <c r="C13" s="195">
        <v>3</v>
      </c>
      <c r="D13" s="195">
        <v>4</v>
      </c>
      <c r="E13" s="194">
        <v>5</v>
      </c>
      <c r="F13" s="195">
        <v>6</v>
      </c>
      <c r="G13" s="218" t="s">
        <v>457</v>
      </c>
    </row>
    <row r="14" spans="1:7" ht="36.75" customHeight="1">
      <c r="A14" s="210" t="s">
        <v>21</v>
      </c>
      <c r="B14" s="196" t="s">
        <v>645</v>
      </c>
      <c r="C14" s="197"/>
      <c r="D14" s="197"/>
      <c r="E14" s="196"/>
      <c r="F14" s="200">
        <f>F15+F18+F21</f>
        <v>228.1</v>
      </c>
      <c r="G14" s="200">
        <f>G15+G18+G21</f>
        <v>208</v>
      </c>
    </row>
    <row r="15" spans="1:7" ht="26.25" customHeight="1">
      <c r="A15" s="211" t="s">
        <v>434</v>
      </c>
      <c r="B15" s="193" t="s">
        <v>648</v>
      </c>
      <c r="C15" s="198"/>
      <c r="D15" s="198"/>
      <c r="E15" s="193"/>
      <c r="F15" s="199">
        <f>F16</f>
        <v>101.1</v>
      </c>
      <c r="G15" s="199">
        <f>G16</f>
        <v>90</v>
      </c>
    </row>
    <row r="16" spans="1:7" ht="31.5">
      <c r="A16" s="211" t="s">
        <v>218</v>
      </c>
      <c r="B16" s="193" t="s">
        <v>649</v>
      </c>
      <c r="C16" s="198"/>
      <c r="D16" s="198"/>
      <c r="E16" s="193"/>
      <c r="F16" s="199">
        <f>F17</f>
        <v>101.1</v>
      </c>
      <c r="G16" s="199">
        <f>G17</f>
        <v>90</v>
      </c>
    </row>
    <row r="17" spans="1:7" ht="15.75">
      <c r="A17" s="211" t="s">
        <v>550</v>
      </c>
      <c r="B17" s="193" t="s">
        <v>649</v>
      </c>
      <c r="C17" s="198" t="s">
        <v>349</v>
      </c>
      <c r="D17" s="198" t="s">
        <v>350</v>
      </c>
      <c r="E17" s="193">
        <v>340</v>
      </c>
      <c r="F17" s="199">
        <f>'Приложение 4'!Q366</f>
        <v>101.1</v>
      </c>
      <c r="G17" s="199">
        <f>'Приложение 4'!R366</f>
        <v>90</v>
      </c>
    </row>
    <row r="18" spans="1:7" ht="21" customHeight="1">
      <c r="A18" s="211" t="s">
        <v>435</v>
      </c>
      <c r="B18" s="193" t="s">
        <v>659</v>
      </c>
      <c r="C18" s="198"/>
      <c r="D18" s="198"/>
      <c r="E18" s="193"/>
      <c r="F18" s="199">
        <f>F19</f>
        <v>55</v>
      </c>
      <c r="G18" s="199">
        <f>G19</f>
        <v>55</v>
      </c>
    </row>
    <row r="19" spans="1:7" ht="27" customHeight="1">
      <c r="A19" s="211" t="s">
        <v>218</v>
      </c>
      <c r="B19" s="193" t="s">
        <v>660</v>
      </c>
      <c r="C19" s="198"/>
      <c r="D19" s="198"/>
      <c r="E19" s="193"/>
      <c r="F19" s="199">
        <f>F20</f>
        <v>55</v>
      </c>
      <c r="G19" s="199">
        <f>G20</f>
        <v>55</v>
      </c>
    </row>
    <row r="20" spans="1:7" ht="17.25" customHeight="1">
      <c r="A20" s="211" t="s">
        <v>636</v>
      </c>
      <c r="B20" s="193" t="s">
        <v>660</v>
      </c>
      <c r="C20" s="198" t="s">
        <v>349</v>
      </c>
      <c r="D20" s="198" t="s">
        <v>350</v>
      </c>
      <c r="E20" s="193">
        <v>240</v>
      </c>
      <c r="F20" s="199">
        <f>'Приложение 4'!Q369</f>
        <v>55</v>
      </c>
      <c r="G20" s="199">
        <f>'Приложение 4'!R369</f>
        <v>55</v>
      </c>
    </row>
    <row r="21" spans="1:7" ht="49.5" customHeight="1">
      <c r="A21" s="211" t="s">
        <v>477</v>
      </c>
      <c r="B21" s="193" t="s">
        <v>12</v>
      </c>
      <c r="C21" s="198"/>
      <c r="D21" s="198"/>
      <c r="E21" s="193"/>
      <c r="F21" s="199">
        <f>F22</f>
        <v>72</v>
      </c>
      <c r="G21" s="199">
        <f>G22</f>
        <v>63</v>
      </c>
    </row>
    <row r="22" spans="1:7" ht="42" customHeight="1">
      <c r="A22" s="211" t="s">
        <v>218</v>
      </c>
      <c r="B22" s="193" t="s">
        <v>11</v>
      </c>
      <c r="C22" s="198"/>
      <c r="D22" s="198"/>
      <c r="E22" s="193"/>
      <c r="F22" s="199">
        <f>F23</f>
        <v>72</v>
      </c>
      <c r="G22" s="199">
        <f>G23</f>
        <v>63</v>
      </c>
    </row>
    <row r="23" spans="1:7" ht="15.75">
      <c r="A23" s="211" t="s">
        <v>640</v>
      </c>
      <c r="B23" s="193" t="s">
        <v>11</v>
      </c>
      <c r="C23" s="198" t="s">
        <v>349</v>
      </c>
      <c r="D23" s="198" t="s">
        <v>352</v>
      </c>
      <c r="E23" s="193">
        <v>310</v>
      </c>
      <c r="F23" s="199">
        <f>'Приложение 4'!Q377</f>
        <v>72</v>
      </c>
      <c r="G23" s="199">
        <f>'Приложение 4'!R377</f>
        <v>63</v>
      </c>
    </row>
    <row r="24" spans="1:7" s="205" customFormat="1" ht="41.25" customHeight="1">
      <c r="A24" s="210" t="s">
        <v>689</v>
      </c>
      <c r="B24" s="196" t="s">
        <v>650</v>
      </c>
      <c r="C24" s="197"/>
      <c r="D24" s="197"/>
      <c r="E24" s="196"/>
      <c r="F24" s="200">
        <f>F25+F29+F32+F39+F42+F46+F49+F52+F55+F58+F61</f>
        <v>63050.5</v>
      </c>
      <c r="G24" s="200">
        <f>G25+G29+G32+G39+G42+G46+G49+G52+G55+G58+G61</f>
        <v>61109</v>
      </c>
    </row>
    <row r="25" spans="1:7" ht="15.75">
      <c r="A25" s="211" t="s">
        <v>597</v>
      </c>
      <c r="B25" s="193" t="s">
        <v>657</v>
      </c>
      <c r="C25" s="198"/>
      <c r="D25" s="198"/>
      <c r="E25" s="193"/>
      <c r="F25" s="199">
        <f>F26</f>
        <v>44526.2</v>
      </c>
      <c r="G25" s="199">
        <f>G26</f>
        <v>44526.2</v>
      </c>
    </row>
    <row r="26" spans="1:7" ht="31.5" customHeight="1">
      <c r="A26" s="211" t="s">
        <v>656</v>
      </c>
      <c r="B26" s="193" t="s">
        <v>658</v>
      </c>
      <c r="C26" s="198"/>
      <c r="D26" s="198"/>
      <c r="E26" s="193"/>
      <c r="F26" s="199">
        <f>SUM(F27:F28)</f>
        <v>44526.2</v>
      </c>
      <c r="G26" s="199">
        <f>SUM(G27:G28)</f>
        <v>44526.2</v>
      </c>
    </row>
    <row r="27" spans="1:7" ht="31.5" customHeight="1" hidden="1">
      <c r="A27" s="211" t="s">
        <v>636</v>
      </c>
      <c r="B27" s="193" t="s">
        <v>658</v>
      </c>
      <c r="C27" s="198" t="s">
        <v>646</v>
      </c>
      <c r="D27" s="198" t="s">
        <v>353</v>
      </c>
      <c r="E27" s="193">
        <v>240</v>
      </c>
      <c r="F27" s="199">
        <f>'Приложение 4'!Q113</f>
        <v>0</v>
      </c>
      <c r="G27" s="199">
        <f>'Приложение 4'!R113</f>
        <v>0</v>
      </c>
    </row>
    <row r="28" spans="1:7" ht="15.75">
      <c r="A28" s="211" t="s">
        <v>583</v>
      </c>
      <c r="B28" s="193" t="s">
        <v>658</v>
      </c>
      <c r="C28" s="198" t="s">
        <v>646</v>
      </c>
      <c r="D28" s="198" t="s">
        <v>353</v>
      </c>
      <c r="E28" s="193">
        <v>540</v>
      </c>
      <c r="F28" s="199">
        <f>'Приложение 4'!Q114</f>
        <v>44526.2</v>
      </c>
      <c r="G28" s="199">
        <f>'Приложение 4'!R114</f>
        <v>44526.2</v>
      </c>
    </row>
    <row r="29" spans="1:7" ht="15.75">
      <c r="A29" s="211" t="s">
        <v>735</v>
      </c>
      <c r="B29" s="193" t="s">
        <v>651</v>
      </c>
      <c r="C29" s="198"/>
      <c r="D29" s="198"/>
      <c r="E29" s="193"/>
      <c r="F29" s="199">
        <f>F30</f>
        <v>426.4</v>
      </c>
      <c r="G29" s="199">
        <f>G30</f>
        <v>426.4</v>
      </c>
    </row>
    <row r="30" spans="1:7" ht="15.75">
      <c r="A30" s="211" t="s">
        <v>677</v>
      </c>
      <c r="B30" s="193" t="s">
        <v>690</v>
      </c>
      <c r="C30" s="198"/>
      <c r="D30" s="198"/>
      <c r="E30" s="193"/>
      <c r="F30" s="199">
        <f>F31</f>
        <v>426.4</v>
      </c>
      <c r="G30" s="199">
        <f>G31</f>
        <v>426.4</v>
      </c>
    </row>
    <row r="31" spans="1:7" ht="15.75">
      <c r="A31" s="211" t="s">
        <v>583</v>
      </c>
      <c r="B31" s="193" t="s">
        <v>690</v>
      </c>
      <c r="C31" s="198" t="s">
        <v>646</v>
      </c>
      <c r="D31" s="198" t="s">
        <v>353</v>
      </c>
      <c r="E31" s="193">
        <v>540</v>
      </c>
      <c r="F31" s="199">
        <f>'Приложение 4'!Q117</f>
        <v>426.4</v>
      </c>
      <c r="G31" s="199">
        <f>'Приложение 4'!R117</f>
        <v>426.4</v>
      </c>
    </row>
    <row r="32" spans="1:7" ht="33" customHeight="1">
      <c r="A32" s="219" t="s">
        <v>766</v>
      </c>
      <c r="B32" s="193" t="s">
        <v>652</v>
      </c>
      <c r="C32" s="198"/>
      <c r="D32" s="198"/>
      <c r="E32" s="193"/>
      <c r="F32" s="199">
        <f>F33+F36</f>
        <v>7882.200000000001</v>
      </c>
      <c r="G32" s="199">
        <f>G33+G36</f>
        <v>7253.9</v>
      </c>
    </row>
    <row r="33" spans="1:7" ht="15.75">
      <c r="A33" s="211" t="s">
        <v>677</v>
      </c>
      <c r="B33" s="193" t="s">
        <v>246</v>
      </c>
      <c r="C33" s="198"/>
      <c r="D33" s="198"/>
      <c r="E33" s="193"/>
      <c r="F33" s="199">
        <f>F34+F35</f>
        <v>5988.500000000001</v>
      </c>
      <c r="G33" s="199">
        <f>G34+G35</f>
        <v>5360.2</v>
      </c>
    </row>
    <row r="34" spans="1:7" ht="15.75">
      <c r="A34" s="211" t="s">
        <v>636</v>
      </c>
      <c r="B34" s="193" t="s">
        <v>246</v>
      </c>
      <c r="C34" s="198" t="s">
        <v>646</v>
      </c>
      <c r="D34" s="198" t="s">
        <v>353</v>
      </c>
      <c r="E34" s="193">
        <v>240</v>
      </c>
      <c r="F34" s="199">
        <f>'Приложение 4'!Q120</f>
        <v>5524.100000000001</v>
      </c>
      <c r="G34" s="199">
        <f>'Приложение 4'!R120</f>
        <v>4895.8</v>
      </c>
    </row>
    <row r="35" spans="1:7" ht="15.75">
      <c r="A35" s="211" t="s">
        <v>583</v>
      </c>
      <c r="B35" s="193" t="s">
        <v>246</v>
      </c>
      <c r="C35" s="198" t="s">
        <v>646</v>
      </c>
      <c r="D35" s="198" t="s">
        <v>353</v>
      </c>
      <c r="E35" s="193">
        <v>540</v>
      </c>
      <c r="F35" s="199">
        <f>'Приложение 4'!Q121</f>
        <v>464.4</v>
      </c>
      <c r="G35" s="199">
        <f>'Приложение 4'!R121</f>
        <v>464.4</v>
      </c>
    </row>
    <row r="36" spans="1:7" ht="28.5" customHeight="1">
      <c r="A36" s="9" t="s">
        <v>656</v>
      </c>
      <c r="B36" s="220" t="s">
        <v>174</v>
      </c>
      <c r="C36" s="198"/>
      <c r="D36" s="198"/>
      <c r="E36" s="193"/>
      <c r="F36" s="199">
        <f>F37+F38</f>
        <v>1893.6999999999998</v>
      </c>
      <c r="G36" s="199">
        <f>G37+G38</f>
        <v>1893.6999999999998</v>
      </c>
    </row>
    <row r="37" spans="1:7" ht="15.75">
      <c r="A37" s="3" t="s">
        <v>636</v>
      </c>
      <c r="B37" s="220" t="s">
        <v>174</v>
      </c>
      <c r="C37" s="221" t="s">
        <v>646</v>
      </c>
      <c r="D37" s="221" t="s">
        <v>353</v>
      </c>
      <c r="E37" s="193">
        <v>240</v>
      </c>
      <c r="F37" s="199">
        <f>'Приложение 4'!Q123</f>
        <v>1428.1</v>
      </c>
      <c r="G37" s="199">
        <f>'Приложение 4'!R123</f>
        <v>1428.1</v>
      </c>
    </row>
    <row r="38" spans="1:7" ht="15.75">
      <c r="A38" s="211" t="s">
        <v>583</v>
      </c>
      <c r="B38" s="220" t="s">
        <v>174</v>
      </c>
      <c r="C38" s="221" t="s">
        <v>646</v>
      </c>
      <c r="D38" s="221" t="s">
        <v>353</v>
      </c>
      <c r="E38" s="193">
        <v>540</v>
      </c>
      <c r="F38" s="199">
        <f>'Приложение 4'!Q124</f>
        <v>465.6</v>
      </c>
      <c r="G38" s="199">
        <f>'Приложение 4'!R124</f>
        <v>465.6</v>
      </c>
    </row>
    <row r="39" spans="1:7" ht="29.25" customHeight="1">
      <c r="A39" s="211" t="s">
        <v>691</v>
      </c>
      <c r="B39" s="193" t="s">
        <v>653</v>
      </c>
      <c r="C39" s="198"/>
      <c r="D39" s="198"/>
      <c r="E39" s="193"/>
      <c r="F39" s="199">
        <f>F40</f>
        <v>200</v>
      </c>
      <c r="G39" s="199">
        <f>G40</f>
        <v>0</v>
      </c>
    </row>
    <row r="40" spans="1:7" ht="21.75" customHeight="1">
      <c r="A40" s="211" t="s">
        <v>677</v>
      </c>
      <c r="B40" s="193" t="s">
        <v>692</v>
      </c>
      <c r="C40" s="198"/>
      <c r="D40" s="198"/>
      <c r="E40" s="193"/>
      <c r="F40" s="199">
        <f>F41</f>
        <v>200</v>
      </c>
      <c r="G40" s="199">
        <f>G41</f>
        <v>0</v>
      </c>
    </row>
    <row r="41" spans="1:7" ht="23.25" customHeight="1">
      <c r="A41" s="211" t="s">
        <v>636</v>
      </c>
      <c r="B41" s="193" t="s">
        <v>692</v>
      </c>
      <c r="C41" s="198" t="s">
        <v>354</v>
      </c>
      <c r="D41" s="198" t="s">
        <v>353</v>
      </c>
      <c r="E41" s="193">
        <v>240</v>
      </c>
      <c r="F41" s="199">
        <f>'Приложение 4'!Q697</f>
        <v>200</v>
      </c>
      <c r="G41" s="199">
        <f>'Приложение 4'!R697</f>
        <v>0</v>
      </c>
    </row>
    <row r="42" spans="1:7" ht="36" customHeight="1">
      <c r="A42" s="219" t="s">
        <v>137</v>
      </c>
      <c r="B42" s="193" t="s">
        <v>673</v>
      </c>
      <c r="C42" s="198"/>
      <c r="D42" s="198"/>
      <c r="E42" s="193"/>
      <c r="F42" s="199">
        <f>F44+F43</f>
        <v>934.7</v>
      </c>
      <c r="G42" s="199">
        <f>G44+G43</f>
        <v>934.7</v>
      </c>
    </row>
    <row r="43" spans="1:7" ht="41.25" customHeight="1" hidden="1">
      <c r="A43" s="211" t="s">
        <v>636</v>
      </c>
      <c r="B43" s="193" t="s">
        <v>243</v>
      </c>
      <c r="C43" s="198" t="s">
        <v>646</v>
      </c>
      <c r="D43" s="198" t="s">
        <v>353</v>
      </c>
      <c r="E43" s="193">
        <v>240</v>
      </c>
      <c r="F43" s="199">
        <f>'Приложение 4'!Q127</f>
        <v>0</v>
      </c>
      <c r="G43" s="199">
        <f>'Приложение 4'!R127</f>
        <v>0</v>
      </c>
    </row>
    <row r="44" spans="1:7" ht="44.25" customHeight="1">
      <c r="A44" s="211" t="s">
        <v>242</v>
      </c>
      <c r="B44" s="193" t="s">
        <v>243</v>
      </c>
      <c r="C44" s="198"/>
      <c r="D44" s="198"/>
      <c r="E44" s="193"/>
      <c r="F44" s="199">
        <f>F45</f>
        <v>934.7</v>
      </c>
      <c r="G44" s="199">
        <f>G45</f>
        <v>934.7</v>
      </c>
    </row>
    <row r="45" spans="1:7" ht="15.75">
      <c r="A45" s="211" t="s">
        <v>583</v>
      </c>
      <c r="B45" s="193" t="s">
        <v>243</v>
      </c>
      <c r="C45" s="198" t="s">
        <v>646</v>
      </c>
      <c r="D45" s="198" t="s">
        <v>353</v>
      </c>
      <c r="E45" s="193">
        <v>540</v>
      </c>
      <c r="F45" s="199">
        <f>'Приложение 4'!Q128</f>
        <v>934.7</v>
      </c>
      <c r="G45" s="199">
        <f>'Приложение 4'!R128</f>
        <v>934.7</v>
      </c>
    </row>
    <row r="46" spans="1:7" ht="51" customHeight="1">
      <c r="A46" s="211" t="s">
        <v>225</v>
      </c>
      <c r="B46" s="193" t="s">
        <v>693</v>
      </c>
      <c r="C46" s="198"/>
      <c r="D46" s="198"/>
      <c r="E46" s="193"/>
      <c r="F46" s="199">
        <f>F47</f>
        <v>2858.5</v>
      </c>
      <c r="G46" s="199">
        <f>G47</f>
        <v>2858.5</v>
      </c>
    </row>
    <row r="47" spans="1:7" s="191" customFormat="1" ht="36.75" customHeight="1">
      <c r="A47" s="211" t="s">
        <v>222</v>
      </c>
      <c r="B47" s="209" t="s">
        <v>694</v>
      </c>
      <c r="C47" s="198"/>
      <c r="D47" s="198"/>
      <c r="E47" s="193"/>
      <c r="F47" s="199">
        <f>F48</f>
        <v>2858.5</v>
      </c>
      <c r="G47" s="199">
        <f>G48</f>
        <v>2858.5</v>
      </c>
    </row>
    <row r="48" spans="1:7" s="191" customFormat="1" ht="15.75">
      <c r="A48" s="211" t="s">
        <v>583</v>
      </c>
      <c r="B48" s="209" t="s">
        <v>694</v>
      </c>
      <c r="C48" s="198" t="s">
        <v>646</v>
      </c>
      <c r="D48" s="198" t="s">
        <v>353</v>
      </c>
      <c r="E48" s="193">
        <v>540</v>
      </c>
      <c r="F48" s="199">
        <f>'Приложение 4'!Q131</f>
        <v>2858.5</v>
      </c>
      <c r="G48" s="199">
        <f>'Приложение 4'!R131</f>
        <v>2858.5</v>
      </c>
    </row>
    <row r="49" spans="1:7" s="191" customFormat="1" ht="23.25" customHeight="1">
      <c r="A49" s="3" t="s">
        <v>138</v>
      </c>
      <c r="B49" s="244" t="s">
        <v>139</v>
      </c>
      <c r="C49" s="198"/>
      <c r="D49" s="198"/>
      <c r="E49" s="193"/>
      <c r="F49" s="199">
        <f>F50</f>
        <v>210</v>
      </c>
      <c r="G49" s="199">
        <f>G50</f>
        <v>210</v>
      </c>
    </row>
    <row r="50" spans="1:7" s="191" customFormat="1" ht="21" customHeight="1">
      <c r="A50" s="3" t="s">
        <v>677</v>
      </c>
      <c r="B50" s="244" t="s">
        <v>140</v>
      </c>
      <c r="C50" s="198"/>
      <c r="D50" s="198"/>
      <c r="E50" s="193"/>
      <c r="F50" s="199">
        <f>F51</f>
        <v>210</v>
      </c>
      <c r="G50" s="199">
        <f>G51</f>
        <v>210</v>
      </c>
    </row>
    <row r="51" spans="1:7" s="191" customFormat="1" ht="18.75" customHeight="1">
      <c r="A51" s="3" t="s">
        <v>636</v>
      </c>
      <c r="B51" s="244" t="s">
        <v>140</v>
      </c>
      <c r="C51" s="221" t="s">
        <v>646</v>
      </c>
      <c r="D51" s="221" t="s">
        <v>353</v>
      </c>
      <c r="E51" s="193">
        <v>240</v>
      </c>
      <c r="F51" s="199">
        <f>'Приложение 4'!Q134</f>
        <v>210</v>
      </c>
      <c r="G51" s="199">
        <f>'Приложение 4'!R134</f>
        <v>210</v>
      </c>
    </row>
    <row r="52" spans="1:7" s="191" customFormat="1" ht="19.5" customHeight="1">
      <c r="A52" s="3" t="s">
        <v>677</v>
      </c>
      <c r="B52" s="244" t="s">
        <v>185</v>
      </c>
      <c r="C52" s="221"/>
      <c r="D52" s="221"/>
      <c r="E52" s="193"/>
      <c r="F52" s="199">
        <f>F53</f>
        <v>50</v>
      </c>
      <c r="G52" s="199">
        <f>G53</f>
        <v>50</v>
      </c>
    </row>
    <row r="53" spans="1:7" s="191" customFormat="1" ht="21" customHeight="1">
      <c r="A53" s="3" t="s">
        <v>677</v>
      </c>
      <c r="B53" s="244" t="s">
        <v>186</v>
      </c>
      <c r="C53" s="221"/>
      <c r="D53" s="221"/>
      <c r="E53" s="193"/>
      <c r="F53" s="199">
        <f>F54</f>
        <v>50</v>
      </c>
      <c r="G53" s="199">
        <f>G54</f>
        <v>50</v>
      </c>
    </row>
    <row r="54" spans="1:7" s="191" customFormat="1" ht="15.75">
      <c r="A54" s="3" t="s">
        <v>695</v>
      </c>
      <c r="B54" s="244" t="s">
        <v>186</v>
      </c>
      <c r="C54" s="221" t="s">
        <v>646</v>
      </c>
      <c r="D54" s="221" t="s">
        <v>353</v>
      </c>
      <c r="E54" s="193">
        <v>540</v>
      </c>
      <c r="F54" s="199">
        <f>'Приложение 4'!Q137</f>
        <v>50</v>
      </c>
      <c r="G54" s="199">
        <f>'Приложение 4'!R137</f>
        <v>50</v>
      </c>
    </row>
    <row r="55" spans="1:7" s="191" customFormat="1" ht="18" customHeight="1">
      <c r="A55" s="9" t="s">
        <v>739</v>
      </c>
      <c r="B55" s="244" t="s">
        <v>740</v>
      </c>
      <c r="C55" s="221"/>
      <c r="D55" s="221"/>
      <c r="E55" s="193"/>
      <c r="F55" s="199">
        <f>F56</f>
        <v>4749.3</v>
      </c>
      <c r="G55" s="199">
        <f>G56</f>
        <v>4749.3</v>
      </c>
    </row>
    <row r="56" spans="1:7" s="191" customFormat="1" ht="21.75" customHeight="1">
      <c r="A56" s="9" t="s">
        <v>656</v>
      </c>
      <c r="B56" s="244" t="s">
        <v>741</v>
      </c>
      <c r="C56" s="221"/>
      <c r="D56" s="221"/>
      <c r="E56" s="193"/>
      <c r="F56" s="199">
        <f>F57</f>
        <v>4749.3</v>
      </c>
      <c r="G56" s="199">
        <f>G57</f>
        <v>4749.3</v>
      </c>
    </row>
    <row r="57" spans="1:7" s="191" customFormat="1" ht="15.75">
      <c r="A57" s="3" t="s">
        <v>695</v>
      </c>
      <c r="B57" s="244" t="s">
        <v>741</v>
      </c>
      <c r="C57" s="221" t="s">
        <v>646</v>
      </c>
      <c r="D57" s="221" t="s">
        <v>353</v>
      </c>
      <c r="E57" s="193">
        <v>540</v>
      </c>
      <c r="F57" s="199">
        <f>'Приложение 4'!Q140</f>
        <v>4749.3</v>
      </c>
      <c r="G57" s="199">
        <f>'Приложение 4'!R140</f>
        <v>4749.3</v>
      </c>
    </row>
    <row r="58" spans="1:7" s="191" customFormat="1" ht="24" customHeight="1">
      <c r="A58" s="3" t="s">
        <v>742</v>
      </c>
      <c r="B58" s="244" t="s">
        <v>743</v>
      </c>
      <c r="C58" s="221"/>
      <c r="D58" s="221"/>
      <c r="E58" s="193"/>
      <c r="F58" s="199">
        <f>F59</f>
        <v>100</v>
      </c>
      <c r="G58" s="199">
        <f>G59</f>
        <v>100</v>
      </c>
    </row>
    <row r="59" spans="1:7" s="191" customFormat="1" ht="20.25" customHeight="1">
      <c r="A59" s="3" t="s">
        <v>677</v>
      </c>
      <c r="B59" s="244" t="s">
        <v>744</v>
      </c>
      <c r="C59" s="221"/>
      <c r="D59" s="221"/>
      <c r="E59" s="193"/>
      <c r="F59" s="199">
        <f>F60</f>
        <v>100</v>
      </c>
      <c r="G59" s="199">
        <f>G60</f>
        <v>100</v>
      </c>
    </row>
    <row r="60" spans="1:7" s="191" customFormat="1" ht="15.75">
      <c r="A60" s="3" t="s">
        <v>695</v>
      </c>
      <c r="B60" s="244" t="s">
        <v>744</v>
      </c>
      <c r="C60" s="221" t="s">
        <v>646</v>
      </c>
      <c r="D60" s="221" t="s">
        <v>353</v>
      </c>
      <c r="E60" s="193">
        <v>540</v>
      </c>
      <c r="F60" s="199">
        <f>'Приложение 4'!Q143</f>
        <v>100</v>
      </c>
      <c r="G60" s="199">
        <f>'Приложение 4'!R143</f>
        <v>100</v>
      </c>
    </row>
    <row r="61" spans="1:7" s="191" customFormat="1" ht="15.75">
      <c r="A61" s="3" t="s">
        <v>781</v>
      </c>
      <c r="B61" s="244" t="s">
        <v>779</v>
      </c>
      <c r="C61" s="221"/>
      <c r="D61" s="221"/>
      <c r="E61" s="193"/>
      <c r="F61" s="199">
        <f>F62</f>
        <v>1113.2</v>
      </c>
      <c r="G61" s="199">
        <f>G62</f>
        <v>0</v>
      </c>
    </row>
    <row r="62" spans="1:7" s="191" customFormat="1" ht="15.75">
      <c r="A62" s="3" t="s">
        <v>677</v>
      </c>
      <c r="B62" s="244" t="s">
        <v>780</v>
      </c>
      <c r="C62" s="221"/>
      <c r="D62" s="221"/>
      <c r="E62" s="193"/>
      <c r="F62" s="199">
        <f>F63</f>
        <v>1113.2</v>
      </c>
      <c r="G62" s="199">
        <f>G63</f>
        <v>0</v>
      </c>
    </row>
    <row r="63" spans="1:7" s="191" customFormat="1" ht="20.25" customHeight="1">
      <c r="A63" s="3" t="s">
        <v>636</v>
      </c>
      <c r="B63" s="244" t="s">
        <v>780</v>
      </c>
      <c r="C63" s="221" t="s">
        <v>646</v>
      </c>
      <c r="D63" s="221" t="s">
        <v>353</v>
      </c>
      <c r="E63" s="193">
        <v>240</v>
      </c>
      <c r="F63" s="199">
        <f>'Приложение 4'!Q146</f>
        <v>1113.2</v>
      </c>
      <c r="G63" s="199">
        <f>'Приложение 4'!R146</f>
        <v>0</v>
      </c>
    </row>
    <row r="64" spans="1:7" s="208" customFormat="1" ht="28.5" customHeight="1">
      <c r="A64" s="210" t="s">
        <v>239</v>
      </c>
      <c r="B64" s="196" t="s">
        <v>559</v>
      </c>
      <c r="C64" s="197"/>
      <c r="D64" s="197"/>
      <c r="E64" s="196"/>
      <c r="F64" s="200">
        <f>F65+F79+F98+F115+F120+F133+F147</f>
        <v>278536.2</v>
      </c>
      <c r="G64" s="200">
        <f>G65+G79+G98+G115+G120+G133+G147</f>
        <v>277087.7</v>
      </c>
    </row>
    <row r="65" spans="1:7" s="191" customFormat="1" ht="23.25" customHeight="1">
      <c r="A65" s="211" t="s">
        <v>592</v>
      </c>
      <c r="B65" s="193" t="s">
        <v>560</v>
      </c>
      <c r="C65" s="198"/>
      <c r="D65" s="198"/>
      <c r="E65" s="193"/>
      <c r="F65" s="199">
        <f>F66+F68+F72+F74+F76+F70</f>
        <v>76826</v>
      </c>
      <c r="G65" s="199">
        <f>G66+G68+G72+G74+G76+G70</f>
        <v>76826</v>
      </c>
    </row>
    <row r="66" spans="1:7" s="191" customFormat="1" ht="31.5" customHeight="1" hidden="1">
      <c r="A66" s="211" t="s">
        <v>309</v>
      </c>
      <c r="B66" s="193" t="s">
        <v>575</v>
      </c>
      <c r="C66" s="198"/>
      <c r="D66" s="198"/>
      <c r="E66" s="193"/>
      <c r="F66" s="199">
        <f>F67</f>
        <v>0</v>
      </c>
      <c r="G66" s="199">
        <f>G67</f>
        <v>0</v>
      </c>
    </row>
    <row r="67" spans="1:7" s="191" customFormat="1" ht="31.5" customHeight="1" hidden="1">
      <c r="A67" s="211" t="s">
        <v>636</v>
      </c>
      <c r="B67" s="193" t="s">
        <v>575</v>
      </c>
      <c r="C67" s="198" t="s">
        <v>647</v>
      </c>
      <c r="D67" s="198" t="s">
        <v>356</v>
      </c>
      <c r="E67" s="193">
        <v>240</v>
      </c>
      <c r="F67" s="199">
        <f>'Приложение 4'!Q576</f>
        <v>0</v>
      </c>
      <c r="G67" s="199">
        <f>'Приложение 4'!R576</f>
        <v>0</v>
      </c>
    </row>
    <row r="68" spans="1:7" s="191" customFormat="1" ht="15.75">
      <c r="A68" s="211" t="s">
        <v>299</v>
      </c>
      <c r="B68" s="193" t="s">
        <v>563</v>
      </c>
      <c r="C68" s="198"/>
      <c r="D68" s="198"/>
      <c r="E68" s="193"/>
      <c r="F68" s="199">
        <f>F69</f>
        <v>13505.800000000001</v>
      </c>
      <c r="G68" s="199">
        <f>G69</f>
        <v>13505.800000000001</v>
      </c>
    </row>
    <row r="69" spans="1:7" s="191" customFormat="1" ht="15.75">
      <c r="A69" s="211" t="s">
        <v>638</v>
      </c>
      <c r="B69" s="193" t="s">
        <v>563</v>
      </c>
      <c r="C69" s="198" t="s">
        <v>647</v>
      </c>
      <c r="D69" s="198" t="s">
        <v>355</v>
      </c>
      <c r="E69" s="193">
        <v>610</v>
      </c>
      <c r="F69" s="199">
        <f>'Приложение 4'!Q476</f>
        <v>13505.800000000001</v>
      </c>
      <c r="G69" s="199">
        <f>'Приложение 4'!R476</f>
        <v>13505.800000000001</v>
      </c>
    </row>
    <row r="70" spans="1:7" s="191" customFormat="1" ht="34.5" customHeight="1">
      <c r="A70" s="225" t="s">
        <v>50</v>
      </c>
      <c r="B70" s="220" t="s">
        <v>57</v>
      </c>
      <c r="C70" s="198"/>
      <c r="D70" s="198"/>
      <c r="E70" s="193"/>
      <c r="F70" s="199">
        <f>F71</f>
        <v>4478</v>
      </c>
      <c r="G70" s="199">
        <f>G71</f>
        <v>4478</v>
      </c>
    </row>
    <row r="71" spans="1:7" s="191" customFormat="1" ht="15.75">
      <c r="A71" s="2" t="s">
        <v>638</v>
      </c>
      <c r="B71" s="220" t="s">
        <v>57</v>
      </c>
      <c r="C71" s="221" t="s">
        <v>647</v>
      </c>
      <c r="D71" s="221" t="s">
        <v>355</v>
      </c>
      <c r="E71" s="193">
        <v>610</v>
      </c>
      <c r="F71" s="199">
        <f>'Приложение 4'!Q478</f>
        <v>4478</v>
      </c>
      <c r="G71" s="199">
        <f>'Приложение 4'!R478</f>
        <v>4478</v>
      </c>
    </row>
    <row r="72" spans="1:7" s="191" customFormat="1" ht="17.25" customHeight="1">
      <c r="A72" s="211" t="s">
        <v>302</v>
      </c>
      <c r="B72" s="193" t="s">
        <v>566</v>
      </c>
      <c r="C72" s="198"/>
      <c r="D72" s="198"/>
      <c r="E72" s="193"/>
      <c r="F72" s="199">
        <f>F73</f>
        <v>92.5</v>
      </c>
      <c r="G72" s="199">
        <f>G73</f>
        <v>92.5</v>
      </c>
    </row>
    <row r="73" spans="1:7" s="191" customFormat="1" ht="15.75">
      <c r="A73" s="211" t="s">
        <v>638</v>
      </c>
      <c r="B73" s="193" t="s">
        <v>566</v>
      </c>
      <c r="C73" s="198" t="s">
        <v>647</v>
      </c>
      <c r="D73" s="198" t="s">
        <v>358</v>
      </c>
      <c r="E73" s="193">
        <v>610</v>
      </c>
      <c r="F73" s="199">
        <f>'Приложение 4'!Q503</f>
        <v>92.5</v>
      </c>
      <c r="G73" s="199">
        <f>'Приложение 4'!R503</f>
        <v>92.5</v>
      </c>
    </row>
    <row r="74" spans="1:7" s="191" customFormat="1" ht="45" customHeight="1">
      <c r="A74" s="211" t="s">
        <v>301</v>
      </c>
      <c r="B74" s="193" t="s">
        <v>561</v>
      </c>
      <c r="C74" s="198"/>
      <c r="D74" s="198"/>
      <c r="E74" s="193"/>
      <c r="F74" s="199">
        <f>F75</f>
        <v>55942.4</v>
      </c>
      <c r="G74" s="199">
        <f>G75</f>
        <v>55942.4</v>
      </c>
    </row>
    <row r="75" spans="1:7" s="191" customFormat="1" ht="15.75">
      <c r="A75" s="211" t="s">
        <v>638</v>
      </c>
      <c r="B75" s="193" t="s">
        <v>561</v>
      </c>
      <c r="C75" s="198" t="s">
        <v>647</v>
      </c>
      <c r="D75" s="198" t="s">
        <v>355</v>
      </c>
      <c r="E75" s="193">
        <v>610</v>
      </c>
      <c r="F75" s="199">
        <f>'Приложение 4'!Q480</f>
        <v>55942.4</v>
      </c>
      <c r="G75" s="199">
        <f>'Приложение 4'!R480</f>
        <v>55942.4</v>
      </c>
    </row>
    <row r="76" spans="1:7" s="191" customFormat="1" ht="49.5" customHeight="1">
      <c r="A76" s="211" t="s">
        <v>298</v>
      </c>
      <c r="B76" s="193" t="s">
        <v>562</v>
      </c>
      <c r="C76" s="198"/>
      <c r="D76" s="198"/>
      <c r="E76" s="193"/>
      <c r="F76" s="199">
        <f>SUM(F77:F78)</f>
        <v>2807.3</v>
      </c>
      <c r="G76" s="199">
        <f>SUM(G77:G78)</f>
        <v>2807.3</v>
      </c>
    </row>
    <row r="77" spans="1:7" s="191" customFormat="1" ht="21.75" customHeight="1">
      <c r="A77" s="211" t="s">
        <v>641</v>
      </c>
      <c r="B77" s="193" t="s">
        <v>562</v>
      </c>
      <c r="C77" s="198" t="s">
        <v>647</v>
      </c>
      <c r="D77" s="198" t="s">
        <v>357</v>
      </c>
      <c r="E77" s="193">
        <v>320</v>
      </c>
      <c r="F77" s="199">
        <f>'Приложение 4'!Q654</f>
        <v>2705</v>
      </c>
      <c r="G77" s="199">
        <f>'Приложение 4'!R654</f>
        <v>2705</v>
      </c>
    </row>
    <row r="78" spans="1:7" ht="15.75">
      <c r="A78" s="211" t="s">
        <v>638</v>
      </c>
      <c r="B78" s="193" t="s">
        <v>562</v>
      </c>
      <c r="C78" s="198" t="s">
        <v>647</v>
      </c>
      <c r="D78" s="198" t="s">
        <v>356</v>
      </c>
      <c r="E78" s="193">
        <v>610</v>
      </c>
      <c r="F78" s="199">
        <f>'Приложение 4'!Q578</f>
        <v>102.3</v>
      </c>
      <c r="G78" s="199">
        <f>'Приложение 4'!R578</f>
        <v>102.3</v>
      </c>
    </row>
    <row r="79" spans="1:7" ht="20.25" customHeight="1">
      <c r="A79" s="211" t="s">
        <v>593</v>
      </c>
      <c r="B79" s="193" t="s">
        <v>567</v>
      </c>
      <c r="C79" s="198"/>
      <c r="D79" s="198"/>
      <c r="E79" s="193"/>
      <c r="F79" s="199">
        <f>F80+F84+F91+F93+F89+F82+F87+F96</f>
        <v>158748.7</v>
      </c>
      <c r="G79" s="199">
        <f>G80+G84+G91+G93+G89+G82+G87+G96</f>
        <v>158190.1</v>
      </c>
    </row>
    <row r="80" spans="1:7" ht="18" customHeight="1">
      <c r="A80" s="211" t="s">
        <v>309</v>
      </c>
      <c r="B80" s="193" t="s">
        <v>576</v>
      </c>
      <c r="C80" s="198"/>
      <c r="D80" s="198"/>
      <c r="E80" s="193"/>
      <c r="F80" s="199">
        <f>F81</f>
        <v>20.4</v>
      </c>
      <c r="G80" s="199">
        <f>G81</f>
        <v>20.4</v>
      </c>
    </row>
    <row r="81" spans="1:7" ht="19.5" customHeight="1">
      <c r="A81" s="211" t="s">
        <v>636</v>
      </c>
      <c r="B81" s="193" t="s">
        <v>576</v>
      </c>
      <c r="C81" s="198" t="s">
        <v>647</v>
      </c>
      <c r="D81" s="198" t="s">
        <v>356</v>
      </c>
      <c r="E81" s="193">
        <v>240</v>
      </c>
      <c r="F81" s="246">
        <f>'Приложение 4'!Q581</f>
        <v>20.4</v>
      </c>
      <c r="G81" s="246">
        <f>'Приложение 4'!R581</f>
        <v>20.4</v>
      </c>
    </row>
    <row r="82" spans="1:7" ht="34.5" customHeight="1">
      <c r="A82" s="185" t="s">
        <v>460</v>
      </c>
      <c r="B82" s="220" t="s">
        <v>110</v>
      </c>
      <c r="C82" s="198"/>
      <c r="D82" s="198"/>
      <c r="E82" s="193"/>
      <c r="F82" s="199">
        <f>F83</f>
        <v>6</v>
      </c>
      <c r="G82" s="199">
        <f>G83</f>
        <v>6</v>
      </c>
    </row>
    <row r="83" spans="1:7" ht="18" customHeight="1">
      <c r="A83" s="185" t="s">
        <v>639</v>
      </c>
      <c r="B83" s="220" t="s">
        <v>110</v>
      </c>
      <c r="C83" s="221" t="s">
        <v>647</v>
      </c>
      <c r="D83" s="221" t="s">
        <v>356</v>
      </c>
      <c r="E83" s="193">
        <v>110</v>
      </c>
      <c r="F83" s="199">
        <f>'Приложение 4'!Q583</f>
        <v>6</v>
      </c>
      <c r="G83" s="199">
        <f>'Приложение 4'!R583</f>
        <v>6</v>
      </c>
    </row>
    <row r="84" spans="1:7" ht="21" customHeight="1">
      <c r="A84" s="211" t="s">
        <v>302</v>
      </c>
      <c r="B84" s="193" t="s">
        <v>568</v>
      </c>
      <c r="C84" s="198"/>
      <c r="D84" s="198"/>
      <c r="E84" s="193"/>
      <c r="F84" s="199">
        <f>SUM(F85:F86)</f>
        <v>36332.90000000001</v>
      </c>
      <c r="G84" s="199">
        <f>SUM(G85:G86)</f>
        <v>36328</v>
      </c>
    </row>
    <row r="85" spans="1:7" s="251" customFormat="1" ht="31.5" customHeight="1" hidden="1">
      <c r="A85" s="249" t="s">
        <v>636</v>
      </c>
      <c r="B85" s="209" t="s">
        <v>568</v>
      </c>
      <c r="C85" s="250" t="s">
        <v>647</v>
      </c>
      <c r="D85" s="250" t="s">
        <v>358</v>
      </c>
      <c r="E85" s="209">
        <v>240</v>
      </c>
      <c r="F85" s="246">
        <f>'Приложение 4'!Q506</f>
        <v>0</v>
      </c>
      <c r="G85" s="246">
        <f>'Приложение 4'!R506</f>
        <v>0</v>
      </c>
    </row>
    <row r="86" spans="1:7" ht="15.75">
      <c r="A86" s="211" t="s">
        <v>638</v>
      </c>
      <c r="B86" s="193" t="s">
        <v>568</v>
      </c>
      <c r="C86" s="198" t="s">
        <v>647</v>
      </c>
      <c r="D86" s="198" t="s">
        <v>358</v>
      </c>
      <c r="E86" s="193">
        <v>610</v>
      </c>
      <c r="F86" s="199">
        <f>'Приложение 4'!Q507</f>
        <v>36332.90000000001</v>
      </c>
      <c r="G86" s="199">
        <f>'Приложение 4'!R507</f>
        <v>36328</v>
      </c>
    </row>
    <row r="87" spans="1:7" ht="90.75" customHeight="1">
      <c r="A87" s="17" t="s">
        <v>196</v>
      </c>
      <c r="B87" s="220" t="s">
        <v>197</v>
      </c>
      <c r="C87" s="198"/>
      <c r="D87" s="198"/>
      <c r="E87" s="193"/>
      <c r="F87" s="199">
        <f>F88</f>
        <v>3114.4</v>
      </c>
      <c r="G87" s="199">
        <f>G88</f>
        <v>3114.4</v>
      </c>
    </row>
    <row r="88" spans="1:7" ht="15.75">
      <c r="A88" s="17" t="s">
        <v>638</v>
      </c>
      <c r="B88" s="220" t="s">
        <v>197</v>
      </c>
      <c r="C88" s="221" t="s">
        <v>647</v>
      </c>
      <c r="D88" s="221" t="s">
        <v>358</v>
      </c>
      <c r="E88" s="193">
        <v>610</v>
      </c>
      <c r="F88" s="199">
        <f>'Приложение 4'!Q509</f>
        <v>3114.4</v>
      </c>
      <c r="G88" s="199">
        <f>'Приложение 4'!R509</f>
        <v>3114.4</v>
      </c>
    </row>
    <row r="89" spans="1:7" ht="34.5" customHeight="1">
      <c r="A89" s="17" t="s">
        <v>50</v>
      </c>
      <c r="B89" s="220" t="s">
        <v>58</v>
      </c>
      <c r="C89" s="198"/>
      <c r="D89" s="198"/>
      <c r="E89" s="193"/>
      <c r="F89" s="199">
        <f>F90</f>
        <v>10448.9</v>
      </c>
      <c r="G89" s="199">
        <f>G90</f>
        <v>10448.9</v>
      </c>
    </row>
    <row r="90" spans="1:7" ht="15.75">
      <c r="A90" s="17" t="s">
        <v>638</v>
      </c>
      <c r="B90" s="220" t="s">
        <v>58</v>
      </c>
      <c r="C90" s="221" t="s">
        <v>647</v>
      </c>
      <c r="D90" s="221" t="s">
        <v>358</v>
      </c>
      <c r="E90" s="193">
        <v>610</v>
      </c>
      <c r="F90" s="199">
        <f>'Приложение 4'!Q511</f>
        <v>10448.9</v>
      </c>
      <c r="G90" s="199">
        <f>'Приложение 4'!R511</f>
        <v>10448.9</v>
      </c>
    </row>
    <row r="91" spans="1:7" ht="44.25" customHeight="1">
      <c r="A91" s="211" t="s">
        <v>301</v>
      </c>
      <c r="B91" s="193" t="s">
        <v>569</v>
      </c>
      <c r="C91" s="198"/>
      <c r="D91" s="198"/>
      <c r="E91" s="193"/>
      <c r="F91" s="199">
        <f>F92</f>
        <v>98985.8</v>
      </c>
      <c r="G91" s="199">
        <f>G92</f>
        <v>98985.8</v>
      </c>
    </row>
    <row r="92" spans="1:7" ht="15.75">
      <c r="A92" s="211" t="s">
        <v>638</v>
      </c>
      <c r="B92" s="193" t="s">
        <v>569</v>
      </c>
      <c r="C92" s="198" t="s">
        <v>647</v>
      </c>
      <c r="D92" s="198" t="s">
        <v>358</v>
      </c>
      <c r="E92" s="193">
        <v>610</v>
      </c>
      <c r="F92" s="199">
        <f>'Приложение 4'!Q513</f>
        <v>98985.8</v>
      </c>
      <c r="G92" s="199">
        <f>'Приложение 4'!R513</f>
        <v>98985.8</v>
      </c>
    </row>
    <row r="93" spans="1:7" ht="51" customHeight="1">
      <c r="A93" s="211" t="s">
        <v>298</v>
      </c>
      <c r="B93" s="193" t="s">
        <v>570</v>
      </c>
      <c r="C93" s="198"/>
      <c r="D93" s="198"/>
      <c r="E93" s="193"/>
      <c r="F93" s="199">
        <f>SUM(F94:F95)</f>
        <v>6667.2</v>
      </c>
      <c r="G93" s="199">
        <f>SUM(G94:G95)</f>
        <v>6667.2</v>
      </c>
    </row>
    <row r="94" spans="1:7" ht="20.25" customHeight="1">
      <c r="A94" s="211" t="s">
        <v>641</v>
      </c>
      <c r="B94" s="193" t="s">
        <v>570</v>
      </c>
      <c r="C94" s="198" t="s">
        <v>647</v>
      </c>
      <c r="D94" s="198" t="s">
        <v>356</v>
      </c>
      <c r="E94" s="193">
        <v>320</v>
      </c>
      <c r="F94" s="199">
        <f>'Приложение 4'!Q585</f>
        <v>1948.8</v>
      </c>
      <c r="G94" s="199">
        <f>'Приложение 4'!R585</f>
        <v>1948.8</v>
      </c>
    </row>
    <row r="95" spans="1:7" ht="15.75">
      <c r="A95" s="211" t="s">
        <v>638</v>
      </c>
      <c r="B95" s="193" t="s">
        <v>570</v>
      </c>
      <c r="C95" s="198" t="s">
        <v>647</v>
      </c>
      <c r="D95" s="198" t="s">
        <v>356</v>
      </c>
      <c r="E95" s="193">
        <v>610</v>
      </c>
      <c r="F95" s="199">
        <f>'Приложение 4'!Q586</f>
        <v>4718.4</v>
      </c>
      <c r="G95" s="199">
        <f>'Приложение 4'!R586</f>
        <v>4718.4</v>
      </c>
    </row>
    <row r="96" spans="1:7" ht="44.25" customHeight="1">
      <c r="A96" s="17" t="s">
        <v>198</v>
      </c>
      <c r="B96" s="220" t="s">
        <v>765</v>
      </c>
      <c r="C96" s="198"/>
      <c r="D96" s="198"/>
      <c r="E96" s="193"/>
      <c r="F96" s="199">
        <f>F97</f>
        <v>3173.1000000000004</v>
      </c>
      <c r="G96" s="199">
        <f>G97</f>
        <v>2619.4</v>
      </c>
    </row>
    <row r="97" spans="1:7" ht="15.75">
      <c r="A97" s="17" t="s">
        <v>638</v>
      </c>
      <c r="B97" s="220" t="s">
        <v>765</v>
      </c>
      <c r="C97" s="221" t="s">
        <v>647</v>
      </c>
      <c r="D97" s="221" t="s">
        <v>358</v>
      </c>
      <c r="E97" s="193">
        <v>610</v>
      </c>
      <c r="F97" s="199">
        <f>'Приложение 4'!Q515</f>
        <v>3173.1000000000004</v>
      </c>
      <c r="G97" s="199">
        <f>'Приложение 4'!R515</f>
        <v>2619.4</v>
      </c>
    </row>
    <row r="98" spans="1:7" ht="33" customHeight="1">
      <c r="A98" s="211" t="s">
        <v>705</v>
      </c>
      <c r="B98" s="193" t="s">
        <v>571</v>
      </c>
      <c r="C98" s="198"/>
      <c r="D98" s="198"/>
      <c r="E98" s="193"/>
      <c r="F98" s="246">
        <f>F99+F102+F104+F106+F108+F112+F110</f>
        <v>6382.2</v>
      </c>
      <c r="G98" s="246">
        <f>G99+G102+G104+G106+G108+G112+G110</f>
        <v>6381.7</v>
      </c>
    </row>
    <row r="99" spans="1:7" ht="15.75">
      <c r="A99" s="211" t="s">
        <v>309</v>
      </c>
      <c r="B99" s="193" t="s">
        <v>667</v>
      </c>
      <c r="C99" s="198"/>
      <c r="D99" s="198"/>
      <c r="E99" s="193"/>
      <c r="F99" s="199">
        <f>F101+F100</f>
        <v>2069.2</v>
      </c>
      <c r="G99" s="199">
        <f>G101+G100</f>
        <v>2069.2</v>
      </c>
    </row>
    <row r="100" spans="1:7" ht="31.5" customHeight="1" hidden="1">
      <c r="A100" s="211" t="s">
        <v>636</v>
      </c>
      <c r="B100" s="193" t="s">
        <v>667</v>
      </c>
      <c r="C100" s="198" t="s">
        <v>647</v>
      </c>
      <c r="D100" s="198" t="s">
        <v>356</v>
      </c>
      <c r="E100" s="193">
        <v>240</v>
      </c>
      <c r="F100" s="199">
        <f>'Приложение 4'!Q589</f>
        <v>0</v>
      </c>
      <c r="G100" s="199">
        <f>'Приложение 4'!R589</f>
        <v>0</v>
      </c>
    </row>
    <row r="101" spans="1:7" ht="34.5" customHeight="1">
      <c r="A101" s="219" t="s">
        <v>180</v>
      </c>
      <c r="B101" s="193" t="s">
        <v>667</v>
      </c>
      <c r="C101" s="198" t="s">
        <v>647</v>
      </c>
      <c r="D101" s="198" t="s">
        <v>356</v>
      </c>
      <c r="E101" s="193">
        <v>630</v>
      </c>
      <c r="F101" s="199">
        <f>'Приложение 4'!Q590</f>
        <v>2069.2</v>
      </c>
      <c r="G101" s="199">
        <f>'Приложение 4'!R590</f>
        <v>2069.2</v>
      </c>
    </row>
    <row r="102" spans="1:7" ht="15.75">
      <c r="A102" s="211" t="s">
        <v>302</v>
      </c>
      <c r="B102" s="193" t="s">
        <v>572</v>
      </c>
      <c r="C102" s="198"/>
      <c r="D102" s="198"/>
      <c r="E102" s="193"/>
      <c r="F102" s="199">
        <f>F103</f>
        <v>18.9</v>
      </c>
      <c r="G102" s="199">
        <f>G103</f>
        <v>18.4</v>
      </c>
    </row>
    <row r="103" spans="1:7" ht="15.75">
      <c r="A103" s="211" t="s">
        <v>638</v>
      </c>
      <c r="B103" s="193" t="s">
        <v>572</v>
      </c>
      <c r="C103" s="198" t="s">
        <v>647</v>
      </c>
      <c r="D103" s="198" t="s">
        <v>358</v>
      </c>
      <c r="E103" s="193">
        <v>610</v>
      </c>
      <c r="F103" s="199">
        <f>'Приложение 4'!Q518</f>
        <v>18.9</v>
      </c>
      <c r="G103" s="199">
        <f>'Приложение 4'!R518</f>
        <v>18.4</v>
      </c>
    </row>
    <row r="104" spans="1:7" ht="30" customHeight="1">
      <c r="A104" s="211" t="s">
        <v>460</v>
      </c>
      <c r="B104" s="193" t="s">
        <v>664</v>
      </c>
      <c r="C104" s="198"/>
      <c r="D104" s="198"/>
      <c r="E104" s="193"/>
      <c r="F104" s="199">
        <f>F105</f>
        <v>5</v>
      </c>
      <c r="G104" s="199">
        <f>G105</f>
        <v>5</v>
      </c>
    </row>
    <row r="105" spans="1:7" ht="24" customHeight="1">
      <c r="A105" s="211" t="s">
        <v>636</v>
      </c>
      <c r="B105" s="193" t="s">
        <v>664</v>
      </c>
      <c r="C105" s="198" t="s">
        <v>647</v>
      </c>
      <c r="D105" s="198" t="s">
        <v>356</v>
      </c>
      <c r="E105" s="193">
        <v>240</v>
      </c>
      <c r="F105" s="199">
        <f>'Приложение 4'!Q592</f>
        <v>5</v>
      </c>
      <c r="G105" s="199">
        <f>'Приложение 4'!R592</f>
        <v>5</v>
      </c>
    </row>
    <row r="106" spans="1:7" ht="24.75" customHeight="1">
      <c r="A106" s="211" t="s">
        <v>303</v>
      </c>
      <c r="B106" s="193" t="s">
        <v>574</v>
      </c>
      <c r="C106" s="198"/>
      <c r="D106" s="198"/>
      <c r="E106" s="193"/>
      <c r="F106" s="199">
        <f>F107</f>
        <v>2467.2999999999997</v>
      </c>
      <c r="G106" s="199">
        <f>G107</f>
        <v>2467.2999999999997</v>
      </c>
    </row>
    <row r="107" spans="1:7" ht="15.75">
      <c r="A107" s="211" t="s">
        <v>638</v>
      </c>
      <c r="B107" s="193" t="s">
        <v>574</v>
      </c>
      <c r="C107" s="198" t="s">
        <v>647</v>
      </c>
      <c r="D107" s="198" t="s">
        <v>359</v>
      </c>
      <c r="E107" s="193">
        <v>610</v>
      </c>
      <c r="F107" s="199">
        <f>'Приложение 4'!Q561</f>
        <v>2467.2999999999997</v>
      </c>
      <c r="G107" s="199">
        <f>'Приложение 4'!R561</f>
        <v>2467.2999999999997</v>
      </c>
    </row>
    <row r="108" spans="1:7" ht="33" customHeight="1">
      <c r="A108" s="3" t="s">
        <v>50</v>
      </c>
      <c r="B108" s="220" t="s">
        <v>59</v>
      </c>
      <c r="C108" s="198"/>
      <c r="D108" s="198"/>
      <c r="E108" s="193"/>
      <c r="F108" s="199">
        <f>F109</f>
        <v>1093</v>
      </c>
      <c r="G108" s="199">
        <f>G109</f>
        <v>1093</v>
      </c>
    </row>
    <row r="109" spans="1:7" ht="15.75">
      <c r="A109" s="3" t="s">
        <v>638</v>
      </c>
      <c r="B109" s="220" t="s">
        <v>59</v>
      </c>
      <c r="C109" s="221" t="s">
        <v>647</v>
      </c>
      <c r="D109" s="221" t="s">
        <v>359</v>
      </c>
      <c r="E109" s="193">
        <v>610</v>
      </c>
      <c r="F109" s="199">
        <f>'Приложение 4'!Q563</f>
        <v>1093</v>
      </c>
      <c r="G109" s="199">
        <f>'Приложение 4'!R563</f>
        <v>1093</v>
      </c>
    </row>
    <row r="110" spans="1:7" ht="49.5" customHeight="1" hidden="1">
      <c r="A110" s="3" t="s">
        <v>200</v>
      </c>
      <c r="B110" s="220" t="s">
        <v>201</v>
      </c>
      <c r="C110" s="221"/>
      <c r="D110" s="221"/>
      <c r="E110" s="193"/>
      <c r="F110" s="199">
        <f>F111</f>
        <v>0</v>
      </c>
      <c r="G110" s="199">
        <f>G111</f>
        <v>0</v>
      </c>
    </row>
    <row r="111" spans="1:7" ht="15.75" customHeight="1" hidden="1">
      <c r="A111" s="3" t="s">
        <v>638</v>
      </c>
      <c r="B111" s="220" t="s">
        <v>201</v>
      </c>
      <c r="C111" s="221" t="s">
        <v>647</v>
      </c>
      <c r="D111" s="221" t="s">
        <v>359</v>
      </c>
      <c r="E111" s="193">
        <v>610</v>
      </c>
      <c r="F111" s="199">
        <f>'Приложение 4'!Q565</f>
        <v>0</v>
      </c>
      <c r="G111" s="199">
        <f>'Приложение 4'!R565</f>
        <v>0</v>
      </c>
    </row>
    <row r="112" spans="1:7" ht="15.75" customHeight="1">
      <c r="A112" s="3" t="s">
        <v>101</v>
      </c>
      <c r="B112" s="220" t="s">
        <v>102</v>
      </c>
      <c r="C112" s="221"/>
      <c r="D112" s="221"/>
      <c r="E112" s="193"/>
      <c r="F112" s="199">
        <f>F113</f>
        <v>728.8</v>
      </c>
      <c r="G112" s="199">
        <f>G113</f>
        <v>728.8</v>
      </c>
    </row>
    <row r="113" spans="1:7" ht="33.75" customHeight="1">
      <c r="A113" s="3" t="s">
        <v>105</v>
      </c>
      <c r="B113" s="220" t="s">
        <v>67</v>
      </c>
      <c r="C113" s="221"/>
      <c r="D113" s="221"/>
      <c r="E113" s="193"/>
      <c r="F113" s="199">
        <v>728.8</v>
      </c>
      <c r="G113" s="199">
        <v>728.8</v>
      </c>
    </row>
    <row r="114" spans="1:7" ht="15.75">
      <c r="A114" s="3" t="s">
        <v>638</v>
      </c>
      <c r="B114" s="220" t="s">
        <v>67</v>
      </c>
      <c r="C114" s="221" t="s">
        <v>647</v>
      </c>
      <c r="D114" s="221" t="s">
        <v>359</v>
      </c>
      <c r="E114" s="193">
        <v>610</v>
      </c>
      <c r="F114" s="199">
        <v>728.8</v>
      </c>
      <c r="G114" s="199">
        <v>728.8</v>
      </c>
    </row>
    <row r="115" spans="1:7" ht="38.25" customHeight="1" hidden="1">
      <c r="A115" s="211" t="s">
        <v>594</v>
      </c>
      <c r="B115" s="193" t="s">
        <v>573</v>
      </c>
      <c r="C115" s="198"/>
      <c r="D115" s="198"/>
      <c r="E115" s="193"/>
      <c r="F115" s="199">
        <f>F116+F118</f>
        <v>0</v>
      </c>
      <c r="G115" s="199">
        <f>G116+G118</f>
        <v>0</v>
      </c>
    </row>
    <row r="116" spans="1:7" ht="31.5" customHeight="1" hidden="1">
      <c r="A116" s="211" t="s">
        <v>309</v>
      </c>
      <c r="B116" s="193" t="s">
        <v>577</v>
      </c>
      <c r="C116" s="198"/>
      <c r="D116" s="198"/>
      <c r="E116" s="193"/>
      <c r="F116" s="199">
        <f>F117</f>
        <v>0</v>
      </c>
      <c r="G116" s="199">
        <f>G117</f>
        <v>0</v>
      </c>
    </row>
    <row r="117" spans="1:7" ht="33" customHeight="1" hidden="1">
      <c r="A117" s="211" t="s">
        <v>636</v>
      </c>
      <c r="B117" s="193" t="s">
        <v>577</v>
      </c>
      <c r="C117" s="198" t="s">
        <v>647</v>
      </c>
      <c r="D117" s="198" t="s">
        <v>356</v>
      </c>
      <c r="E117" s="193">
        <v>240</v>
      </c>
      <c r="F117" s="199">
        <f>'Приложение 4'!Q595</f>
        <v>0</v>
      </c>
      <c r="G117" s="199">
        <f>'Приложение 4'!R595</f>
        <v>0</v>
      </c>
    </row>
    <row r="118" spans="1:7" ht="78.75" customHeight="1" hidden="1">
      <c r="A118" s="211" t="s">
        <v>460</v>
      </c>
      <c r="B118" s="193" t="s">
        <v>280</v>
      </c>
      <c r="C118" s="198"/>
      <c r="D118" s="198"/>
      <c r="E118" s="193"/>
      <c r="F118" s="199">
        <f>F119</f>
        <v>0</v>
      </c>
      <c r="G118" s="199">
        <f>G119</f>
        <v>0</v>
      </c>
    </row>
    <row r="119" spans="1:7" ht="31.5" customHeight="1" hidden="1">
      <c r="A119" s="211" t="s">
        <v>636</v>
      </c>
      <c r="B119" s="193" t="s">
        <v>280</v>
      </c>
      <c r="C119" s="198" t="s">
        <v>647</v>
      </c>
      <c r="D119" s="198" t="s">
        <v>356</v>
      </c>
      <c r="E119" s="193">
        <v>240</v>
      </c>
      <c r="F119" s="199">
        <f>'Приложение 4'!Q597</f>
        <v>0</v>
      </c>
      <c r="G119" s="199">
        <f>'Приложение 4'!R597</f>
        <v>0</v>
      </c>
    </row>
    <row r="120" spans="1:7" ht="21.75" customHeight="1">
      <c r="A120" s="219" t="s">
        <v>706</v>
      </c>
      <c r="B120" s="193" t="s">
        <v>564</v>
      </c>
      <c r="C120" s="198"/>
      <c r="D120" s="198"/>
      <c r="E120" s="193"/>
      <c r="F120" s="199">
        <f>F121+F123+F127+F129+F125+F131</f>
        <v>29148.8</v>
      </c>
      <c r="G120" s="199">
        <f>G121+G123+G127+G129+G125+G131</f>
        <v>28360.1</v>
      </c>
    </row>
    <row r="121" spans="1:7" ht="15.75">
      <c r="A121" s="211" t="s">
        <v>299</v>
      </c>
      <c r="B121" s="193" t="s">
        <v>565</v>
      </c>
      <c r="C121" s="198"/>
      <c r="D121" s="198"/>
      <c r="E121" s="193"/>
      <c r="F121" s="199">
        <f>F122</f>
        <v>162.5</v>
      </c>
      <c r="G121" s="199">
        <f>G122</f>
        <v>162.5</v>
      </c>
    </row>
    <row r="122" spans="1:7" ht="15.75">
      <c r="A122" s="211" t="s">
        <v>638</v>
      </c>
      <c r="B122" s="193" t="s">
        <v>565</v>
      </c>
      <c r="C122" s="198" t="s">
        <v>647</v>
      </c>
      <c r="D122" s="198" t="s">
        <v>355</v>
      </c>
      <c r="E122" s="193">
        <v>610</v>
      </c>
      <c r="F122" s="199">
        <f>'Приложение 4'!Q483</f>
        <v>162.5</v>
      </c>
      <c r="G122" s="199">
        <f>'Приложение 4'!R483</f>
        <v>162.5</v>
      </c>
    </row>
    <row r="123" spans="1:7" ht="21" customHeight="1">
      <c r="A123" s="211" t="s">
        <v>302</v>
      </c>
      <c r="B123" s="193" t="s">
        <v>654</v>
      </c>
      <c r="C123" s="198"/>
      <c r="D123" s="198"/>
      <c r="E123" s="193"/>
      <c r="F123" s="199">
        <f>F124</f>
        <v>2193.9</v>
      </c>
      <c r="G123" s="199">
        <f>G124</f>
        <v>1421.2</v>
      </c>
    </row>
    <row r="124" spans="1:7" ht="15.75">
      <c r="A124" s="211" t="s">
        <v>638</v>
      </c>
      <c r="B124" s="193" t="s">
        <v>654</v>
      </c>
      <c r="C124" s="198" t="s">
        <v>647</v>
      </c>
      <c r="D124" s="198" t="s">
        <v>358</v>
      </c>
      <c r="E124" s="193">
        <v>610</v>
      </c>
      <c r="F124" s="199">
        <f>'Приложение 4'!Q521</f>
        <v>2193.9</v>
      </c>
      <c r="G124" s="199">
        <f>'Приложение 4'!R521</f>
        <v>1421.2</v>
      </c>
    </row>
    <row r="125" spans="1:7" ht="35.25" customHeight="1">
      <c r="A125" s="2" t="s">
        <v>761</v>
      </c>
      <c r="B125" s="220" t="s">
        <v>762</v>
      </c>
      <c r="C125" s="198"/>
      <c r="D125" s="198"/>
      <c r="E125" s="193"/>
      <c r="F125" s="222">
        <f>F126</f>
        <v>1809.1000000000001</v>
      </c>
      <c r="G125" s="222">
        <f>G126</f>
        <v>1809.1000000000001</v>
      </c>
    </row>
    <row r="126" spans="1:7" ht="15.75">
      <c r="A126" s="211" t="s">
        <v>638</v>
      </c>
      <c r="B126" s="220" t="s">
        <v>762</v>
      </c>
      <c r="C126" s="221" t="s">
        <v>647</v>
      </c>
      <c r="D126" s="221" t="s">
        <v>358</v>
      </c>
      <c r="E126" s="193">
        <v>610</v>
      </c>
      <c r="F126" s="199">
        <f>'Приложение 4'!Q523</f>
        <v>1809.1000000000001</v>
      </c>
      <c r="G126" s="199">
        <f>'Приложение 4'!R523</f>
        <v>1809.1000000000001</v>
      </c>
    </row>
    <row r="127" spans="1:7" ht="24" customHeight="1">
      <c r="A127" s="211" t="s">
        <v>262</v>
      </c>
      <c r="B127" s="193" t="s">
        <v>687</v>
      </c>
      <c r="C127" s="198"/>
      <c r="D127" s="198"/>
      <c r="E127" s="193"/>
      <c r="F127" s="199">
        <f>F128</f>
        <v>24030</v>
      </c>
      <c r="G127" s="199">
        <f>G128</f>
        <v>24014</v>
      </c>
    </row>
    <row r="128" spans="1:7" ht="15.75">
      <c r="A128" s="211" t="s">
        <v>638</v>
      </c>
      <c r="B128" s="193" t="s">
        <v>687</v>
      </c>
      <c r="C128" s="198" t="s">
        <v>647</v>
      </c>
      <c r="D128" s="198" t="s">
        <v>358</v>
      </c>
      <c r="E128" s="193">
        <v>610</v>
      </c>
      <c r="F128" s="199">
        <f>'Приложение 4'!Q525</f>
        <v>24030</v>
      </c>
      <c r="G128" s="199">
        <f>'Приложение 4'!R525</f>
        <v>24014</v>
      </c>
    </row>
    <row r="129" spans="1:7" ht="20.25" customHeight="1">
      <c r="A129" s="233" t="s">
        <v>182</v>
      </c>
      <c r="B129" s="220" t="s">
        <v>183</v>
      </c>
      <c r="C129" s="198"/>
      <c r="D129" s="198"/>
      <c r="E129" s="193"/>
      <c r="F129" s="199">
        <f>F130</f>
        <v>903.3000000000001</v>
      </c>
      <c r="G129" s="199">
        <f>G130</f>
        <v>903.3000000000001</v>
      </c>
    </row>
    <row r="130" spans="1:7" ht="15.75">
      <c r="A130" s="3" t="s">
        <v>638</v>
      </c>
      <c r="B130" s="220" t="s">
        <v>183</v>
      </c>
      <c r="C130" s="221" t="s">
        <v>647</v>
      </c>
      <c r="D130" s="221" t="s">
        <v>358</v>
      </c>
      <c r="E130" s="193">
        <v>610</v>
      </c>
      <c r="F130" s="199">
        <f>'Приложение 4'!Q527</f>
        <v>903.3000000000001</v>
      </c>
      <c r="G130" s="199">
        <f>'Приложение 4'!R527</f>
        <v>903.3000000000001</v>
      </c>
    </row>
    <row r="131" spans="1:7" ht="15.75">
      <c r="A131" s="3" t="s">
        <v>303</v>
      </c>
      <c r="B131" s="220" t="s">
        <v>771</v>
      </c>
      <c r="C131" s="221"/>
      <c r="D131" s="221"/>
      <c r="E131" s="193"/>
      <c r="F131" s="199">
        <f>F132</f>
        <v>50</v>
      </c>
      <c r="G131" s="199">
        <f>G132</f>
        <v>50</v>
      </c>
    </row>
    <row r="132" spans="1:7" ht="15.75">
      <c r="A132" s="3" t="s">
        <v>638</v>
      </c>
      <c r="B132" s="220" t="s">
        <v>771</v>
      </c>
      <c r="C132" s="221" t="s">
        <v>647</v>
      </c>
      <c r="D132" s="221" t="s">
        <v>359</v>
      </c>
      <c r="E132" s="193">
        <v>610</v>
      </c>
      <c r="F132" s="199">
        <f>'Приложение 4'!Q568</f>
        <v>50</v>
      </c>
      <c r="G132" s="199">
        <f>'Приложение 4'!R568</f>
        <v>50</v>
      </c>
    </row>
    <row r="133" spans="1:7" ht="17.25" customHeight="1">
      <c r="A133" s="211" t="s">
        <v>9</v>
      </c>
      <c r="B133" s="193" t="s">
        <v>578</v>
      </c>
      <c r="C133" s="198"/>
      <c r="D133" s="198"/>
      <c r="E133" s="193"/>
      <c r="F133" s="199">
        <f>F134+F143+F141+F139</f>
        <v>4406.5</v>
      </c>
      <c r="G133" s="199">
        <f>G134+G143+G141+G139</f>
        <v>4305.8</v>
      </c>
    </row>
    <row r="134" spans="1:7" ht="15.75" customHeight="1">
      <c r="A134" s="211" t="s">
        <v>309</v>
      </c>
      <c r="B134" s="193" t="s">
        <v>10</v>
      </c>
      <c r="C134" s="198"/>
      <c r="D134" s="198"/>
      <c r="E134" s="193"/>
      <c r="F134" s="199">
        <f>SUM(F135:F138)</f>
        <v>3095.5</v>
      </c>
      <c r="G134" s="199">
        <f>SUM(G135:G138)</f>
        <v>2994.8</v>
      </c>
    </row>
    <row r="135" spans="1:7" ht="13.5" customHeight="1">
      <c r="A135" s="211" t="s">
        <v>490</v>
      </c>
      <c r="B135" s="193" t="s">
        <v>10</v>
      </c>
      <c r="C135" s="198" t="s">
        <v>647</v>
      </c>
      <c r="D135" s="198" t="s">
        <v>356</v>
      </c>
      <c r="E135" s="193">
        <v>120</v>
      </c>
      <c r="F135" s="199">
        <f>'Приложение 4'!Q600</f>
        <v>2812.1</v>
      </c>
      <c r="G135" s="199">
        <f>'Приложение 4'!R600</f>
        <v>2718.8</v>
      </c>
    </row>
    <row r="136" spans="1:7" ht="17.25" customHeight="1">
      <c r="A136" s="211" t="s">
        <v>636</v>
      </c>
      <c r="B136" s="193" t="s">
        <v>10</v>
      </c>
      <c r="C136" s="198" t="s">
        <v>647</v>
      </c>
      <c r="D136" s="198" t="s">
        <v>356</v>
      </c>
      <c r="E136" s="193">
        <v>240</v>
      </c>
      <c r="F136" s="199">
        <f>'Приложение 4'!Q601</f>
        <v>254.09999999999997</v>
      </c>
      <c r="G136" s="199">
        <f>'Приложение 4'!R601</f>
        <v>247.5</v>
      </c>
    </row>
    <row r="137" spans="1:7" ht="15" customHeight="1">
      <c r="A137" s="19" t="s">
        <v>641</v>
      </c>
      <c r="B137" s="193" t="s">
        <v>10</v>
      </c>
      <c r="C137" s="198" t="s">
        <v>647</v>
      </c>
      <c r="D137" s="198" t="s">
        <v>356</v>
      </c>
      <c r="E137" s="193">
        <v>320</v>
      </c>
      <c r="F137" s="199">
        <f>'Приложение 4'!Q602</f>
        <v>28.3</v>
      </c>
      <c r="G137" s="199">
        <f>'Приложение 4'!R602</f>
        <v>28.3</v>
      </c>
    </row>
    <row r="138" spans="1:7" ht="15.75">
      <c r="A138" s="9" t="s">
        <v>637</v>
      </c>
      <c r="B138" s="193" t="s">
        <v>10</v>
      </c>
      <c r="C138" s="198" t="s">
        <v>647</v>
      </c>
      <c r="D138" s="198" t="s">
        <v>356</v>
      </c>
      <c r="E138" s="193">
        <v>850</v>
      </c>
      <c r="F138" s="199">
        <f>'Приложение 4'!Q603</f>
        <v>1</v>
      </c>
      <c r="G138" s="199">
        <f>'Приложение 4'!R603</f>
        <v>0.2</v>
      </c>
    </row>
    <row r="139" spans="1:7" ht="94.5" customHeight="1" hidden="1">
      <c r="A139" s="70" t="s">
        <v>775</v>
      </c>
      <c r="B139" s="220" t="s">
        <v>777</v>
      </c>
      <c r="C139" s="198"/>
      <c r="D139" s="198"/>
      <c r="E139" s="193"/>
      <c r="F139" s="199">
        <f>F140</f>
        <v>35.9</v>
      </c>
      <c r="G139" s="199">
        <f>G140</f>
        <v>35.9</v>
      </c>
    </row>
    <row r="140" spans="1:7" ht="31.5" customHeight="1" hidden="1">
      <c r="A140" s="9" t="s">
        <v>490</v>
      </c>
      <c r="B140" s="220" t="s">
        <v>777</v>
      </c>
      <c r="C140" s="221" t="s">
        <v>647</v>
      </c>
      <c r="D140" s="221" t="s">
        <v>356</v>
      </c>
      <c r="E140" s="193">
        <v>120</v>
      </c>
      <c r="F140" s="199">
        <f>'Приложение 4'!Q605</f>
        <v>35.9</v>
      </c>
      <c r="G140" s="199">
        <f>'Приложение 4'!R605</f>
        <v>35.9</v>
      </c>
    </row>
    <row r="141" spans="1:7" ht="34.5" customHeight="1">
      <c r="A141" s="185" t="s">
        <v>50</v>
      </c>
      <c r="B141" s="220" t="s">
        <v>84</v>
      </c>
      <c r="C141" s="198"/>
      <c r="D141" s="198"/>
      <c r="E141" s="193"/>
      <c r="F141" s="199">
        <f>F142</f>
        <v>655.5</v>
      </c>
      <c r="G141" s="199">
        <f>G142</f>
        <v>655.5</v>
      </c>
    </row>
    <row r="142" spans="1:7" ht="19.5" customHeight="1">
      <c r="A142" s="19" t="s">
        <v>490</v>
      </c>
      <c r="B142" s="220" t="s">
        <v>84</v>
      </c>
      <c r="C142" s="221" t="s">
        <v>647</v>
      </c>
      <c r="D142" s="221" t="s">
        <v>356</v>
      </c>
      <c r="E142" s="193">
        <v>120</v>
      </c>
      <c r="F142" s="199">
        <f>'Приложение 4'!Q607</f>
        <v>655.5</v>
      </c>
      <c r="G142" s="199">
        <f>'Приложение 4'!R607</f>
        <v>655.5</v>
      </c>
    </row>
    <row r="143" spans="1:7" ht="30.75" customHeight="1">
      <c r="A143" s="211" t="s">
        <v>460</v>
      </c>
      <c r="B143" s="193" t="s">
        <v>579</v>
      </c>
      <c r="C143" s="198"/>
      <c r="D143" s="198"/>
      <c r="E143" s="193"/>
      <c r="F143" s="199">
        <f>SUM(F144:F146)</f>
        <v>619.6000000000001</v>
      </c>
      <c r="G143" s="199">
        <f>SUM(G144:G146)</f>
        <v>619.6000000000001</v>
      </c>
    </row>
    <row r="144" spans="1:7" ht="25.5" customHeight="1">
      <c r="A144" s="211" t="s">
        <v>639</v>
      </c>
      <c r="B144" s="193" t="s">
        <v>579</v>
      </c>
      <c r="C144" s="198" t="s">
        <v>647</v>
      </c>
      <c r="D144" s="198" t="s">
        <v>356</v>
      </c>
      <c r="E144" s="193">
        <v>110</v>
      </c>
      <c r="F144" s="199">
        <f>'Приложение 4'!Q609</f>
        <v>587.1000000000001</v>
      </c>
      <c r="G144" s="199">
        <f>'Приложение 4'!R609</f>
        <v>587.1000000000001</v>
      </c>
    </row>
    <row r="145" spans="1:7" ht="20.25" customHeight="1">
      <c r="A145" s="211" t="s">
        <v>636</v>
      </c>
      <c r="B145" s="193" t="s">
        <v>579</v>
      </c>
      <c r="C145" s="198" t="s">
        <v>647</v>
      </c>
      <c r="D145" s="198" t="s">
        <v>356</v>
      </c>
      <c r="E145" s="193">
        <v>240</v>
      </c>
      <c r="F145" s="199">
        <f>'Приложение 4'!Q610</f>
        <v>32.2</v>
      </c>
      <c r="G145" s="199">
        <f>'Приложение 4'!R610</f>
        <v>32.2</v>
      </c>
    </row>
    <row r="146" spans="1:7" ht="15.75">
      <c r="A146" s="9" t="s">
        <v>637</v>
      </c>
      <c r="B146" s="193" t="s">
        <v>579</v>
      </c>
      <c r="C146" s="198" t="s">
        <v>647</v>
      </c>
      <c r="D146" s="198" t="s">
        <v>356</v>
      </c>
      <c r="E146" s="193">
        <v>850</v>
      </c>
      <c r="F146" s="199">
        <f>'Приложение 4'!Q611</f>
        <v>0.30000000000000004</v>
      </c>
      <c r="G146" s="199">
        <f>'Приложение 4'!R611</f>
        <v>0.30000000000000004</v>
      </c>
    </row>
    <row r="147" spans="1:7" ht="24" customHeight="1">
      <c r="A147" s="219" t="s">
        <v>103</v>
      </c>
      <c r="B147" s="220" t="s">
        <v>104</v>
      </c>
      <c r="C147" s="198"/>
      <c r="D147" s="198"/>
      <c r="E147" s="193"/>
      <c r="F147" s="199">
        <f>F148</f>
        <v>3024.0000000000005</v>
      </c>
      <c r="G147" s="199">
        <f>G148</f>
        <v>3024.0000000000005</v>
      </c>
    </row>
    <row r="148" spans="1:7" ht="53.25" customHeight="1">
      <c r="A148" s="211" t="s">
        <v>625</v>
      </c>
      <c r="B148" s="220" t="s">
        <v>61</v>
      </c>
      <c r="C148" s="198"/>
      <c r="D148" s="198"/>
      <c r="E148" s="193"/>
      <c r="F148" s="199">
        <f>F149</f>
        <v>3024.0000000000005</v>
      </c>
      <c r="G148" s="199">
        <f>G149</f>
        <v>3024.0000000000005</v>
      </c>
    </row>
    <row r="149" spans="1:7" ht="15.75">
      <c r="A149" s="211" t="s">
        <v>638</v>
      </c>
      <c r="B149" s="220" t="s">
        <v>61</v>
      </c>
      <c r="C149" s="198" t="s">
        <v>647</v>
      </c>
      <c r="D149" s="221" t="s">
        <v>358</v>
      </c>
      <c r="E149" s="193">
        <v>610</v>
      </c>
      <c r="F149" s="199">
        <f>'Приложение 4'!Q530</f>
        <v>3024.0000000000005</v>
      </c>
      <c r="G149" s="199">
        <f>'Приложение 4'!R530</f>
        <v>3024.0000000000005</v>
      </c>
    </row>
    <row r="150" spans="1:7" s="205" customFormat="1" ht="40.5" customHeight="1">
      <c r="A150" s="210" t="s">
        <v>13</v>
      </c>
      <c r="B150" s="196" t="s">
        <v>321</v>
      </c>
      <c r="C150" s="197"/>
      <c r="D150" s="197"/>
      <c r="E150" s="196"/>
      <c r="F150" s="200">
        <f>F151+F160+F165+F154+F157</f>
        <v>6489.6</v>
      </c>
      <c r="G150" s="200">
        <f>G151+G160+G165+G154+G157</f>
        <v>6489.6</v>
      </c>
    </row>
    <row r="151" spans="1:7" ht="44.25" customHeight="1">
      <c r="A151" s="211" t="s">
        <v>315</v>
      </c>
      <c r="B151" s="193" t="s">
        <v>478</v>
      </c>
      <c r="C151" s="198"/>
      <c r="D151" s="198"/>
      <c r="E151" s="193"/>
      <c r="F151" s="199">
        <f>F152</f>
        <v>65</v>
      </c>
      <c r="G151" s="199">
        <f>G152</f>
        <v>65</v>
      </c>
    </row>
    <row r="152" spans="1:7" ht="15.75">
      <c r="A152" s="211" t="s">
        <v>230</v>
      </c>
      <c r="B152" s="193" t="s">
        <v>479</v>
      </c>
      <c r="C152" s="198"/>
      <c r="D152" s="198"/>
      <c r="E152" s="193"/>
      <c r="F152" s="199">
        <f>F153</f>
        <v>65</v>
      </c>
      <c r="G152" s="199">
        <f>G153</f>
        <v>65</v>
      </c>
    </row>
    <row r="153" spans="1:7" ht="15.75">
      <c r="A153" s="211" t="s">
        <v>638</v>
      </c>
      <c r="B153" s="193" t="s">
        <v>479</v>
      </c>
      <c r="C153" s="198" t="s">
        <v>646</v>
      </c>
      <c r="D153" s="198" t="s">
        <v>360</v>
      </c>
      <c r="E153" s="193">
        <v>610</v>
      </c>
      <c r="F153" s="199">
        <f>'Приложение 4'!Q151</f>
        <v>65</v>
      </c>
      <c r="G153" s="199">
        <f>'Приложение 4'!R151</f>
        <v>65</v>
      </c>
    </row>
    <row r="154" spans="1:7" ht="20.25" customHeight="1">
      <c r="A154" s="70" t="s">
        <v>107</v>
      </c>
      <c r="B154" s="220" t="s">
        <v>108</v>
      </c>
      <c r="C154" s="198"/>
      <c r="D154" s="198"/>
      <c r="E154" s="193"/>
      <c r="F154" s="199">
        <f>F155</f>
        <v>20</v>
      </c>
      <c r="G154" s="199">
        <f>G155</f>
        <v>20</v>
      </c>
    </row>
    <row r="155" spans="1:7" ht="15.75">
      <c r="A155" s="70" t="s">
        <v>230</v>
      </c>
      <c r="B155" s="220" t="s">
        <v>109</v>
      </c>
      <c r="C155" s="198"/>
      <c r="D155" s="198"/>
      <c r="E155" s="193"/>
      <c r="F155" s="199">
        <f>F156</f>
        <v>20</v>
      </c>
      <c r="G155" s="199">
        <f>G156</f>
        <v>20</v>
      </c>
    </row>
    <row r="156" spans="1:7" ht="15.75">
      <c r="A156" s="70" t="s">
        <v>638</v>
      </c>
      <c r="B156" s="220" t="s">
        <v>109</v>
      </c>
      <c r="C156" s="221" t="s">
        <v>646</v>
      </c>
      <c r="D156" s="221" t="s">
        <v>360</v>
      </c>
      <c r="E156" s="193">
        <v>610</v>
      </c>
      <c r="F156" s="199">
        <f>'Приложение 4'!Q154</f>
        <v>20</v>
      </c>
      <c r="G156" s="199">
        <f>'Приложение 4'!R154</f>
        <v>20</v>
      </c>
    </row>
    <row r="157" spans="1:7" ht="23.25" customHeight="1">
      <c r="A157" s="70" t="s">
        <v>157</v>
      </c>
      <c r="B157" s="244" t="s">
        <v>158</v>
      </c>
      <c r="C157" s="245"/>
      <c r="D157" s="245"/>
      <c r="E157" s="209"/>
      <c r="F157" s="246">
        <f>F158</f>
        <v>210</v>
      </c>
      <c r="G157" s="246">
        <f>G158</f>
        <v>210</v>
      </c>
    </row>
    <row r="158" spans="1:7" ht="19.5" customHeight="1">
      <c r="A158" s="70" t="s">
        <v>160</v>
      </c>
      <c r="B158" s="244" t="s">
        <v>161</v>
      </c>
      <c r="C158" s="245"/>
      <c r="D158" s="245"/>
      <c r="E158" s="209"/>
      <c r="F158" s="246">
        <f>F159</f>
        <v>210</v>
      </c>
      <c r="G158" s="246">
        <f>G159</f>
        <v>210</v>
      </c>
    </row>
    <row r="159" spans="1:7" ht="24" customHeight="1">
      <c r="A159" s="3" t="s">
        <v>636</v>
      </c>
      <c r="B159" s="244" t="s">
        <v>161</v>
      </c>
      <c r="C159" s="245" t="s">
        <v>646</v>
      </c>
      <c r="D159" s="245" t="s">
        <v>360</v>
      </c>
      <c r="E159" s="209">
        <v>240</v>
      </c>
      <c r="F159" s="246">
        <f>'Приложение 4'!Q157</f>
        <v>210</v>
      </c>
      <c r="G159" s="246">
        <f>'Приложение 4'!R157</f>
        <v>210</v>
      </c>
    </row>
    <row r="160" spans="1:7" ht="21" customHeight="1">
      <c r="A160" s="211" t="s">
        <v>595</v>
      </c>
      <c r="B160" s="193" t="s">
        <v>480</v>
      </c>
      <c r="C160" s="198"/>
      <c r="D160" s="198"/>
      <c r="E160" s="193"/>
      <c r="F160" s="199">
        <f>F161+F163</f>
        <v>6029.6</v>
      </c>
      <c r="G160" s="199">
        <f>G161+G163</f>
        <v>6029.6</v>
      </c>
    </row>
    <row r="161" spans="1:7" ht="15.75">
      <c r="A161" s="211" t="s">
        <v>230</v>
      </c>
      <c r="B161" s="193" t="s">
        <v>481</v>
      </c>
      <c r="C161" s="198"/>
      <c r="D161" s="198"/>
      <c r="E161" s="193"/>
      <c r="F161" s="199">
        <f>F162</f>
        <v>5388</v>
      </c>
      <c r="G161" s="199">
        <f>G162</f>
        <v>5388</v>
      </c>
    </row>
    <row r="162" spans="1:7" ht="15.75">
      <c r="A162" s="211" t="s">
        <v>638</v>
      </c>
      <c r="B162" s="193" t="s">
        <v>481</v>
      </c>
      <c r="C162" s="198" t="s">
        <v>646</v>
      </c>
      <c r="D162" s="198" t="s">
        <v>360</v>
      </c>
      <c r="E162" s="193">
        <v>610</v>
      </c>
      <c r="F162" s="199">
        <f>'Приложение 4'!Q160</f>
        <v>5388</v>
      </c>
      <c r="G162" s="199">
        <f>'Приложение 4'!R160</f>
        <v>5388</v>
      </c>
    </row>
    <row r="163" spans="1:7" ht="32.25" customHeight="1">
      <c r="A163" s="219" t="s">
        <v>50</v>
      </c>
      <c r="B163" s="220" t="s">
        <v>51</v>
      </c>
      <c r="C163" s="198"/>
      <c r="D163" s="198"/>
      <c r="E163" s="193"/>
      <c r="F163" s="199">
        <f>F164</f>
        <v>641.6</v>
      </c>
      <c r="G163" s="199">
        <f>G164</f>
        <v>641.6</v>
      </c>
    </row>
    <row r="164" spans="1:7" ht="15.75">
      <c r="A164" s="211" t="s">
        <v>638</v>
      </c>
      <c r="B164" s="220" t="s">
        <v>51</v>
      </c>
      <c r="C164" s="221" t="s">
        <v>646</v>
      </c>
      <c r="D164" s="221" t="s">
        <v>360</v>
      </c>
      <c r="E164" s="193">
        <v>610</v>
      </c>
      <c r="F164" s="199">
        <f>'Приложение 4'!Q162</f>
        <v>641.6</v>
      </c>
      <c r="G164" s="199">
        <f>'Приложение 4'!R162</f>
        <v>641.6</v>
      </c>
    </row>
    <row r="165" spans="1:7" ht="33" customHeight="1">
      <c r="A165" s="211" t="s">
        <v>254</v>
      </c>
      <c r="B165" s="193" t="s">
        <v>255</v>
      </c>
      <c r="C165" s="198"/>
      <c r="D165" s="198"/>
      <c r="E165" s="193"/>
      <c r="F165" s="199">
        <f>F166+F168</f>
        <v>165</v>
      </c>
      <c r="G165" s="199">
        <f>G166+G168</f>
        <v>165</v>
      </c>
    </row>
    <row r="166" spans="1:7" ht="15.75">
      <c r="A166" s="211" t="s">
        <v>230</v>
      </c>
      <c r="B166" s="193" t="s">
        <v>256</v>
      </c>
      <c r="C166" s="198"/>
      <c r="D166" s="198"/>
      <c r="E166" s="193"/>
      <c r="F166" s="199">
        <f>F167</f>
        <v>15</v>
      </c>
      <c r="G166" s="199">
        <f>G167</f>
        <v>15</v>
      </c>
    </row>
    <row r="167" spans="1:7" ht="15.75">
      <c r="A167" s="211" t="s">
        <v>638</v>
      </c>
      <c r="B167" s="193" t="s">
        <v>256</v>
      </c>
      <c r="C167" s="198" t="s">
        <v>646</v>
      </c>
      <c r="D167" s="198" t="s">
        <v>360</v>
      </c>
      <c r="E167" s="193">
        <v>610</v>
      </c>
      <c r="F167" s="199">
        <f>'Приложение 4'!Q165</f>
        <v>15</v>
      </c>
      <c r="G167" s="199">
        <f>'Приложение 4'!R165</f>
        <v>15</v>
      </c>
    </row>
    <row r="168" spans="1:7" ht="37.5" customHeight="1">
      <c r="A168" s="3" t="s">
        <v>750</v>
      </c>
      <c r="B168" s="220" t="s">
        <v>751</v>
      </c>
      <c r="C168" s="198"/>
      <c r="D168" s="198"/>
      <c r="E168" s="193"/>
      <c r="F168" s="199">
        <f>F169</f>
        <v>150</v>
      </c>
      <c r="G168" s="199">
        <f>G169</f>
        <v>150</v>
      </c>
    </row>
    <row r="169" spans="1:7" ht="15.75">
      <c r="A169" s="3" t="s">
        <v>638</v>
      </c>
      <c r="B169" s="220" t="s">
        <v>751</v>
      </c>
      <c r="C169" s="221" t="s">
        <v>646</v>
      </c>
      <c r="D169" s="221" t="s">
        <v>360</v>
      </c>
      <c r="E169" s="193">
        <v>610</v>
      </c>
      <c r="F169" s="199">
        <f>'Приложение 4'!Q167</f>
        <v>150</v>
      </c>
      <c r="G169" s="199">
        <f>'Приложение 4'!R167</f>
        <v>150</v>
      </c>
    </row>
    <row r="170" spans="1:7" ht="36" customHeight="1">
      <c r="A170" s="210" t="s">
        <v>555</v>
      </c>
      <c r="B170" s="196" t="s">
        <v>68</v>
      </c>
      <c r="C170" s="197"/>
      <c r="D170" s="197"/>
      <c r="E170" s="196"/>
      <c r="F170" s="200">
        <f>F171+F176</f>
        <v>5180.6</v>
      </c>
      <c r="G170" s="200">
        <f>G171+G176</f>
        <v>5180.6</v>
      </c>
    </row>
    <row r="171" spans="1:7" ht="18.75" customHeight="1">
      <c r="A171" s="219" t="s">
        <v>703</v>
      </c>
      <c r="B171" s="220" t="s">
        <v>69</v>
      </c>
      <c r="C171" s="198"/>
      <c r="D171" s="198"/>
      <c r="E171" s="193"/>
      <c r="F171" s="199">
        <f>F174+F172</f>
        <v>5013.6</v>
      </c>
      <c r="G171" s="199">
        <f>G174+G172</f>
        <v>5013.6</v>
      </c>
    </row>
    <row r="172" spans="1:7" ht="21" customHeight="1">
      <c r="A172" s="219" t="s">
        <v>708</v>
      </c>
      <c r="B172" s="220" t="s">
        <v>106</v>
      </c>
      <c r="C172" s="198"/>
      <c r="D172" s="198"/>
      <c r="E172" s="193"/>
      <c r="F172" s="199">
        <f>F173</f>
        <v>582</v>
      </c>
      <c r="G172" s="199">
        <f>G173</f>
        <v>582</v>
      </c>
    </row>
    <row r="173" spans="1:7" ht="15.75">
      <c r="A173" s="219" t="s">
        <v>583</v>
      </c>
      <c r="B173" s="220" t="s">
        <v>106</v>
      </c>
      <c r="C173" s="221" t="s">
        <v>646</v>
      </c>
      <c r="D173" s="221" t="s">
        <v>350</v>
      </c>
      <c r="E173" s="193">
        <v>540</v>
      </c>
      <c r="F173" s="199">
        <f>'Приложение 4'!Q48</f>
        <v>582</v>
      </c>
      <c r="G173" s="199">
        <f>'Приложение 4'!R48</f>
        <v>582</v>
      </c>
    </row>
    <row r="174" spans="1:7" ht="20.25" customHeight="1">
      <c r="A174" s="219" t="s">
        <v>685</v>
      </c>
      <c r="B174" s="220" t="s">
        <v>70</v>
      </c>
      <c r="C174" s="198"/>
      <c r="D174" s="198"/>
      <c r="E174" s="193"/>
      <c r="F174" s="199">
        <f>F175</f>
        <v>4431.6</v>
      </c>
      <c r="G174" s="199">
        <f>G175</f>
        <v>4431.6</v>
      </c>
    </row>
    <row r="175" spans="1:7" ht="15.75">
      <c r="A175" s="219" t="s">
        <v>583</v>
      </c>
      <c r="B175" s="220" t="s">
        <v>70</v>
      </c>
      <c r="C175" s="221" t="s">
        <v>646</v>
      </c>
      <c r="D175" s="221" t="s">
        <v>350</v>
      </c>
      <c r="E175" s="193">
        <v>540</v>
      </c>
      <c r="F175" s="199">
        <f>'Приложение 4'!Q50</f>
        <v>4431.6</v>
      </c>
      <c r="G175" s="199">
        <f>'Приложение 4'!R50</f>
        <v>4431.6</v>
      </c>
    </row>
    <row r="176" spans="1:7" ht="16.5" customHeight="1">
      <c r="A176" s="9" t="s">
        <v>204</v>
      </c>
      <c r="B176" s="220" t="s">
        <v>206</v>
      </c>
      <c r="C176" s="221"/>
      <c r="D176" s="221"/>
      <c r="E176" s="193"/>
      <c r="F176" s="199">
        <f>F177</f>
        <v>167</v>
      </c>
      <c r="G176" s="199">
        <f>G177</f>
        <v>167</v>
      </c>
    </row>
    <row r="177" spans="1:7" ht="15.75">
      <c r="A177" s="9" t="s">
        <v>205</v>
      </c>
      <c r="B177" s="220" t="s">
        <v>207</v>
      </c>
      <c r="C177" s="221"/>
      <c r="D177" s="221"/>
      <c r="E177" s="193"/>
      <c r="F177" s="199">
        <f>F178</f>
        <v>167</v>
      </c>
      <c r="G177" s="199">
        <f>G178</f>
        <v>167</v>
      </c>
    </row>
    <row r="178" spans="1:7" ht="15.75">
      <c r="A178" s="9" t="s">
        <v>583</v>
      </c>
      <c r="B178" s="220" t="s">
        <v>207</v>
      </c>
      <c r="C178" s="221" t="s">
        <v>646</v>
      </c>
      <c r="D178" s="221" t="s">
        <v>350</v>
      </c>
      <c r="E178" s="193">
        <v>540</v>
      </c>
      <c r="F178" s="199">
        <f>'Приложение 4'!Q53</f>
        <v>167</v>
      </c>
      <c r="G178" s="199">
        <f>'Приложение 4'!R53</f>
        <v>167</v>
      </c>
    </row>
    <row r="179" spans="1:7" s="205" customFormat="1" ht="34.5" customHeight="1">
      <c r="A179" s="210" t="s">
        <v>257</v>
      </c>
      <c r="B179" s="196" t="s">
        <v>322</v>
      </c>
      <c r="C179" s="197"/>
      <c r="D179" s="197"/>
      <c r="E179" s="196"/>
      <c r="F179" s="200">
        <f>F180+F183</f>
        <v>30</v>
      </c>
      <c r="G179" s="200">
        <f>G180+G183</f>
        <v>30</v>
      </c>
    </row>
    <row r="180" spans="1:7" ht="33.75" customHeight="1">
      <c r="A180" s="211" t="s">
        <v>258</v>
      </c>
      <c r="B180" s="193" t="s">
        <v>323</v>
      </c>
      <c r="C180" s="198"/>
      <c r="D180" s="198"/>
      <c r="E180" s="193"/>
      <c r="F180" s="199">
        <f>F181</f>
        <v>20</v>
      </c>
      <c r="G180" s="199">
        <f>G181</f>
        <v>20</v>
      </c>
    </row>
    <row r="181" spans="1:7" ht="21" customHeight="1">
      <c r="A181" s="211" t="s">
        <v>260</v>
      </c>
      <c r="B181" s="193" t="s">
        <v>261</v>
      </c>
      <c r="C181" s="198"/>
      <c r="D181" s="198"/>
      <c r="E181" s="193"/>
      <c r="F181" s="199">
        <f>F182</f>
        <v>20</v>
      </c>
      <c r="G181" s="199">
        <f>G182</f>
        <v>20</v>
      </c>
    </row>
    <row r="182" spans="1:7" ht="21.75" customHeight="1">
      <c r="A182" s="211" t="s">
        <v>636</v>
      </c>
      <c r="B182" s="193" t="s">
        <v>261</v>
      </c>
      <c r="C182" s="221" t="s">
        <v>647</v>
      </c>
      <c r="D182" s="221" t="s">
        <v>356</v>
      </c>
      <c r="E182" s="193">
        <v>240</v>
      </c>
      <c r="F182" s="199">
        <f>'Приложение 4'!Q615</f>
        <v>20</v>
      </c>
      <c r="G182" s="199">
        <f>'Приложение 4'!R615</f>
        <v>20</v>
      </c>
    </row>
    <row r="183" spans="1:7" ht="40.5" customHeight="1">
      <c r="A183" s="3" t="s">
        <v>89</v>
      </c>
      <c r="B183" s="220" t="s">
        <v>90</v>
      </c>
      <c r="C183" s="221"/>
      <c r="D183" s="198"/>
      <c r="E183" s="193"/>
      <c r="F183" s="199">
        <f>F184</f>
        <v>10</v>
      </c>
      <c r="G183" s="199">
        <f>G184</f>
        <v>10</v>
      </c>
    </row>
    <row r="184" spans="1:7" ht="18" customHeight="1">
      <c r="A184" s="211" t="s">
        <v>260</v>
      </c>
      <c r="B184" s="220" t="s">
        <v>91</v>
      </c>
      <c r="C184" s="221"/>
      <c r="D184" s="198"/>
      <c r="E184" s="193"/>
      <c r="F184" s="199">
        <f>F185</f>
        <v>10</v>
      </c>
      <c r="G184" s="199">
        <f>G185</f>
        <v>10</v>
      </c>
    </row>
    <row r="185" spans="1:7" ht="23.25" customHeight="1">
      <c r="A185" s="211" t="s">
        <v>636</v>
      </c>
      <c r="B185" s="220" t="s">
        <v>91</v>
      </c>
      <c r="C185" s="221" t="s">
        <v>647</v>
      </c>
      <c r="D185" s="221" t="s">
        <v>356</v>
      </c>
      <c r="E185" s="193">
        <v>240</v>
      </c>
      <c r="F185" s="199">
        <f>'Приложение 4'!Q618</f>
        <v>10</v>
      </c>
      <c r="G185" s="199">
        <f>'Приложение 4'!R618</f>
        <v>10</v>
      </c>
    </row>
    <row r="186" spans="1:7" s="205" customFormat="1" ht="31.5" customHeight="1">
      <c r="A186" s="210" t="s">
        <v>580</v>
      </c>
      <c r="B186" s="196" t="s">
        <v>324</v>
      </c>
      <c r="C186" s="197"/>
      <c r="D186" s="197"/>
      <c r="E186" s="196"/>
      <c r="F186" s="200">
        <f>F187+F193</f>
        <v>12525.5</v>
      </c>
      <c r="G186" s="200">
        <f>G187+G193</f>
        <v>4868.5</v>
      </c>
    </row>
    <row r="187" spans="1:7" ht="33.75" customHeight="1">
      <c r="A187" s="211" t="s">
        <v>276</v>
      </c>
      <c r="B187" s="193" t="s">
        <v>325</v>
      </c>
      <c r="C187" s="198"/>
      <c r="D187" s="198"/>
      <c r="E187" s="193"/>
      <c r="F187" s="199">
        <f>F188+F191</f>
        <v>11030.5</v>
      </c>
      <c r="G187" s="199">
        <f>G188+G191</f>
        <v>3373.5</v>
      </c>
    </row>
    <row r="188" spans="1:7" ht="32.25" customHeight="1">
      <c r="A188" s="211" t="s">
        <v>773</v>
      </c>
      <c r="B188" s="193" t="s">
        <v>326</v>
      </c>
      <c r="C188" s="198"/>
      <c r="D188" s="198"/>
      <c r="E188" s="193"/>
      <c r="F188" s="199">
        <f>F189+F190</f>
        <v>3430.5</v>
      </c>
      <c r="G188" s="199">
        <f>G189+G190</f>
        <v>3373.5</v>
      </c>
    </row>
    <row r="189" spans="1:7" ht="25.5" customHeight="1">
      <c r="A189" s="211" t="s">
        <v>636</v>
      </c>
      <c r="B189" s="193" t="s">
        <v>326</v>
      </c>
      <c r="C189" s="198" t="s">
        <v>646</v>
      </c>
      <c r="D189" s="198" t="s">
        <v>361</v>
      </c>
      <c r="E189" s="193">
        <v>240</v>
      </c>
      <c r="F189" s="199">
        <f>'Приложение 4'!Q203</f>
        <v>57</v>
      </c>
      <c r="G189" s="199">
        <f>'Приложение 4'!R203</f>
        <v>0</v>
      </c>
    </row>
    <row r="190" spans="1:7" ht="15.75">
      <c r="A190" s="78" t="s">
        <v>583</v>
      </c>
      <c r="B190" s="220" t="s">
        <v>326</v>
      </c>
      <c r="C190" s="221" t="s">
        <v>646</v>
      </c>
      <c r="D190" s="221" t="s">
        <v>361</v>
      </c>
      <c r="E190" s="193">
        <v>540</v>
      </c>
      <c r="F190" s="199">
        <f>'Приложение 4'!Q204</f>
        <v>3373.5</v>
      </c>
      <c r="G190" s="199">
        <f>'Приложение 4'!R204</f>
        <v>3373.5</v>
      </c>
    </row>
    <row r="191" spans="1:7" ht="24" customHeight="1">
      <c r="A191" s="78" t="s">
        <v>768</v>
      </c>
      <c r="B191" s="220" t="s">
        <v>770</v>
      </c>
      <c r="C191" s="198"/>
      <c r="D191" s="198"/>
      <c r="E191" s="193"/>
      <c r="F191" s="199">
        <f>F192</f>
        <v>7600</v>
      </c>
      <c r="G191" s="199">
        <f>G192</f>
        <v>0</v>
      </c>
    </row>
    <row r="192" spans="1:7" ht="19.5" customHeight="1">
      <c r="A192" s="211" t="s">
        <v>636</v>
      </c>
      <c r="B192" s="220" t="s">
        <v>770</v>
      </c>
      <c r="C192" s="198" t="s">
        <v>646</v>
      </c>
      <c r="D192" s="198" t="s">
        <v>361</v>
      </c>
      <c r="E192" s="193">
        <v>240</v>
      </c>
      <c r="F192" s="199">
        <f>'Приложение 4'!Q206</f>
        <v>7600</v>
      </c>
      <c r="G192" s="199">
        <f>'Приложение 4'!R206</f>
        <v>0</v>
      </c>
    </row>
    <row r="193" spans="1:7" ht="33.75" customHeight="1">
      <c r="A193" s="211" t="s">
        <v>278</v>
      </c>
      <c r="B193" s="193" t="s">
        <v>277</v>
      </c>
      <c r="C193" s="198"/>
      <c r="D193" s="198"/>
      <c r="E193" s="193"/>
      <c r="F193" s="199">
        <f>F194</f>
        <v>1495</v>
      </c>
      <c r="G193" s="199">
        <f>G194</f>
        <v>1495</v>
      </c>
    </row>
    <row r="194" spans="1:7" ht="15.75">
      <c r="A194" s="211" t="s">
        <v>237</v>
      </c>
      <c r="B194" s="193" t="s">
        <v>279</v>
      </c>
      <c r="C194" s="198"/>
      <c r="D194" s="198"/>
      <c r="E194" s="193"/>
      <c r="F194" s="199">
        <f>F195</f>
        <v>1495</v>
      </c>
      <c r="G194" s="199">
        <f>G195</f>
        <v>1495</v>
      </c>
    </row>
    <row r="195" spans="1:7" ht="18" customHeight="1">
      <c r="A195" s="211" t="s">
        <v>636</v>
      </c>
      <c r="B195" s="193" t="s">
        <v>279</v>
      </c>
      <c r="C195" s="198" t="s">
        <v>646</v>
      </c>
      <c r="D195" s="198" t="s">
        <v>362</v>
      </c>
      <c r="E195" s="193">
        <v>240</v>
      </c>
      <c r="F195" s="199">
        <f>'Приложение 4'!Q237</f>
        <v>1495</v>
      </c>
      <c r="G195" s="199">
        <f>'Приложение 4'!R237</f>
        <v>1495</v>
      </c>
    </row>
    <row r="196" spans="1:7" s="205" customFormat="1" ht="28.5" customHeight="1">
      <c r="A196" s="210" t="s">
        <v>27</v>
      </c>
      <c r="B196" s="196" t="s">
        <v>327</v>
      </c>
      <c r="C196" s="197"/>
      <c r="D196" s="197"/>
      <c r="E196" s="196"/>
      <c r="F196" s="200">
        <f>F197+F201+F212+F216</f>
        <v>41945.5</v>
      </c>
      <c r="G196" s="200">
        <f>G197+G201+G212+G216</f>
        <v>41902.700000000004</v>
      </c>
    </row>
    <row r="197" spans="1:7" ht="31.5" customHeight="1">
      <c r="A197" s="211" t="s">
        <v>346</v>
      </c>
      <c r="B197" s="193" t="s">
        <v>37</v>
      </c>
      <c r="C197" s="198"/>
      <c r="D197" s="198"/>
      <c r="E197" s="193"/>
      <c r="F197" s="199">
        <f aca="true" t="shared" si="0" ref="F197:G199">F198</f>
        <v>73.9</v>
      </c>
      <c r="G197" s="199">
        <f t="shared" si="0"/>
        <v>73.9</v>
      </c>
    </row>
    <row r="198" spans="1:7" ht="34.5" customHeight="1">
      <c r="A198" s="211" t="s">
        <v>28</v>
      </c>
      <c r="B198" s="193" t="s">
        <v>38</v>
      </c>
      <c r="C198" s="198"/>
      <c r="D198" s="198"/>
      <c r="E198" s="193"/>
      <c r="F198" s="199">
        <f t="shared" si="0"/>
        <v>73.9</v>
      </c>
      <c r="G198" s="199">
        <f t="shared" si="0"/>
        <v>73.9</v>
      </c>
    </row>
    <row r="199" spans="1:7" ht="18" customHeight="1">
      <c r="A199" s="211" t="s">
        <v>309</v>
      </c>
      <c r="B199" s="193" t="s">
        <v>39</v>
      </c>
      <c r="C199" s="198"/>
      <c r="D199" s="198"/>
      <c r="E199" s="193"/>
      <c r="F199" s="199">
        <f t="shared" si="0"/>
        <v>73.9</v>
      </c>
      <c r="G199" s="199">
        <f t="shared" si="0"/>
        <v>73.9</v>
      </c>
    </row>
    <row r="200" spans="1:7" ht="24" customHeight="1">
      <c r="A200" s="211" t="s">
        <v>636</v>
      </c>
      <c r="B200" s="193" t="s">
        <v>39</v>
      </c>
      <c r="C200" s="198" t="s">
        <v>364</v>
      </c>
      <c r="D200" s="198" t="s">
        <v>363</v>
      </c>
      <c r="E200" s="193">
        <v>240</v>
      </c>
      <c r="F200" s="199">
        <f>'Приложение 4'!Q415</f>
        <v>73.9</v>
      </c>
      <c r="G200" s="199">
        <f>'Приложение 4'!R415</f>
        <v>73.9</v>
      </c>
    </row>
    <row r="201" spans="1:7" ht="32.25" customHeight="1">
      <c r="A201" s="211" t="s">
        <v>34</v>
      </c>
      <c r="B201" s="193" t="s">
        <v>40</v>
      </c>
      <c r="C201" s="198"/>
      <c r="D201" s="198"/>
      <c r="E201" s="193"/>
      <c r="F201" s="199">
        <f>F202+F207</f>
        <v>19114.8</v>
      </c>
      <c r="G201" s="199">
        <f>G202+G207</f>
        <v>19114.8</v>
      </c>
    </row>
    <row r="202" spans="1:7" ht="18" customHeight="1">
      <c r="A202" s="211" t="s">
        <v>32</v>
      </c>
      <c r="B202" s="193" t="s">
        <v>41</v>
      </c>
      <c r="C202" s="198"/>
      <c r="D202" s="198"/>
      <c r="E202" s="193"/>
      <c r="F202" s="199">
        <f>F203+F205</f>
        <v>5032.799999999999</v>
      </c>
      <c r="G202" s="199">
        <f>G203+G205</f>
        <v>5032.799999999999</v>
      </c>
    </row>
    <row r="203" spans="1:7" ht="59.25" customHeight="1">
      <c r="A203" s="211" t="s">
        <v>44</v>
      </c>
      <c r="B203" s="193" t="s">
        <v>526</v>
      </c>
      <c r="C203" s="198"/>
      <c r="D203" s="198"/>
      <c r="E203" s="193"/>
      <c r="F203" s="199">
        <f>F204</f>
        <v>2865.2</v>
      </c>
      <c r="G203" s="199">
        <f>G204</f>
        <v>2865.2</v>
      </c>
    </row>
    <row r="204" spans="1:7" ht="15.75">
      <c r="A204" s="211" t="s">
        <v>642</v>
      </c>
      <c r="B204" s="193" t="s">
        <v>526</v>
      </c>
      <c r="C204" s="198" t="s">
        <v>364</v>
      </c>
      <c r="D204" s="198" t="s">
        <v>365</v>
      </c>
      <c r="E204" s="193">
        <v>510</v>
      </c>
      <c r="F204" s="199">
        <f>'Приложение 4'!Q459</f>
        <v>2865.2</v>
      </c>
      <c r="G204" s="199">
        <f>'Приложение 4'!R459</f>
        <v>2865.2</v>
      </c>
    </row>
    <row r="205" spans="1:7" ht="18" customHeight="1">
      <c r="A205" s="211" t="s">
        <v>45</v>
      </c>
      <c r="B205" s="220" t="s">
        <v>73</v>
      </c>
      <c r="C205" s="198"/>
      <c r="D205" s="198"/>
      <c r="E205" s="193"/>
      <c r="F205" s="199">
        <f>F206</f>
        <v>2167.6</v>
      </c>
      <c r="G205" s="199">
        <f>G206</f>
        <v>2167.6</v>
      </c>
    </row>
    <row r="206" spans="1:7" ht="15.75">
      <c r="A206" s="211" t="s">
        <v>642</v>
      </c>
      <c r="B206" s="220" t="s">
        <v>73</v>
      </c>
      <c r="C206" s="198" t="s">
        <v>364</v>
      </c>
      <c r="D206" s="198" t="s">
        <v>365</v>
      </c>
      <c r="E206" s="193">
        <v>510</v>
      </c>
      <c r="F206" s="199">
        <f>'Приложение 4'!Q461</f>
        <v>2167.6</v>
      </c>
      <c r="G206" s="199">
        <f>'Приложение 4'!R461</f>
        <v>2167.6</v>
      </c>
    </row>
    <row r="207" spans="1:7" ht="22.5" customHeight="1">
      <c r="A207" s="211" t="s">
        <v>35</v>
      </c>
      <c r="B207" s="193" t="s">
        <v>527</v>
      </c>
      <c r="C207" s="198"/>
      <c r="D207" s="198"/>
      <c r="E207" s="193"/>
      <c r="F207" s="199">
        <f>F208+F210</f>
        <v>14082</v>
      </c>
      <c r="G207" s="199">
        <f>G208+G210</f>
        <v>14082</v>
      </c>
    </row>
    <row r="208" spans="1:7" ht="21.75" customHeight="1">
      <c r="A208" s="211" t="s">
        <v>33</v>
      </c>
      <c r="B208" s="220" t="s">
        <v>74</v>
      </c>
      <c r="C208" s="198"/>
      <c r="D208" s="198"/>
      <c r="E208" s="193"/>
      <c r="F208" s="199">
        <f>F209</f>
        <v>10961.9</v>
      </c>
      <c r="G208" s="199">
        <f>G209</f>
        <v>10961.9</v>
      </c>
    </row>
    <row r="209" spans="1:7" ht="15.75">
      <c r="A209" s="211" t="s">
        <v>642</v>
      </c>
      <c r="B209" s="220" t="s">
        <v>74</v>
      </c>
      <c r="C209" s="198" t="s">
        <v>364</v>
      </c>
      <c r="D209" s="198" t="s">
        <v>366</v>
      </c>
      <c r="E209" s="193">
        <v>510</v>
      </c>
      <c r="F209" s="199">
        <f>'Приложение 4'!Q467</f>
        <v>10961.9</v>
      </c>
      <c r="G209" s="199">
        <f>'Приложение 4'!R467</f>
        <v>10961.9</v>
      </c>
    </row>
    <row r="210" spans="1:7" ht="37.5" customHeight="1">
      <c r="A210" s="9" t="s">
        <v>50</v>
      </c>
      <c r="B210" s="220" t="s">
        <v>77</v>
      </c>
      <c r="C210" s="198"/>
      <c r="D210" s="198"/>
      <c r="E210" s="193"/>
      <c r="F210" s="199">
        <f>F211</f>
        <v>3120.1</v>
      </c>
      <c r="G210" s="199">
        <f>G211</f>
        <v>3120.1</v>
      </c>
    </row>
    <row r="211" spans="1:7" ht="15.75">
      <c r="A211" s="9" t="s">
        <v>642</v>
      </c>
      <c r="B211" s="220" t="s">
        <v>77</v>
      </c>
      <c r="C211" s="221" t="s">
        <v>364</v>
      </c>
      <c r="D211" s="221" t="s">
        <v>366</v>
      </c>
      <c r="E211" s="193">
        <v>510</v>
      </c>
      <c r="F211" s="199">
        <f>'Приложение 4'!Q469</f>
        <v>3120.1</v>
      </c>
      <c r="G211" s="199">
        <f>'Приложение 4'!R469</f>
        <v>3120.1</v>
      </c>
    </row>
    <row r="212" spans="1:7" ht="15.75" customHeight="1">
      <c r="A212" s="211" t="s">
        <v>31</v>
      </c>
      <c r="B212" s="193" t="s">
        <v>528</v>
      </c>
      <c r="C212" s="198"/>
      <c r="D212" s="198"/>
      <c r="E212" s="193"/>
      <c r="F212" s="199">
        <f aca="true" t="shared" si="1" ref="F212:G214">F213</f>
        <v>64.7</v>
      </c>
      <c r="G212" s="199">
        <f t="shared" si="1"/>
        <v>64.7</v>
      </c>
    </row>
    <row r="213" spans="1:7" ht="15.75" customHeight="1">
      <c r="A213" s="211" t="s">
        <v>30</v>
      </c>
      <c r="B213" s="193" t="s">
        <v>529</v>
      </c>
      <c r="C213" s="198"/>
      <c r="D213" s="198"/>
      <c r="E213" s="193"/>
      <c r="F213" s="199">
        <f t="shared" si="1"/>
        <v>64.7</v>
      </c>
      <c r="G213" s="199">
        <f t="shared" si="1"/>
        <v>64.7</v>
      </c>
    </row>
    <row r="214" spans="1:7" ht="20.25" customHeight="1">
      <c r="A214" s="211" t="s">
        <v>285</v>
      </c>
      <c r="B214" s="193" t="s">
        <v>530</v>
      </c>
      <c r="C214" s="198"/>
      <c r="D214" s="198"/>
      <c r="E214" s="193"/>
      <c r="F214" s="199">
        <f t="shared" si="1"/>
        <v>64.7</v>
      </c>
      <c r="G214" s="199">
        <f t="shared" si="1"/>
        <v>64.7</v>
      </c>
    </row>
    <row r="215" spans="1:7" ht="15.75">
      <c r="A215" s="211" t="s">
        <v>436</v>
      </c>
      <c r="B215" s="193" t="s">
        <v>530</v>
      </c>
      <c r="C215" s="198" t="s">
        <v>364</v>
      </c>
      <c r="D215" s="198" t="s">
        <v>367</v>
      </c>
      <c r="E215" s="193">
        <v>730</v>
      </c>
      <c r="F215" s="199">
        <f>'Приложение 4'!Q452</f>
        <v>64.7</v>
      </c>
      <c r="G215" s="199">
        <f>'Приложение 4'!R452</f>
        <v>64.7</v>
      </c>
    </row>
    <row r="216" spans="1:7" ht="33" customHeight="1">
      <c r="A216" s="211" t="s">
        <v>26</v>
      </c>
      <c r="B216" s="193" t="s">
        <v>531</v>
      </c>
      <c r="C216" s="198"/>
      <c r="D216" s="198"/>
      <c r="E216" s="193"/>
      <c r="F216" s="199">
        <f>F217+F232</f>
        <v>22692.100000000002</v>
      </c>
      <c r="G216" s="199">
        <f>G217+G232</f>
        <v>22649.300000000003</v>
      </c>
    </row>
    <row r="217" spans="1:7" ht="67.5" customHeight="1">
      <c r="A217" s="211" t="s">
        <v>25</v>
      </c>
      <c r="B217" s="193" t="s">
        <v>532</v>
      </c>
      <c r="C217" s="198"/>
      <c r="D217" s="198"/>
      <c r="E217" s="193"/>
      <c r="F217" s="199">
        <f>F218+F226+F229+F224+F222</f>
        <v>6964.7</v>
      </c>
      <c r="G217" s="199">
        <f>G218+G226+G229+G224+G222</f>
        <v>6958.400000000001</v>
      </c>
    </row>
    <row r="218" spans="1:7" ht="21.75" customHeight="1">
      <c r="A218" s="211" t="s">
        <v>309</v>
      </c>
      <c r="B218" s="193" t="s">
        <v>535</v>
      </c>
      <c r="C218" s="198"/>
      <c r="D218" s="198"/>
      <c r="E218" s="193"/>
      <c r="F218" s="199">
        <f>SUM(F219:F221)</f>
        <v>4718.4</v>
      </c>
      <c r="G218" s="199">
        <f>SUM(G219:G221)</f>
        <v>4712.1</v>
      </c>
    </row>
    <row r="219" spans="1:7" ht="17.25" customHeight="1">
      <c r="A219" s="211" t="s">
        <v>490</v>
      </c>
      <c r="B219" s="193" t="s">
        <v>535</v>
      </c>
      <c r="C219" s="198" t="s">
        <v>364</v>
      </c>
      <c r="D219" s="198" t="s">
        <v>363</v>
      </c>
      <c r="E219" s="193">
        <v>120</v>
      </c>
      <c r="F219" s="199">
        <f>'Приложение 4'!Q419</f>
        <v>4106.7</v>
      </c>
      <c r="G219" s="199">
        <f>'Приложение 4'!R419</f>
        <v>4106.7</v>
      </c>
    </row>
    <row r="220" spans="1:7" ht="24" customHeight="1">
      <c r="A220" s="211" t="s">
        <v>636</v>
      </c>
      <c r="B220" s="193" t="s">
        <v>535</v>
      </c>
      <c r="C220" s="198" t="s">
        <v>364</v>
      </c>
      <c r="D220" s="198" t="s">
        <v>363</v>
      </c>
      <c r="E220" s="193">
        <v>240</v>
      </c>
      <c r="F220" s="199">
        <f>'Приложение 4'!Q420</f>
        <v>611.0999999999999</v>
      </c>
      <c r="G220" s="199">
        <f>'Приложение 4'!R420</f>
        <v>604.8</v>
      </c>
    </row>
    <row r="221" spans="1:7" ht="15.75">
      <c r="A221" s="211" t="s">
        <v>637</v>
      </c>
      <c r="B221" s="193" t="s">
        <v>535</v>
      </c>
      <c r="C221" s="198" t="s">
        <v>364</v>
      </c>
      <c r="D221" s="198" t="s">
        <v>363</v>
      </c>
      <c r="E221" s="193">
        <v>850</v>
      </c>
      <c r="F221" s="199">
        <f>'Приложение 4'!Q421</f>
        <v>0.6000000000000014</v>
      </c>
      <c r="G221" s="199">
        <f>'Приложение 4'!R421</f>
        <v>0.6000000000000014</v>
      </c>
    </row>
    <row r="222" spans="1:7" ht="54.75" customHeight="1">
      <c r="A222" s="70" t="s">
        <v>775</v>
      </c>
      <c r="B222" s="220" t="s">
        <v>778</v>
      </c>
      <c r="C222" s="198"/>
      <c r="D222" s="198"/>
      <c r="E222" s="193"/>
      <c r="F222" s="199">
        <f>F223</f>
        <v>93.1</v>
      </c>
      <c r="G222" s="199">
        <f>G223</f>
        <v>93.1</v>
      </c>
    </row>
    <row r="223" spans="1:7" ht="19.5" customHeight="1">
      <c r="A223" s="9" t="s">
        <v>490</v>
      </c>
      <c r="B223" s="220" t="s">
        <v>778</v>
      </c>
      <c r="C223" s="221" t="s">
        <v>364</v>
      </c>
      <c r="D223" s="221" t="s">
        <v>363</v>
      </c>
      <c r="E223" s="193">
        <v>120</v>
      </c>
      <c r="F223" s="199">
        <f>'Приложение 4'!Q423</f>
        <v>93.1</v>
      </c>
      <c r="G223" s="199">
        <f>'Приложение 4'!R423</f>
        <v>93.1</v>
      </c>
    </row>
    <row r="224" spans="1:7" ht="37.5" customHeight="1">
      <c r="A224" s="9" t="s">
        <v>50</v>
      </c>
      <c r="B224" s="220" t="s">
        <v>85</v>
      </c>
      <c r="C224" s="198"/>
      <c r="D224" s="198"/>
      <c r="E224" s="193"/>
      <c r="F224" s="199">
        <f>F225</f>
        <v>722</v>
      </c>
      <c r="G224" s="199">
        <f>G225</f>
        <v>722</v>
      </c>
    </row>
    <row r="225" spans="1:7" ht="18.75" customHeight="1">
      <c r="A225" s="9" t="s">
        <v>490</v>
      </c>
      <c r="B225" s="220" t="s">
        <v>85</v>
      </c>
      <c r="C225" s="221" t="s">
        <v>364</v>
      </c>
      <c r="D225" s="221" t="s">
        <v>363</v>
      </c>
      <c r="E225" s="193">
        <v>120</v>
      </c>
      <c r="F225" s="199">
        <f>'Приложение 4'!Q425</f>
        <v>722</v>
      </c>
      <c r="G225" s="199">
        <f>'Приложение 4'!R425</f>
        <v>722</v>
      </c>
    </row>
    <row r="226" spans="1:7" ht="21.75" customHeight="1">
      <c r="A226" s="80" t="s">
        <v>216</v>
      </c>
      <c r="B226" s="193" t="s">
        <v>533</v>
      </c>
      <c r="C226" s="198"/>
      <c r="D226" s="198"/>
      <c r="E226" s="193"/>
      <c r="F226" s="199">
        <f>SUM(F227:F228)</f>
        <v>372.9</v>
      </c>
      <c r="G226" s="199">
        <f>SUM(G227:G228)</f>
        <v>372.9</v>
      </c>
    </row>
    <row r="227" spans="1:7" ht="21" customHeight="1">
      <c r="A227" s="211" t="s">
        <v>490</v>
      </c>
      <c r="B227" s="193" t="s">
        <v>533</v>
      </c>
      <c r="C227" s="198" t="s">
        <v>368</v>
      </c>
      <c r="D227" s="198" t="s">
        <v>363</v>
      </c>
      <c r="E227" s="193">
        <v>120</v>
      </c>
      <c r="F227" s="199">
        <f>'Приложение 4'!Q427</f>
        <v>371.9</v>
      </c>
      <c r="G227" s="199">
        <f>'Приложение 4'!R427</f>
        <v>371.9</v>
      </c>
    </row>
    <row r="228" spans="1:7" ht="16.5" customHeight="1">
      <c r="A228" s="211" t="s">
        <v>636</v>
      </c>
      <c r="B228" s="193" t="s">
        <v>533</v>
      </c>
      <c r="C228" s="198" t="s">
        <v>368</v>
      </c>
      <c r="D228" s="198" t="s">
        <v>363</v>
      </c>
      <c r="E228" s="193">
        <v>240</v>
      </c>
      <c r="F228" s="199">
        <f>'Приложение 4'!Q428</f>
        <v>1</v>
      </c>
      <c r="G228" s="199">
        <f>'Приложение 4'!R428</f>
        <v>1</v>
      </c>
    </row>
    <row r="229" spans="1:7" ht="39" customHeight="1">
      <c r="A229" s="80" t="s">
        <v>217</v>
      </c>
      <c r="B229" s="193" t="s">
        <v>534</v>
      </c>
      <c r="C229" s="198"/>
      <c r="D229" s="198"/>
      <c r="E229" s="193"/>
      <c r="F229" s="199">
        <f>SUM(F230:F231)</f>
        <v>1058.3</v>
      </c>
      <c r="G229" s="199">
        <f>SUM(G230:G231)</f>
        <v>1058.3</v>
      </c>
    </row>
    <row r="230" spans="1:7" ht="20.25" customHeight="1">
      <c r="A230" s="211" t="s">
        <v>490</v>
      </c>
      <c r="B230" s="193" t="s">
        <v>534</v>
      </c>
      <c r="C230" s="198" t="s">
        <v>364</v>
      </c>
      <c r="D230" s="198" t="s">
        <v>363</v>
      </c>
      <c r="E230" s="193">
        <v>120</v>
      </c>
      <c r="F230" s="199">
        <f>'Приложение 4'!Q430</f>
        <v>999.1</v>
      </c>
      <c r="G230" s="199">
        <f>'Приложение 4'!R430</f>
        <v>999.1</v>
      </c>
    </row>
    <row r="231" spans="1:7" ht="23.25" customHeight="1">
      <c r="A231" s="211" t="s">
        <v>636</v>
      </c>
      <c r="B231" s="193" t="s">
        <v>534</v>
      </c>
      <c r="C231" s="198" t="s">
        <v>364</v>
      </c>
      <c r="D231" s="198" t="s">
        <v>363</v>
      </c>
      <c r="E231" s="193">
        <v>240</v>
      </c>
      <c r="F231" s="199">
        <f>'Приложение 4'!Q431</f>
        <v>59.2</v>
      </c>
      <c r="G231" s="199">
        <f>'Приложение 4'!R431</f>
        <v>59.2</v>
      </c>
    </row>
    <row r="232" spans="1:7" ht="36" customHeight="1">
      <c r="A232" s="211" t="s">
        <v>633</v>
      </c>
      <c r="B232" s="193" t="s">
        <v>716</v>
      </c>
      <c r="C232" s="198"/>
      <c r="D232" s="198"/>
      <c r="E232" s="193"/>
      <c r="F232" s="199">
        <f>F233+F240+F238</f>
        <v>15727.400000000001</v>
      </c>
      <c r="G232" s="199">
        <f>G233+G240+G238</f>
        <v>15690.900000000001</v>
      </c>
    </row>
    <row r="233" spans="1:7" ht="18" customHeight="1">
      <c r="A233" s="211" t="s">
        <v>311</v>
      </c>
      <c r="B233" s="193" t="s">
        <v>717</v>
      </c>
      <c r="C233" s="198"/>
      <c r="D233" s="198"/>
      <c r="E233" s="193"/>
      <c r="F233" s="199">
        <f>SUM(F234:F237)</f>
        <v>11285.100000000002</v>
      </c>
      <c r="G233" s="199">
        <f>SUM(G234:G237)</f>
        <v>11248.600000000002</v>
      </c>
    </row>
    <row r="234" spans="1:7" ht="19.5" customHeight="1">
      <c r="A234" s="211" t="s">
        <v>639</v>
      </c>
      <c r="B234" s="193" t="s">
        <v>717</v>
      </c>
      <c r="C234" s="198" t="s">
        <v>364</v>
      </c>
      <c r="D234" s="198" t="s">
        <v>350</v>
      </c>
      <c r="E234" s="193">
        <v>110</v>
      </c>
      <c r="F234" s="199">
        <f>'Приложение 4'!Q437</f>
        <v>10531.800000000001</v>
      </c>
      <c r="G234" s="199">
        <f>'Приложение 4'!R437</f>
        <v>10531.800000000001</v>
      </c>
    </row>
    <row r="235" spans="1:7" ht="18" customHeight="1">
      <c r="A235" s="211" t="s">
        <v>636</v>
      </c>
      <c r="B235" s="193" t="s">
        <v>717</v>
      </c>
      <c r="C235" s="198" t="s">
        <v>364</v>
      </c>
      <c r="D235" s="198" t="s">
        <v>350</v>
      </c>
      <c r="E235" s="193">
        <v>240</v>
      </c>
      <c r="F235" s="199">
        <f>'Приложение 4'!Q438</f>
        <v>685.2</v>
      </c>
      <c r="G235" s="199">
        <f>'Приложение 4'!R438</f>
        <v>648.7</v>
      </c>
    </row>
    <row r="236" spans="1:7" ht="19.5" customHeight="1">
      <c r="A236" s="9" t="s">
        <v>641</v>
      </c>
      <c r="B236" s="220" t="s">
        <v>717</v>
      </c>
      <c r="C236" s="221" t="s">
        <v>364</v>
      </c>
      <c r="D236" s="221" t="s">
        <v>350</v>
      </c>
      <c r="E236" s="193">
        <v>320</v>
      </c>
      <c r="F236" s="199">
        <f>'Приложение 4'!Q439</f>
        <v>68</v>
      </c>
      <c r="G236" s="199">
        <f>'Приложение 4'!R439</f>
        <v>68</v>
      </c>
    </row>
    <row r="237" spans="1:7" ht="15.75">
      <c r="A237" s="211" t="s">
        <v>637</v>
      </c>
      <c r="B237" s="193" t="s">
        <v>717</v>
      </c>
      <c r="C237" s="198" t="s">
        <v>364</v>
      </c>
      <c r="D237" s="198" t="s">
        <v>350</v>
      </c>
      <c r="E237" s="193">
        <v>850</v>
      </c>
      <c r="F237" s="199">
        <f>'Приложение 4'!Q440</f>
        <v>0.10000000000000009</v>
      </c>
      <c r="G237" s="199">
        <f>'Приложение 4'!R440</f>
        <v>0.10000000000000009</v>
      </c>
    </row>
    <row r="238" spans="1:7" ht="34.5" customHeight="1">
      <c r="A238" s="9" t="s">
        <v>50</v>
      </c>
      <c r="B238" s="220" t="s">
        <v>202</v>
      </c>
      <c r="C238" s="198"/>
      <c r="D238" s="198"/>
      <c r="E238" s="193"/>
      <c r="F238" s="199">
        <f>F239</f>
        <v>2235.2</v>
      </c>
      <c r="G238" s="199">
        <f>G239</f>
        <v>2235.2</v>
      </c>
    </row>
    <row r="239" spans="1:7" ht="18" customHeight="1">
      <c r="A239" s="9" t="s">
        <v>702</v>
      </c>
      <c r="B239" s="220" t="s">
        <v>202</v>
      </c>
      <c r="C239" s="221" t="s">
        <v>368</v>
      </c>
      <c r="D239" s="221" t="s">
        <v>350</v>
      </c>
      <c r="E239" s="193">
        <v>110</v>
      </c>
      <c r="F239" s="199">
        <f>'Приложение 4'!Q442</f>
        <v>2235.2</v>
      </c>
      <c r="G239" s="199">
        <f>'Приложение 4'!R442</f>
        <v>2235.2</v>
      </c>
    </row>
    <row r="240" spans="1:7" ht="30.75" customHeight="1">
      <c r="A240" s="80" t="s">
        <v>675</v>
      </c>
      <c r="B240" s="193" t="s">
        <v>718</v>
      </c>
      <c r="C240" s="198"/>
      <c r="D240" s="198"/>
      <c r="E240" s="193"/>
      <c r="F240" s="199">
        <f>SUM(F241:F242)</f>
        <v>2207.0999999999995</v>
      </c>
      <c r="G240" s="199">
        <f>SUM(G241:G242)</f>
        <v>2207.0999999999995</v>
      </c>
    </row>
    <row r="241" spans="1:7" ht="24.75" customHeight="1">
      <c r="A241" s="211" t="s">
        <v>639</v>
      </c>
      <c r="B241" s="193" t="s">
        <v>718</v>
      </c>
      <c r="C241" s="198" t="s">
        <v>364</v>
      </c>
      <c r="D241" s="198" t="s">
        <v>350</v>
      </c>
      <c r="E241" s="193">
        <v>110</v>
      </c>
      <c r="F241" s="199">
        <f>'Приложение 4'!Q444</f>
        <v>2095.4999999999995</v>
      </c>
      <c r="G241" s="199">
        <f>'Приложение 4'!R444</f>
        <v>2095.4999999999995</v>
      </c>
    </row>
    <row r="242" spans="1:7" ht="19.5" customHeight="1">
      <c r="A242" s="211" t="s">
        <v>636</v>
      </c>
      <c r="B242" s="193" t="s">
        <v>718</v>
      </c>
      <c r="C242" s="198" t="s">
        <v>364</v>
      </c>
      <c r="D242" s="198" t="s">
        <v>350</v>
      </c>
      <c r="E242" s="193">
        <v>240</v>
      </c>
      <c r="F242" s="199">
        <f>'Приложение 4'!Q445</f>
        <v>111.6</v>
      </c>
      <c r="G242" s="199">
        <f>'Приложение 4'!R445</f>
        <v>111.6</v>
      </c>
    </row>
    <row r="243" spans="1:7" s="205" customFormat="1" ht="36" customHeight="1">
      <c r="A243" s="210" t="s">
        <v>437</v>
      </c>
      <c r="B243" s="196" t="s">
        <v>328</v>
      </c>
      <c r="C243" s="197"/>
      <c r="D243" s="197"/>
      <c r="E243" s="196"/>
      <c r="F243" s="200">
        <f>F244+F248</f>
        <v>166</v>
      </c>
      <c r="G243" s="200">
        <f>G244+G248</f>
        <v>156</v>
      </c>
    </row>
    <row r="244" spans="1:7" ht="21" customHeight="1">
      <c r="A244" s="3" t="s">
        <v>147</v>
      </c>
      <c r="B244" s="220" t="s">
        <v>149</v>
      </c>
      <c r="C244" s="221"/>
      <c r="D244" s="221"/>
      <c r="E244" s="220"/>
      <c r="F244" s="222">
        <f aca="true" t="shared" si="2" ref="F244:G246">F245</f>
        <v>15</v>
      </c>
      <c r="G244" s="222">
        <f t="shared" si="2"/>
        <v>15</v>
      </c>
    </row>
    <row r="245" spans="1:7" ht="35.25" customHeight="1">
      <c r="A245" s="3" t="s">
        <v>148</v>
      </c>
      <c r="B245" s="220" t="s">
        <v>150</v>
      </c>
      <c r="C245" s="221"/>
      <c r="D245" s="221"/>
      <c r="E245" s="220"/>
      <c r="F245" s="222">
        <f t="shared" si="2"/>
        <v>15</v>
      </c>
      <c r="G245" s="222">
        <f t="shared" si="2"/>
        <v>15</v>
      </c>
    </row>
    <row r="246" spans="1:7" ht="20.25" customHeight="1">
      <c r="A246" s="3" t="s">
        <v>260</v>
      </c>
      <c r="B246" s="220" t="s">
        <v>151</v>
      </c>
      <c r="C246" s="221"/>
      <c r="D246" s="221"/>
      <c r="E246" s="220"/>
      <c r="F246" s="222">
        <f t="shared" si="2"/>
        <v>15</v>
      </c>
      <c r="G246" s="222">
        <f t="shared" si="2"/>
        <v>15</v>
      </c>
    </row>
    <row r="247" spans="1:7" ht="20.25" customHeight="1">
      <c r="A247" s="185" t="s">
        <v>636</v>
      </c>
      <c r="B247" s="220" t="s">
        <v>151</v>
      </c>
      <c r="C247" s="221" t="s">
        <v>647</v>
      </c>
      <c r="D247" s="221" t="s">
        <v>356</v>
      </c>
      <c r="E247" s="220">
        <v>240</v>
      </c>
      <c r="F247" s="222">
        <f>'Приложение 4'!Q623</f>
        <v>15</v>
      </c>
      <c r="G247" s="222">
        <f>'Приложение 4'!R623</f>
        <v>15</v>
      </c>
    </row>
    <row r="248" spans="1:7" ht="16.5" customHeight="1">
      <c r="A248" s="211" t="s">
        <v>590</v>
      </c>
      <c r="B248" s="193" t="s">
        <v>329</v>
      </c>
      <c r="C248" s="198"/>
      <c r="D248" s="198"/>
      <c r="E248" s="193"/>
      <c r="F248" s="199">
        <f>F249+F253+F256</f>
        <v>151</v>
      </c>
      <c r="G248" s="199">
        <f>G249+G253+G256</f>
        <v>141</v>
      </c>
    </row>
    <row r="249" spans="1:7" ht="17.25" customHeight="1">
      <c r="A249" s="9" t="s">
        <v>143</v>
      </c>
      <c r="B249" s="220" t="s">
        <v>152</v>
      </c>
      <c r="C249" s="198"/>
      <c r="D249" s="198"/>
      <c r="E249" s="193"/>
      <c r="F249" s="199">
        <f>F250</f>
        <v>5</v>
      </c>
      <c r="G249" s="199">
        <f>G250</f>
        <v>0</v>
      </c>
    </row>
    <row r="250" spans="1:7" ht="20.25" customHeight="1">
      <c r="A250" s="9" t="s">
        <v>144</v>
      </c>
      <c r="B250" s="220" t="s">
        <v>153</v>
      </c>
      <c r="C250" s="198"/>
      <c r="D250" s="198"/>
      <c r="E250" s="193"/>
      <c r="F250" s="199">
        <f>F251+F252</f>
        <v>5</v>
      </c>
      <c r="G250" s="199">
        <f>G251+G252</f>
        <v>0</v>
      </c>
    </row>
    <row r="251" spans="1:7" ht="31.5" customHeight="1" hidden="1">
      <c r="A251" s="31" t="s">
        <v>636</v>
      </c>
      <c r="B251" s="220" t="s">
        <v>153</v>
      </c>
      <c r="C251" s="221" t="s">
        <v>646</v>
      </c>
      <c r="D251" s="221" t="s">
        <v>369</v>
      </c>
      <c r="E251" s="193">
        <v>240</v>
      </c>
      <c r="F251" s="199">
        <f>'Приложение 4'!Q94</f>
        <v>0</v>
      </c>
      <c r="G251" s="199">
        <f>'Приложение 4'!R94</f>
        <v>0</v>
      </c>
    </row>
    <row r="252" spans="1:7" ht="15.75">
      <c r="A252" s="9" t="s">
        <v>142</v>
      </c>
      <c r="B252" s="220" t="s">
        <v>153</v>
      </c>
      <c r="C252" s="221" t="s">
        <v>646</v>
      </c>
      <c r="D252" s="221" t="s">
        <v>369</v>
      </c>
      <c r="E252" s="193">
        <v>360</v>
      </c>
      <c r="F252" s="199">
        <f>'Приложение 4'!Q95</f>
        <v>5</v>
      </c>
      <c r="G252" s="199">
        <f>'Приложение 4'!R95</f>
        <v>0</v>
      </c>
    </row>
    <row r="253" spans="1:7" ht="35.25" customHeight="1">
      <c r="A253" s="80" t="s">
        <v>245</v>
      </c>
      <c r="B253" s="193" t="s">
        <v>482</v>
      </c>
      <c r="C253" s="198"/>
      <c r="D253" s="198"/>
      <c r="E253" s="193"/>
      <c r="F253" s="199">
        <f>F254</f>
        <v>136</v>
      </c>
      <c r="G253" s="199">
        <f>G254</f>
        <v>136</v>
      </c>
    </row>
    <row r="254" spans="1:7" ht="33" customHeight="1">
      <c r="A254" s="211" t="s">
        <v>438</v>
      </c>
      <c r="B254" s="193" t="s">
        <v>330</v>
      </c>
      <c r="C254" s="198"/>
      <c r="D254" s="198"/>
      <c r="E254" s="193"/>
      <c r="F254" s="199">
        <f>F255</f>
        <v>136</v>
      </c>
      <c r="G254" s="199">
        <f>G255</f>
        <v>136</v>
      </c>
    </row>
    <row r="255" spans="1:7" ht="18" customHeight="1">
      <c r="A255" s="211" t="s">
        <v>636</v>
      </c>
      <c r="B255" s="193" t="s">
        <v>330</v>
      </c>
      <c r="C255" s="198" t="s">
        <v>646</v>
      </c>
      <c r="D255" s="198" t="s">
        <v>369</v>
      </c>
      <c r="E255" s="193">
        <v>240</v>
      </c>
      <c r="F255" s="199">
        <f>'Приложение 4'!Q98</f>
        <v>136</v>
      </c>
      <c r="G255" s="199">
        <f>'Приложение 4'!R98</f>
        <v>136</v>
      </c>
    </row>
    <row r="256" spans="1:7" ht="15.75" customHeight="1">
      <c r="A256" s="9" t="s">
        <v>145</v>
      </c>
      <c r="B256" s="220" t="s">
        <v>154</v>
      </c>
      <c r="C256" s="198"/>
      <c r="D256" s="198"/>
      <c r="E256" s="193"/>
      <c r="F256" s="199">
        <f>F257</f>
        <v>10</v>
      </c>
      <c r="G256" s="199">
        <f>G257</f>
        <v>5</v>
      </c>
    </row>
    <row r="257" spans="1:7" ht="19.5" customHeight="1">
      <c r="A257" s="9" t="s">
        <v>146</v>
      </c>
      <c r="B257" s="220" t="s">
        <v>155</v>
      </c>
      <c r="C257" s="198"/>
      <c r="D257" s="198"/>
      <c r="E257" s="193"/>
      <c r="F257" s="199">
        <f>F258</f>
        <v>10</v>
      </c>
      <c r="G257" s="199">
        <f>G258</f>
        <v>5</v>
      </c>
    </row>
    <row r="258" spans="1:7" ht="25.5" customHeight="1">
      <c r="A258" s="31" t="s">
        <v>636</v>
      </c>
      <c r="B258" s="220" t="s">
        <v>155</v>
      </c>
      <c r="C258" s="221" t="s">
        <v>646</v>
      </c>
      <c r="D258" s="221" t="s">
        <v>369</v>
      </c>
      <c r="E258" s="193">
        <v>240</v>
      </c>
      <c r="F258" s="199">
        <f>'Приложение 4'!Q101</f>
        <v>10</v>
      </c>
      <c r="G258" s="199">
        <f>'Приложение 4'!R101</f>
        <v>5</v>
      </c>
    </row>
    <row r="259" spans="1:7" ht="15.75" customHeight="1" hidden="1">
      <c r="A259" s="211"/>
      <c r="B259" s="193"/>
      <c r="C259" s="198"/>
      <c r="D259" s="198"/>
      <c r="E259" s="193"/>
      <c r="F259" s="199"/>
      <c r="G259" s="199"/>
    </row>
    <row r="260" spans="1:7" s="205" customFormat="1" ht="21.75" customHeight="1">
      <c r="A260" s="210" t="s">
        <v>24</v>
      </c>
      <c r="B260" s="196" t="s">
        <v>14</v>
      </c>
      <c r="C260" s="197"/>
      <c r="D260" s="197"/>
      <c r="E260" s="196"/>
      <c r="F260" s="200">
        <f>F261+F269</f>
        <v>435.09999999999997</v>
      </c>
      <c r="G260" s="200">
        <f>G261+G269</f>
        <v>416.4</v>
      </c>
    </row>
    <row r="261" spans="1:7" ht="31.5" customHeight="1">
      <c r="A261" s="211" t="s">
        <v>22</v>
      </c>
      <c r="B261" s="193" t="s">
        <v>15</v>
      </c>
      <c r="C261" s="198"/>
      <c r="D261" s="198"/>
      <c r="E261" s="193"/>
      <c r="F261" s="199">
        <f>F262+F265+F267</f>
        <v>399.09999999999997</v>
      </c>
      <c r="G261" s="199">
        <f>G262+G265+G267</f>
        <v>380.4</v>
      </c>
    </row>
    <row r="262" spans="1:7" ht="24" customHeight="1">
      <c r="A262" s="211" t="s">
        <v>227</v>
      </c>
      <c r="B262" s="193" t="s">
        <v>16</v>
      </c>
      <c r="C262" s="198"/>
      <c r="D262" s="198"/>
      <c r="E262" s="193"/>
      <c r="F262" s="199">
        <f>F263+F264</f>
        <v>68.2</v>
      </c>
      <c r="G262" s="199">
        <f>G263+G264</f>
        <v>68.2</v>
      </c>
    </row>
    <row r="263" spans="1:7" ht="36" customHeight="1" hidden="1">
      <c r="A263" s="211" t="s">
        <v>636</v>
      </c>
      <c r="B263" s="193" t="s">
        <v>16</v>
      </c>
      <c r="C263" s="198" t="s">
        <v>646</v>
      </c>
      <c r="D263" s="198" t="s">
        <v>360</v>
      </c>
      <c r="E263" s="193">
        <v>240</v>
      </c>
      <c r="F263" s="199">
        <f>'Приложение 4'!Q175</f>
        <v>0</v>
      </c>
      <c r="G263" s="199">
        <f>'Приложение 4'!R175</f>
        <v>0</v>
      </c>
    </row>
    <row r="264" spans="1:7" ht="30.75" customHeight="1">
      <c r="A264" s="211" t="s">
        <v>6</v>
      </c>
      <c r="B264" s="193" t="s">
        <v>16</v>
      </c>
      <c r="C264" s="198" t="s">
        <v>646</v>
      </c>
      <c r="D264" s="198" t="s">
        <v>360</v>
      </c>
      <c r="E264" s="193">
        <v>810</v>
      </c>
      <c r="F264" s="199">
        <f>'Приложение 4'!Q176</f>
        <v>68.2</v>
      </c>
      <c r="G264" s="199">
        <f>'Приложение 4'!R176</f>
        <v>68.2</v>
      </c>
    </row>
    <row r="265" spans="1:7" ht="47.25" customHeight="1" hidden="1">
      <c r="A265" s="211" t="s">
        <v>720</v>
      </c>
      <c r="B265" s="193" t="s">
        <v>721</v>
      </c>
      <c r="C265" s="198"/>
      <c r="D265" s="198"/>
      <c r="E265" s="193"/>
      <c r="F265" s="199">
        <f>F266</f>
        <v>0</v>
      </c>
      <c r="G265" s="199">
        <f>G266</f>
        <v>0</v>
      </c>
    </row>
    <row r="266" spans="1:7" ht="63" customHeight="1" hidden="1">
      <c r="A266" s="211" t="s">
        <v>6</v>
      </c>
      <c r="B266" s="193" t="s">
        <v>721</v>
      </c>
      <c r="C266" s="198" t="s">
        <v>646</v>
      </c>
      <c r="D266" s="198" t="s">
        <v>360</v>
      </c>
      <c r="E266" s="193">
        <v>810</v>
      </c>
      <c r="F266" s="199">
        <f>'Приложение 4'!Q178</f>
        <v>0</v>
      </c>
      <c r="G266" s="199">
        <f>'Приложение 4'!R178</f>
        <v>0</v>
      </c>
    </row>
    <row r="267" spans="1:7" ht="18.75" customHeight="1">
      <c r="A267" s="211" t="s">
        <v>5</v>
      </c>
      <c r="B267" s="193" t="s">
        <v>244</v>
      </c>
      <c r="C267" s="198"/>
      <c r="D267" s="198"/>
      <c r="E267" s="193"/>
      <c r="F267" s="199">
        <f>F268</f>
        <v>330.9</v>
      </c>
      <c r="G267" s="199">
        <f>G268</f>
        <v>312.2</v>
      </c>
    </row>
    <row r="268" spans="1:7" ht="27" customHeight="1">
      <c r="A268" s="211" t="s">
        <v>6</v>
      </c>
      <c r="B268" s="193" t="s">
        <v>244</v>
      </c>
      <c r="C268" s="198" t="s">
        <v>646</v>
      </c>
      <c r="D268" s="198" t="s">
        <v>360</v>
      </c>
      <c r="E268" s="193">
        <v>810</v>
      </c>
      <c r="F268" s="199">
        <f>'Приложение 4'!Q180</f>
        <v>330.9</v>
      </c>
      <c r="G268" s="199">
        <f>'Приложение 4'!R180</f>
        <v>312.2</v>
      </c>
    </row>
    <row r="269" spans="1:7" ht="25.5" customHeight="1">
      <c r="A269" s="211" t="s">
        <v>23</v>
      </c>
      <c r="B269" s="193" t="s">
        <v>17</v>
      </c>
      <c r="C269" s="198"/>
      <c r="D269" s="198"/>
      <c r="E269" s="193"/>
      <c r="F269" s="199">
        <f>F270</f>
        <v>36</v>
      </c>
      <c r="G269" s="199">
        <f>G270</f>
        <v>36</v>
      </c>
    </row>
    <row r="270" spans="1:7" ht="15" customHeight="1">
      <c r="A270" s="211" t="s">
        <v>229</v>
      </c>
      <c r="B270" s="193" t="s">
        <v>18</v>
      </c>
      <c r="C270" s="198"/>
      <c r="D270" s="198"/>
      <c r="E270" s="193"/>
      <c r="F270" s="199">
        <f>F271</f>
        <v>36</v>
      </c>
      <c r="G270" s="199">
        <f>G271</f>
        <v>36</v>
      </c>
    </row>
    <row r="271" spans="1:7" ht="17.25" customHeight="1">
      <c r="A271" s="211" t="s">
        <v>636</v>
      </c>
      <c r="B271" s="193" t="s">
        <v>18</v>
      </c>
      <c r="C271" s="198" t="s">
        <v>646</v>
      </c>
      <c r="D271" s="198" t="s">
        <v>360</v>
      </c>
      <c r="E271" s="193">
        <v>240</v>
      </c>
      <c r="F271" s="199">
        <f>'Приложение 4'!Q183</f>
        <v>36</v>
      </c>
      <c r="G271" s="199">
        <f>'Приложение 4'!R183</f>
        <v>36</v>
      </c>
    </row>
    <row r="272" spans="1:7" s="205" customFormat="1" ht="34.5" customHeight="1">
      <c r="A272" s="210" t="s">
        <v>728</v>
      </c>
      <c r="B272" s="196" t="s">
        <v>251</v>
      </c>
      <c r="C272" s="197"/>
      <c r="D272" s="197"/>
      <c r="E272" s="196"/>
      <c r="F272" s="200">
        <f>F273</f>
        <v>41872.2</v>
      </c>
      <c r="G272" s="200">
        <f>G273</f>
        <v>2873.2</v>
      </c>
    </row>
    <row r="273" spans="1:7" ht="30" customHeight="1">
      <c r="A273" s="219" t="s">
        <v>94</v>
      </c>
      <c r="B273" s="220" t="s">
        <v>95</v>
      </c>
      <c r="C273" s="221"/>
      <c r="D273" s="221"/>
      <c r="E273" s="220"/>
      <c r="F273" s="222">
        <f>F276+F278+F274</f>
        <v>41872.2</v>
      </c>
      <c r="G273" s="222">
        <f>G276+G278+G274</f>
        <v>2873.2</v>
      </c>
    </row>
    <row r="274" spans="1:7" ht="33" customHeight="1">
      <c r="A274" s="15" t="s">
        <v>722</v>
      </c>
      <c r="B274" s="220" t="s">
        <v>156</v>
      </c>
      <c r="C274" s="221"/>
      <c r="D274" s="221"/>
      <c r="E274" s="220"/>
      <c r="F274" s="222">
        <f>F275</f>
        <v>40173.299999999996</v>
      </c>
      <c r="G274" s="222">
        <f>G275</f>
        <v>2737.2</v>
      </c>
    </row>
    <row r="275" spans="1:7" ht="15.75">
      <c r="A275" s="211" t="s">
        <v>484</v>
      </c>
      <c r="B275" s="220" t="s">
        <v>156</v>
      </c>
      <c r="C275" s="221" t="s">
        <v>646</v>
      </c>
      <c r="D275" s="221" t="s">
        <v>370</v>
      </c>
      <c r="E275" s="220">
        <v>410</v>
      </c>
      <c r="F275" s="222">
        <f>'Приложение 4'!Q193</f>
        <v>40173.299999999996</v>
      </c>
      <c r="G275" s="222">
        <f>'Приложение 4'!R193</f>
        <v>2737.2</v>
      </c>
    </row>
    <row r="276" spans="1:7" ht="28.5" customHeight="1">
      <c r="A276" s="211" t="s">
        <v>723</v>
      </c>
      <c r="B276" s="193" t="s">
        <v>734</v>
      </c>
      <c r="C276" s="198"/>
      <c r="D276" s="198"/>
      <c r="E276" s="193"/>
      <c r="F276" s="199">
        <f>F277</f>
        <v>1673.9</v>
      </c>
      <c r="G276" s="199">
        <f>G277</f>
        <v>114</v>
      </c>
    </row>
    <row r="277" spans="1:7" ht="15.75">
      <c r="A277" s="211" t="s">
        <v>484</v>
      </c>
      <c r="B277" s="193" t="s">
        <v>734</v>
      </c>
      <c r="C277" s="198" t="s">
        <v>646</v>
      </c>
      <c r="D277" s="198" t="s">
        <v>370</v>
      </c>
      <c r="E277" s="193">
        <v>410</v>
      </c>
      <c r="F277" s="199">
        <f>'Приложение 4'!Q195</f>
        <v>1673.9</v>
      </c>
      <c r="G277" s="199">
        <f>'Приложение 4'!R195</f>
        <v>114</v>
      </c>
    </row>
    <row r="278" spans="1:7" ht="34.5" customHeight="1">
      <c r="A278" s="211" t="s">
        <v>737</v>
      </c>
      <c r="B278" s="193" t="s">
        <v>738</v>
      </c>
      <c r="C278" s="198"/>
      <c r="D278" s="198"/>
      <c r="E278" s="193"/>
      <c r="F278" s="199">
        <f>F280+F279</f>
        <v>25</v>
      </c>
      <c r="G278" s="199">
        <f>G280+G279</f>
        <v>22</v>
      </c>
    </row>
    <row r="279" spans="1:7" ht="21.75" customHeight="1">
      <c r="A279" s="15" t="s">
        <v>636</v>
      </c>
      <c r="B279" s="193" t="s">
        <v>738</v>
      </c>
      <c r="C279" s="198" t="s">
        <v>646</v>
      </c>
      <c r="D279" s="198" t="s">
        <v>370</v>
      </c>
      <c r="E279" s="193">
        <v>240</v>
      </c>
      <c r="F279" s="199">
        <f>'Приложение 4'!Q197</f>
        <v>25</v>
      </c>
      <c r="G279" s="199">
        <f>'Приложение 4'!R197</f>
        <v>22</v>
      </c>
    </row>
    <row r="280" spans="1:7" ht="15.75" customHeight="1" hidden="1">
      <c r="A280" s="211" t="s">
        <v>484</v>
      </c>
      <c r="B280" s="193" t="s">
        <v>738</v>
      </c>
      <c r="C280" s="198" t="s">
        <v>646</v>
      </c>
      <c r="D280" s="198" t="s">
        <v>370</v>
      </c>
      <c r="E280" s="193">
        <v>410</v>
      </c>
      <c r="F280" s="199">
        <f>'Приложение 4'!Q198</f>
        <v>0</v>
      </c>
      <c r="G280" s="199">
        <f>'Приложение 4'!R198</f>
        <v>0</v>
      </c>
    </row>
    <row r="281" spans="1:7" s="205" customFormat="1" ht="30" customHeight="1">
      <c r="A281" s="210" t="s">
        <v>621</v>
      </c>
      <c r="B281" s="196" t="s">
        <v>371</v>
      </c>
      <c r="C281" s="197"/>
      <c r="D281" s="197"/>
      <c r="E281" s="196"/>
      <c r="F281" s="200">
        <f>F282+F285+F290+F295+F303</f>
        <v>141.2</v>
      </c>
      <c r="G281" s="200">
        <f>G282+G285+G290+G295+G303</f>
        <v>141.2</v>
      </c>
    </row>
    <row r="282" spans="1:7" ht="54" customHeight="1" hidden="1">
      <c r="A282" s="211" t="s">
        <v>439</v>
      </c>
      <c r="B282" s="193" t="s">
        <v>372</v>
      </c>
      <c r="C282" s="198"/>
      <c r="D282" s="198"/>
      <c r="E282" s="193"/>
      <c r="F282" s="199">
        <f>F283</f>
        <v>0</v>
      </c>
      <c r="G282" s="199">
        <f>G283</f>
        <v>0</v>
      </c>
    </row>
    <row r="283" spans="1:7" ht="78.75" customHeight="1" hidden="1">
      <c r="A283" s="211" t="s">
        <v>460</v>
      </c>
      <c r="B283" s="193" t="s">
        <v>373</v>
      </c>
      <c r="C283" s="198"/>
      <c r="D283" s="198"/>
      <c r="E283" s="193"/>
      <c r="F283" s="199">
        <f>F284</f>
        <v>0</v>
      </c>
      <c r="G283" s="199">
        <f>G284</f>
        <v>0</v>
      </c>
    </row>
    <row r="284" spans="1:7" ht="31.5" customHeight="1" hidden="1">
      <c r="A284" s="211" t="s">
        <v>636</v>
      </c>
      <c r="B284" s="193" t="s">
        <v>373</v>
      </c>
      <c r="C284" s="198" t="s">
        <v>647</v>
      </c>
      <c r="D284" s="198" t="s">
        <v>356</v>
      </c>
      <c r="E284" s="193">
        <v>240</v>
      </c>
      <c r="F284" s="199">
        <f>'Приложение 4'!Q627</f>
        <v>0</v>
      </c>
      <c r="G284" s="199">
        <f>'Приложение 4'!R627</f>
        <v>0</v>
      </c>
    </row>
    <row r="285" spans="1:7" ht="47.25" customHeight="1" hidden="1">
      <c r="A285" s="211" t="s">
        <v>292</v>
      </c>
      <c r="B285" s="193" t="s">
        <v>374</v>
      </c>
      <c r="C285" s="198"/>
      <c r="D285" s="198"/>
      <c r="E285" s="193"/>
      <c r="F285" s="199">
        <f>F286+F288</f>
        <v>0</v>
      </c>
      <c r="G285" s="199">
        <f>G286+G288</f>
        <v>0</v>
      </c>
    </row>
    <row r="286" spans="1:7" ht="15.75" customHeight="1" hidden="1">
      <c r="A286" s="211" t="s">
        <v>299</v>
      </c>
      <c r="B286" s="193" t="s">
        <v>375</v>
      </c>
      <c r="C286" s="198"/>
      <c r="D286" s="198"/>
      <c r="E286" s="193"/>
      <c r="F286" s="199">
        <f>F287</f>
        <v>0</v>
      </c>
      <c r="G286" s="199">
        <f>G287</f>
        <v>0</v>
      </c>
    </row>
    <row r="287" spans="1:7" ht="15.75" customHeight="1" hidden="1">
      <c r="A287" s="211" t="s">
        <v>638</v>
      </c>
      <c r="B287" s="193" t="s">
        <v>375</v>
      </c>
      <c r="C287" s="198" t="s">
        <v>647</v>
      </c>
      <c r="D287" s="198" t="s">
        <v>355</v>
      </c>
      <c r="E287" s="193">
        <v>610</v>
      </c>
      <c r="F287" s="199">
        <f>'Приложение 4'!Q487</f>
        <v>0</v>
      </c>
      <c r="G287" s="199">
        <f>'Приложение 4'!R487</f>
        <v>0</v>
      </c>
    </row>
    <row r="288" spans="1:7" ht="31.5" customHeight="1" hidden="1">
      <c r="A288" s="211" t="s">
        <v>302</v>
      </c>
      <c r="B288" s="193" t="s">
        <v>376</v>
      </c>
      <c r="C288" s="198"/>
      <c r="D288" s="198"/>
      <c r="E288" s="193"/>
      <c r="F288" s="199">
        <f>F289</f>
        <v>0</v>
      </c>
      <c r="G288" s="199">
        <f>G289</f>
        <v>0</v>
      </c>
    </row>
    <row r="289" spans="1:7" ht="15.75" customHeight="1" hidden="1">
      <c r="A289" s="211" t="s">
        <v>638</v>
      </c>
      <c r="B289" s="193" t="s">
        <v>376</v>
      </c>
      <c r="C289" s="198" t="s">
        <v>647</v>
      </c>
      <c r="D289" s="198" t="s">
        <v>358</v>
      </c>
      <c r="E289" s="193">
        <v>610</v>
      </c>
      <c r="F289" s="199">
        <f>'Приложение 4'!Q541</f>
        <v>0</v>
      </c>
      <c r="G289" s="199">
        <f>'Приложение 4'!R541</f>
        <v>0</v>
      </c>
    </row>
    <row r="290" spans="1:7" ht="47.25" customHeight="1" hidden="1">
      <c r="A290" s="211" t="s">
        <v>288</v>
      </c>
      <c r="B290" s="193" t="s">
        <v>377</v>
      </c>
      <c r="C290" s="198"/>
      <c r="D290" s="198"/>
      <c r="E290" s="193"/>
      <c r="F290" s="199">
        <f>F291+F293</f>
        <v>0</v>
      </c>
      <c r="G290" s="199">
        <f>G291+G293</f>
        <v>0</v>
      </c>
    </row>
    <row r="291" spans="1:7" ht="15.75" customHeight="1" hidden="1">
      <c r="A291" s="211" t="s">
        <v>299</v>
      </c>
      <c r="B291" s="193" t="s">
        <v>378</v>
      </c>
      <c r="C291" s="198"/>
      <c r="D291" s="198"/>
      <c r="E291" s="193"/>
      <c r="F291" s="199">
        <f>F292</f>
        <v>0</v>
      </c>
      <c r="G291" s="199">
        <f>G292</f>
        <v>0</v>
      </c>
    </row>
    <row r="292" spans="1:7" ht="15.75" customHeight="1" hidden="1">
      <c r="A292" s="211" t="s">
        <v>638</v>
      </c>
      <c r="B292" s="193" t="s">
        <v>378</v>
      </c>
      <c r="C292" s="198" t="s">
        <v>647</v>
      </c>
      <c r="D292" s="198" t="s">
        <v>355</v>
      </c>
      <c r="E292" s="193">
        <v>610</v>
      </c>
      <c r="F292" s="199">
        <f>'Приложение 4'!Q490</f>
        <v>0</v>
      </c>
      <c r="G292" s="199">
        <f>'Приложение 4'!R490</f>
        <v>0</v>
      </c>
    </row>
    <row r="293" spans="1:7" ht="31.5" customHeight="1" hidden="1">
      <c r="A293" s="211" t="s">
        <v>302</v>
      </c>
      <c r="B293" s="193" t="s">
        <v>379</v>
      </c>
      <c r="C293" s="198"/>
      <c r="D293" s="198"/>
      <c r="E293" s="193"/>
      <c r="F293" s="199">
        <f>F294</f>
        <v>0</v>
      </c>
      <c r="G293" s="199">
        <f>G294</f>
        <v>0</v>
      </c>
    </row>
    <row r="294" spans="1:7" ht="15.75" customHeight="1" hidden="1">
      <c r="A294" s="211" t="s">
        <v>638</v>
      </c>
      <c r="B294" s="193" t="s">
        <v>379</v>
      </c>
      <c r="C294" s="198" t="s">
        <v>647</v>
      </c>
      <c r="D294" s="198" t="s">
        <v>358</v>
      </c>
      <c r="E294" s="193">
        <v>610</v>
      </c>
      <c r="F294" s="199">
        <f>'Приложение 4'!Q544</f>
        <v>0</v>
      </c>
      <c r="G294" s="199">
        <f>'Приложение 4'!R544</f>
        <v>0</v>
      </c>
    </row>
    <row r="295" spans="1:7" ht="62.25" customHeight="1" hidden="1">
      <c r="A295" s="211" t="s">
        <v>620</v>
      </c>
      <c r="B295" s="193" t="s">
        <v>380</v>
      </c>
      <c r="C295" s="198"/>
      <c r="D295" s="198"/>
      <c r="E295" s="193"/>
      <c r="F295" s="199">
        <f>F296+F298+F300</f>
        <v>0</v>
      </c>
      <c r="G295" s="199">
        <f>G296+G298+G300</f>
        <v>0</v>
      </c>
    </row>
    <row r="296" spans="1:7" ht="15.75" customHeight="1" hidden="1">
      <c r="A296" s="211" t="s">
        <v>299</v>
      </c>
      <c r="B296" s="193" t="s">
        <v>381</v>
      </c>
      <c r="C296" s="198"/>
      <c r="D296" s="198"/>
      <c r="E296" s="193"/>
      <c r="F296" s="199">
        <f>F297</f>
        <v>0</v>
      </c>
      <c r="G296" s="199">
        <f>G297</f>
        <v>0</v>
      </c>
    </row>
    <row r="297" spans="1:7" ht="15.75" customHeight="1" hidden="1">
      <c r="A297" s="211" t="s">
        <v>638</v>
      </c>
      <c r="B297" s="193" t="s">
        <v>381</v>
      </c>
      <c r="C297" s="198" t="s">
        <v>647</v>
      </c>
      <c r="D297" s="198" t="s">
        <v>355</v>
      </c>
      <c r="E297" s="193">
        <v>610</v>
      </c>
      <c r="F297" s="199">
        <f>'Приложение 4'!Q493</f>
        <v>0</v>
      </c>
      <c r="G297" s="199">
        <f>'Приложение 4'!R493</f>
        <v>0</v>
      </c>
    </row>
    <row r="298" spans="1:7" ht="31.5" customHeight="1" hidden="1">
      <c r="A298" s="211" t="s">
        <v>302</v>
      </c>
      <c r="B298" s="193" t="s">
        <v>382</v>
      </c>
      <c r="C298" s="198"/>
      <c r="D298" s="198"/>
      <c r="E298" s="193"/>
      <c r="F298" s="199">
        <f>F299</f>
        <v>0</v>
      </c>
      <c r="G298" s="199">
        <f>G299</f>
        <v>0</v>
      </c>
    </row>
    <row r="299" spans="1:7" ht="15.75" customHeight="1" hidden="1">
      <c r="A299" s="211" t="s">
        <v>638</v>
      </c>
      <c r="B299" s="193" t="s">
        <v>382</v>
      </c>
      <c r="C299" s="198" t="s">
        <v>647</v>
      </c>
      <c r="D299" s="198" t="s">
        <v>358</v>
      </c>
      <c r="E299" s="193">
        <v>610</v>
      </c>
      <c r="F299" s="199">
        <f>'Приложение 4'!Q547</f>
        <v>0</v>
      </c>
      <c r="G299" s="199">
        <f>'Приложение 4'!R547</f>
        <v>0</v>
      </c>
    </row>
    <row r="300" spans="1:7" ht="73.5" customHeight="1" hidden="1">
      <c r="A300" s="211" t="s">
        <v>460</v>
      </c>
      <c r="B300" s="193" t="s">
        <v>383</v>
      </c>
      <c r="C300" s="198"/>
      <c r="D300" s="198"/>
      <c r="E300" s="193"/>
      <c r="F300" s="199">
        <f>SUM(F301:F302)</f>
        <v>0</v>
      </c>
      <c r="G300" s="199">
        <f>SUM(G301:G302)</f>
        <v>0</v>
      </c>
    </row>
    <row r="301" spans="1:7" ht="31.5" customHeight="1" hidden="1">
      <c r="A301" s="211" t="s">
        <v>636</v>
      </c>
      <c r="B301" s="193" t="s">
        <v>383</v>
      </c>
      <c r="C301" s="198" t="s">
        <v>647</v>
      </c>
      <c r="D301" s="198" t="s">
        <v>356</v>
      </c>
      <c r="E301" s="193">
        <v>240</v>
      </c>
      <c r="F301" s="199">
        <f>'Приложение 4'!Q630</f>
        <v>0</v>
      </c>
      <c r="G301" s="199">
        <f>'Приложение 4'!R630</f>
        <v>0</v>
      </c>
    </row>
    <row r="302" spans="1:7" ht="32.25" customHeight="1" hidden="1">
      <c r="A302" s="211" t="s">
        <v>641</v>
      </c>
      <c r="B302" s="193" t="s">
        <v>383</v>
      </c>
      <c r="C302" s="198" t="s">
        <v>647</v>
      </c>
      <c r="D302" s="198" t="s">
        <v>356</v>
      </c>
      <c r="E302" s="193">
        <v>320</v>
      </c>
      <c r="F302" s="199">
        <f>'Приложение 4'!Q631</f>
        <v>0</v>
      </c>
      <c r="G302" s="199">
        <f>'Приложение 4'!R631</f>
        <v>0</v>
      </c>
    </row>
    <row r="303" spans="1:7" ht="33.75" customHeight="1">
      <c r="A303" s="219" t="s">
        <v>221</v>
      </c>
      <c r="B303" s="193" t="s">
        <v>384</v>
      </c>
      <c r="C303" s="198"/>
      <c r="D303" s="198"/>
      <c r="E303" s="193"/>
      <c r="F303" s="199">
        <f>F304+F306+F308</f>
        <v>141.2</v>
      </c>
      <c r="G303" s="199">
        <f>G304+G306+G308</f>
        <v>141.2</v>
      </c>
    </row>
    <row r="304" spans="1:7" ht="21.75" customHeight="1">
      <c r="A304" s="211" t="s">
        <v>302</v>
      </c>
      <c r="B304" s="193" t="s">
        <v>385</v>
      </c>
      <c r="C304" s="198"/>
      <c r="D304" s="198"/>
      <c r="E304" s="193"/>
      <c r="F304" s="199">
        <f>F305</f>
        <v>57.8</v>
      </c>
      <c r="G304" s="199">
        <f>G305</f>
        <v>57.8</v>
      </c>
    </row>
    <row r="305" spans="1:7" ht="15.75">
      <c r="A305" s="219" t="s">
        <v>638</v>
      </c>
      <c r="B305" s="193" t="s">
        <v>385</v>
      </c>
      <c r="C305" s="198" t="s">
        <v>647</v>
      </c>
      <c r="D305" s="198" t="s">
        <v>358</v>
      </c>
      <c r="E305" s="193">
        <v>610</v>
      </c>
      <c r="F305" s="199">
        <f>'Приложение 4'!Q550</f>
        <v>57.8</v>
      </c>
      <c r="G305" s="199">
        <f>'Приложение 4'!R550</f>
        <v>57.8</v>
      </c>
    </row>
    <row r="306" spans="1:7" ht="34.5" customHeight="1">
      <c r="A306" s="211" t="s">
        <v>460</v>
      </c>
      <c r="B306" s="193" t="s">
        <v>386</v>
      </c>
      <c r="C306" s="198"/>
      <c r="D306" s="198"/>
      <c r="E306" s="193"/>
      <c r="F306" s="199">
        <f>F307</f>
        <v>70.4</v>
      </c>
      <c r="G306" s="199">
        <f>G307</f>
        <v>70.4</v>
      </c>
    </row>
    <row r="307" spans="1:7" ht="24" customHeight="1">
      <c r="A307" s="211" t="s">
        <v>641</v>
      </c>
      <c r="B307" s="193" t="s">
        <v>386</v>
      </c>
      <c r="C307" s="198" t="s">
        <v>647</v>
      </c>
      <c r="D307" s="198" t="s">
        <v>356</v>
      </c>
      <c r="E307" s="193">
        <v>320</v>
      </c>
      <c r="F307" s="199">
        <f>'Приложение 4'!Q634</f>
        <v>70.4</v>
      </c>
      <c r="G307" s="199">
        <f>'Приложение 4'!R634</f>
        <v>70.4</v>
      </c>
    </row>
    <row r="308" spans="1:7" ht="15.75">
      <c r="A308" s="219" t="s">
        <v>230</v>
      </c>
      <c r="B308" s="220" t="s">
        <v>759</v>
      </c>
      <c r="C308" s="198"/>
      <c r="D308" s="198"/>
      <c r="E308" s="193"/>
      <c r="F308" s="199">
        <f>F309</f>
        <v>13</v>
      </c>
      <c r="G308" s="199">
        <f>G309</f>
        <v>13</v>
      </c>
    </row>
    <row r="309" spans="1:7" ht="15.75">
      <c r="A309" s="219" t="s">
        <v>638</v>
      </c>
      <c r="B309" s="220" t="s">
        <v>759</v>
      </c>
      <c r="C309" s="221" t="s">
        <v>646</v>
      </c>
      <c r="D309" s="221" t="s">
        <v>360</v>
      </c>
      <c r="E309" s="193">
        <v>610</v>
      </c>
      <c r="F309" s="199">
        <f>'Приложение 4'!Q187</f>
        <v>13</v>
      </c>
      <c r="G309" s="199">
        <f>'Приложение 4'!R187</f>
        <v>13</v>
      </c>
    </row>
    <row r="310" spans="1:7" s="205" customFormat="1" ht="29.25" customHeight="1">
      <c r="A310" s="210" t="s">
        <v>617</v>
      </c>
      <c r="B310" s="196" t="s">
        <v>387</v>
      </c>
      <c r="C310" s="197"/>
      <c r="D310" s="197"/>
      <c r="E310" s="196"/>
      <c r="F310" s="200">
        <f>F314+F311+F319</f>
        <v>36946.3</v>
      </c>
      <c r="G310" s="200">
        <f>G314+G311+G319</f>
        <v>16530.199999999997</v>
      </c>
    </row>
    <row r="311" spans="1:7" ht="37.5" customHeight="1">
      <c r="A311" s="9" t="s">
        <v>81</v>
      </c>
      <c r="B311" s="220" t="s">
        <v>82</v>
      </c>
      <c r="C311" s="221"/>
      <c r="D311" s="221"/>
      <c r="E311" s="220"/>
      <c r="F311" s="222">
        <f>F312</f>
        <v>142.1</v>
      </c>
      <c r="G311" s="222">
        <f>G312</f>
        <v>132.9</v>
      </c>
    </row>
    <row r="312" spans="1:7" ht="20.25" customHeight="1">
      <c r="A312" s="9" t="s">
        <v>282</v>
      </c>
      <c r="B312" s="220" t="s">
        <v>83</v>
      </c>
      <c r="C312" s="221"/>
      <c r="D312" s="221"/>
      <c r="E312" s="220"/>
      <c r="F312" s="222">
        <f>F313</f>
        <v>142.1</v>
      </c>
      <c r="G312" s="222">
        <f>G313</f>
        <v>132.9</v>
      </c>
    </row>
    <row r="313" spans="1:7" ht="15.75">
      <c r="A313" s="9" t="s">
        <v>638</v>
      </c>
      <c r="B313" s="220" t="s">
        <v>83</v>
      </c>
      <c r="C313" s="221" t="s">
        <v>646</v>
      </c>
      <c r="D313" s="221" t="s">
        <v>390</v>
      </c>
      <c r="E313" s="220">
        <v>610</v>
      </c>
      <c r="F313" s="222">
        <f>'Приложение 4'!Q325</f>
        <v>142.1</v>
      </c>
      <c r="G313" s="222">
        <f>'Приложение 4'!R325</f>
        <v>132.9</v>
      </c>
    </row>
    <row r="314" spans="1:7" ht="16.5" customHeight="1">
      <c r="A314" s="211" t="s">
        <v>283</v>
      </c>
      <c r="B314" s="193" t="s">
        <v>388</v>
      </c>
      <c r="C314" s="198"/>
      <c r="D314" s="198"/>
      <c r="E314" s="193"/>
      <c r="F314" s="199">
        <f>F315+F317</f>
        <v>8305.600000000002</v>
      </c>
      <c r="G314" s="199">
        <f>G315+G317</f>
        <v>8286</v>
      </c>
    </row>
    <row r="315" spans="1:7" ht="19.5" customHeight="1">
      <c r="A315" s="211" t="s">
        <v>282</v>
      </c>
      <c r="B315" s="193" t="s">
        <v>389</v>
      </c>
      <c r="C315" s="198"/>
      <c r="D315" s="198"/>
      <c r="E315" s="193"/>
      <c r="F315" s="199">
        <f>F316</f>
        <v>6781.100000000001</v>
      </c>
      <c r="G315" s="199">
        <f>G316</f>
        <v>6761.5</v>
      </c>
    </row>
    <row r="316" spans="1:7" ht="15.75">
      <c r="A316" s="211" t="s">
        <v>638</v>
      </c>
      <c r="B316" s="193" t="s">
        <v>389</v>
      </c>
      <c r="C316" s="198" t="s">
        <v>646</v>
      </c>
      <c r="D316" s="198" t="s">
        <v>390</v>
      </c>
      <c r="E316" s="193">
        <v>610</v>
      </c>
      <c r="F316" s="199">
        <f>'Приложение 4'!Q328</f>
        <v>6781.100000000001</v>
      </c>
      <c r="G316" s="199">
        <f>'Приложение 4'!R328</f>
        <v>6761.5</v>
      </c>
    </row>
    <row r="317" spans="1:7" ht="41.25" customHeight="1">
      <c r="A317" s="9" t="s">
        <v>50</v>
      </c>
      <c r="B317" s="220" t="s">
        <v>56</v>
      </c>
      <c r="C317" s="198"/>
      <c r="D317" s="198"/>
      <c r="E317" s="193"/>
      <c r="F317" s="199">
        <f>F318</f>
        <v>1524.5</v>
      </c>
      <c r="G317" s="199">
        <f>G318</f>
        <v>1524.5</v>
      </c>
    </row>
    <row r="318" spans="1:7" ht="15.75">
      <c r="A318" s="9" t="s">
        <v>638</v>
      </c>
      <c r="B318" s="220" t="s">
        <v>56</v>
      </c>
      <c r="C318" s="221" t="s">
        <v>646</v>
      </c>
      <c r="D318" s="221" t="s">
        <v>390</v>
      </c>
      <c r="E318" s="193">
        <v>610</v>
      </c>
      <c r="F318" s="199">
        <f>'Приложение 4'!Q330</f>
        <v>1524.5</v>
      </c>
      <c r="G318" s="199">
        <f>'Приложение 4'!R330</f>
        <v>1524.5</v>
      </c>
    </row>
    <row r="319" spans="1:7" ht="34.5" customHeight="1">
      <c r="A319" s="9" t="s">
        <v>176</v>
      </c>
      <c r="B319" s="220" t="s">
        <v>178</v>
      </c>
      <c r="C319" s="221"/>
      <c r="D319" s="221"/>
      <c r="E319" s="193"/>
      <c r="F319" s="199">
        <f>F320+F322+F324</f>
        <v>28498.600000000002</v>
      </c>
      <c r="G319" s="199">
        <f>G320+G322+G324</f>
        <v>8111.299999999999</v>
      </c>
    </row>
    <row r="320" spans="1:7" ht="40.5" customHeight="1">
      <c r="A320" s="9" t="s">
        <v>177</v>
      </c>
      <c r="B320" s="220" t="s">
        <v>179</v>
      </c>
      <c r="C320" s="221"/>
      <c r="D320" s="221"/>
      <c r="E320" s="193"/>
      <c r="F320" s="199">
        <f>F321</f>
        <v>7611.7</v>
      </c>
      <c r="G320" s="199">
        <f>G321</f>
        <v>7421.9</v>
      </c>
    </row>
    <row r="321" spans="1:7" ht="15.75">
      <c r="A321" s="9" t="s">
        <v>638</v>
      </c>
      <c r="B321" s="220" t="s">
        <v>179</v>
      </c>
      <c r="C321" s="221" t="s">
        <v>646</v>
      </c>
      <c r="D321" s="221" t="s">
        <v>390</v>
      </c>
      <c r="E321" s="193">
        <v>610</v>
      </c>
      <c r="F321" s="199">
        <f>'Приложение 4'!Q333</f>
        <v>7611.7</v>
      </c>
      <c r="G321" s="199">
        <f>'Приложение 4'!R333</f>
        <v>7421.9</v>
      </c>
    </row>
    <row r="322" spans="1:7" ht="78.75" customHeight="1" hidden="1">
      <c r="A322" s="9" t="s">
        <v>191</v>
      </c>
      <c r="B322" s="220" t="s">
        <v>193</v>
      </c>
      <c r="C322" s="221"/>
      <c r="D322" s="221"/>
      <c r="E322" s="193"/>
      <c r="F322" s="199">
        <f>F323</f>
        <v>0</v>
      </c>
      <c r="G322" s="199">
        <f>G323</f>
        <v>0</v>
      </c>
    </row>
    <row r="323" spans="1:7" ht="15.75" customHeight="1" hidden="1">
      <c r="A323" s="9" t="s">
        <v>638</v>
      </c>
      <c r="B323" s="220" t="s">
        <v>193</v>
      </c>
      <c r="C323" s="221" t="s">
        <v>646</v>
      </c>
      <c r="D323" s="221" t="s">
        <v>390</v>
      </c>
      <c r="E323" s="193">
        <v>610</v>
      </c>
      <c r="F323" s="199">
        <f>'Приложение 4'!Q335</f>
        <v>0</v>
      </c>
      <c r="G323" s="199">
        <f>'Приложение 4'!R335</f>
        <v>0</v>
      </c>
    </row>
    <row r="324" spans="1:7" ht="35.25" customHeight="1">
      <c r="A324" s="9" t="s">
        <v>192</v>
      </c>
      <c r="B324" s="220" t="s">
        <v>194</v>
      </c>
      <c r="C324" s="221"/>
      <c r="D324" s="221"/>
      <c r="E324" s="193"/>
      <c r="F324" s="199">
        <f>F325</f>
        <v>20886.9</v>
      </c>
      <c r="G324" s="199">
        <f>G325</f>
        <v>689.4</v>
      </c>
    </row>
    <row r="325" spans="1:7" ht="15.75">
      <c r="A325" s="9" t="s">
        <v>638</v>
      </c>
      <c r="B325" s="220" t="s">
        <v>194</v>
      </c>
      <c r="C325" s="221" t="s">
        <v>646</v>
      </c>
      <c r="D325" s="221" t="s">
        <v>390</v>
      </c>
      <c r="E325" s="193">
        <v>610</v>
      </c>
      <c r="F325" s="199">
        <f>'Приложение 4'!Q337</f>
        <v>20886.9</v>
      </c>
      <c r="G325" s="199">
        <f>'Приложение 4'!R337</f>
        <v>689.4</v>
      </c>
    </row>
    <row r="326" spans="1:7" s="205" customFormat="1" ht="21.75" customHeight="1">
      <c r="A326" s="87" t="s">
        <v>600</v>
      </c>
      <c r="B326" s="196" t="s">
        <v>441</v>
      </c>
      <c r="C326" s="197"/>
      <c r="D326" s="197"/>
      <c r="E326" s="196"/>
      <c r="F326" s="200">
        <f>F327+F338+F343+F354</f>
        <v>47534.2</v>
      </c>
      <c r="G326" s="200">
        <f>G327+G338+G343+G354</f>
        <v>47531.4</v>
      </c>
    </row>
    <row r="327" spans="1:7" ht="27.75" customHeight="1">
      <c r="A327" s="21" t="s">
        <v>269</v>
      </c>
      <c r="B327" s="193" t="s">
        <v>442</v>
      </c>
      <c r="C327" s="198"/>
      <c r="D327" s="198"/>
      <c r="E327" s="193"/>
      <c r="F327" s="199">
        <f>F328+F334+F336+F332+F330</f>
        <v>13174.1</v>
      </c>
      <c r="G327" s="199">
        <f>G328+G334+G336+G332+G330</f>
        <v>13171.800000000003</v>
      </c>
    </row>
    <row r="328" spans="1:7" ht="15.75">
      <c r="A328" s="21" t="s">
        <v>271</v>
      </c>
      <c r="B328" s="193" t="s">
        <v>443</v>
      </c>
      <c r="C328" s="198"/>
      <c r="D328" s="198"/>
      <c r="E328" s="193"/>
      <c r="F328" s="199">
        <f>F329</f>
        <v>9845.300000000001</v>
      </c>
      <c r="G328" s="199">
        <f>G329</f>
        <v>9845.300000000001</v>
      </c>
    </row>
    <row r="329" spans="1:7" ht="15.75">
      <c r="A329" s="211" t="s">
        <v>638</v>
      </c>
      <c r="B329" s="193" t="s">
        <v>443</v>
      </c>
      <c r="C329" s="198" t="s">
        <v>646</v>
      </c>
      <c r="D329" s="198" t="s">
        <v>444</v>
      </c>
      <c r="E329" s="193">
        <v>610</v>
      </c>
      <c r="F329" s="199">
        <f>'Приложение 4'!Q266</f>
        <v>9845.300000000001</v>
      </c>
      <c r="G329" s="199">
        <f>'Приложение 4'!R266</f>
        <v>9845.300000000001</v>
      </c>
    </row>
    <row r="330" spans="1:7" ht="52.5" customHeight="1">
      <c r="A330" s="183" t="s">
        <v>753</v>
      </c>
      <c r="B330" s="220" t="s">
        <v>754</v>
      </c>
      <c r="C330" s="198"/>
      <c r="D330" s="198"/>
      <c r="E330" s="193"/>
      <c r="F330" s="199">
        <f>F331</f>
        <v>41.900000000000006</v>
      </c>
      <c r="G330" s="199">
        <f>G331</f>
        <v>41.7</v>
      </c>
    </row>
    <row r="331" spans="1:7" ht="15.75">
      <c r="A331" s="183" t="s">
        <v>638</v>
      </c>
      <c r="B331" s="220" t="s">
        <v>754</v>
      </c>
      <c r="C331" s="221" t="s">
        <v>646</v>
      </c>
      <c r="D331" s="221" t="s">
        <v>444</v>
      </c>
      <c r="E331" s="193">
        <v>610</v>
      </c>
      <c r="F331" s="199">
        <f>'Приложение 4'!Q268</f>
        <v>41.900000000000006</v>
      </c>
      <c r="G331" s="199">
        <f>'Приложение 4'!R268</f>
        <v>41.7</v>
      </c>
    </row>
    <row r="332" spans="1:7" ht="39" customHeight="1">
      <c r="A332" s="183" t="s">
        <v>50</v>
      </c>
      <c r="B332" s="220" t="s">
        <v>54</v>
      </c>
      <c r="C332" s="198"/>
      <c r="D332" s="198"/>
      <c r="E332" s="193"/>
      <c r="F332" s="199">
        <f>F333</f>
        <v>1224.1</v>
      </c>
      <c r="G332" s="199">
        <f>G333</f>
        <v>1224.1</v>
      </c>
    </row>
    <row r="333" spans="1:7" ht="15.75">
      <c r="A333" s="183" t="s">
        <v>638</v>
      </c>
      <c r="B333" s="220" t="s">
        <v>54</v>
      </c>
      <c r="C333" s="221" t="s">
        <v>646</v>
      </c>
      <c r="D333" s="221" t="s">
        <v>444</v>
      </c>
      <c r="E333" s="193">
        <v>610</v>
      </c>
      <c r="F333" s="199">
        <f>'Приложение 4'!Q270</f>
        <v>1224.1</v>
      </c>
      <c r="G333" s="199">
        <f>'Приложение 4'!R270</f>
        <v>1224.1</v>
      </c>
    </row>
    <row r="334" spans="1:7" ht="23.25" customHeight="1">
      <c r="A334" s="3" t="s">
        <v>725</v>
      </c>
      <c r="B334" s="193" t="s">
        <v>445</v>
      </c>
      <c r="C334" s="198"/>
      <c r="D334" s="198"/>
      <c r="E334" s="193"/>
      <c r="F334" s="199">
        <f>F335</f>
        <v>340</v>
      </c>
      <c r="G334" s="199">
        <f>G335</f>
        <v>340</v>
      </c>
    </row>
    <row r="335" spans="1:7" ht="15.75">
      <c r="A335" s="211" t="s">
        <v>638</v>
      </c>
      <c r="B335" s="193" t="s">
        <v>445</v>
      </c>
      <c r="C335" s="198" t="s">
        <v>646</v>
      </c>
      <c r="D335" s="198" t="s">
        <v>444</v>
      </c>
      <c r="E335" s="193">
        <v>610</v>
      </c>
      <c r="F335" s="199">
        <f>'Приложение 4'!Q272</f>
        <v>340</v>
      </c>
      <c r="G335" s="199">
        <f>'Приложение 4'!R272</f>
        <v>340</v>
      </c>
    </row>
    <row r="336" spans="1:7" ht="21" customHeight="1">
      <c r="A336" s="3" t="s">
        <v>610</v>
      </c>
      <c r="B336" s="193" t="s">
        <v>446</v>
      </c>
      <c r="C336" s="198"/>
      <c r="D336" s="198"/>
      <c r="E336" s="193"/>
      <c r="F336" s="199">
        <f>F337</f>
        <v>1722.8</v>
      </c>
      <c r="G336" s="199">
        <f>G337</f>
        <v>1720.7</v>
      </c>
    </row>
    <row r="337" spans="1:7" ht="15.75">
      <c r="A337" s="211" t="s">
        <v>638</v>
      </c>
      <c r="B337" s="193" t="s">
        <v>446</v>
      </c>
      <c r="C337" s="198" t="s">
        <v>646</v>
      </c>
      <c r="D337" s="198" t="s">
        <v>444</v>
      </c>
      <c r="E337" s="193">
        <v>610</v>
      </c>
      <c r="F337" s="199">
        <f>'Приложение 4'!Q274</f>
        <v>1722.8</v>
      </c>
      <c r="G337" s="199">
        <f>'Приложение 4'!R274</f>
        <v>1720.7</v>
      </c>
    </row>
    <row r="338" spans="1:7" ht="36.75" customHeight="1">
      <c r="A338" s="3" t="s">
        <v>611</v>
      </c>
      <c r="B338" s="193" t="s">
        <v>447</v>
      </c>
      <c r="C338" s="198"/>
      <c r="D338" s="198"/>
      <c r="E338" s="193"/>
      <c r="F338" s="199">
        <f>F339+F341</f>
        <v>12142.6</v>
      </c>
      <c r="G338" s="199">
        <f>G339+G341</f>
        <v>12142.6</v>
      </c>
    </row>
    <row r="339" spans="1:7" ht="15.75">
      <c r="A339" s="3" t="s">
        <v>230</v>
      </c>
      <c r="B339" s="193" t="s">
        <v>448</v>
      </c>
      <c r="C339" s="198"/>
      <c r="D339" s="198"/>
      <c r="E339" s="193"/>
      <c r="F339" s="199">
        <f>F340</f>
        <v>9469.6</v>
      </c>
      <c r="G339" s="199">
        <f>G340</f>
        <v>9469.6</v>
      </c>
    </row>
    <row r="340" spans="1:7" ht="15.75">
      <c r="A340" s="211" t="s">
        <v>638</v>
      </c>
      <c r="B340" s="193" t="s">
        <v>448</v>
      </c>
      <c r="C340" s="198" t="s">
        <v>646</v>
      </c>
      <c r="D340" s="198" t="s">
        <v>444</v>
      </c>
      <c r="E340" s="193">
        <v>610</v>
      </c>
      <c r="F340" s="199">
        <f>'Приложение 4'!Q277</f>
        <v>9469.6</v>
      </c>
      <c r="G340" s="199">
        <f>'Приложение 4'!R277</f>
        <v>9469.6</v>
      </c>
    </row>
    <row r="341" spans="1:7" ht="41.25" customHeight="1">
      <c r="A341" s="183" t="s">
        <v>50</v>
      </c>
      <c r="B341" s="220" t="s">
        <v>55</v>
      </c>
      <c r="C341" s="198"/>
      <c r="D341" s="198"/>
      <c r="E341" s="193"/>
      <c r="F341" s="199">
        <f>F342</f>
        <v>2673</v>
      </c>
      <c r="G341" s="199">
        <f>G342</f>
        <v>2673</v>
      </c>
    </row>
    <row r="342" spans="1:7" ht="15.75">
      <c r="A342" s="183" t="s">
        <v>638</v>
      </c>
      <c r="B342" s="220" t="s">
        <v>55</v>
      </c>
      <c r="C342" s="221" t="s">
        <v>646</v>
      </c>
      <c r="D342" s="221" t="s">
        <v>444</v>
      </c>
      <c r="E342" s="193">
        <v>610</v>
      </c>
      <c r="F342" s="199">
        <f>'Приложение 4'!Q279</f>
        <v>2673</v>
      </c>
      <c r="G342" s="199">
        <f>'Приложение 4'!R279</f>
        <v>2673</v>
      </c>
    </row>
    <row r="343" spans="1:7" ht="36.75" customHeight="1">
      <c r="A343" s="1" t="s">
        <v>331</v>
      </c>
      <c r="B343" s="193" t="s">
        <v>449</v>
      </c>
      <c r="C343" s="198"/>
      <c r="D343" s="198"/>
      <c r="E343" s="193"/>
      <c r="F343" s="199">
        <f>F346+F349+F351+F344</f>
        <v>14688.5</v>
      </c>
      <c r="G343" s="199">
        <f>G346+G349+G351+G344</f>
        <v>14688</v>
      </c>
    </row>
    <row r="344" spans="1:7" ht="15.75">
      <c r="A344" s="3" t="s">
        <v>230</v>
      </c>
      <c r="B344" s="220" t="s">
        <v>78</v>
      </c>
      <c r="C344" s="198"/>
      <c r="D344" s="198"/>
      <c r="E344" s="193"/>
      <c r="F344" s="199">
        <f>F345</f>
        <v>2010</v>
      </c>
      <c r="G344" s="199">
        <f>G345</f>
        <v>2010</v>
      </c>
    </row>
    <row r="345" spans="1:7" ht="15.75">
      <c r="A345" s="3" t="s">
        <v>638</v>
      </c>
      <c r="B345" s="220" t="s">
        <v>78</v>
      </c>
      <c r="C345" s="221" t="s">
        <v>646</v>
      </c>
      <c r="D345" s="221" t="s">
        <v>444</v>
      </c>
      <c r="E345" s="193">
        <v>610</v>
      </c>
      <c r="F345" s="199">
        <f>'Приложение 4'!Q282</f>
        <v>2010</v>
      </c>
      <c r="G345" s="199">
        <f>'Приложение 4'!R282</f>
        <v>2010</v>
      </c>
    </row>
    <row r="346" spans="1:7" ht="15.75">
      <c r="A346" s="1" t="s">
        <v>612</v>
      </c>
      <c r="B346" s="193" t="s">
        <v>450</v>
      </c>
      <c r="C346" s="198"/>
      <c r="D346" s="198"/>
      <c r="E346" s="193"/>
      <c r="F346" s="199">
        <f>F348+F347</f>
        <v>105</v>
      </c>
      <c r="G346" s="199">
        <f>G348+G347</f>
        <v>105</v>
      </c>
    </row>
    <row r="347" spans="1:7" ht="15.75">
      <c r="A347" s="1" t="s">
        <v>763</v>
      </c>
      <c r="B347" s="193" t="s">
        <v>450</v>
      </c>
      <c r="C347" s="221" t="s">
        <v>646</v>
      </c>
      <c r="D347" s="221" t="s">
        <v>444</v>
      </c>
      <c r="E347" s="193">
        <v>350</v>
      </c>
      <c r="F347" s="199">
        <f>'Приложение 4'!Q284</f>
        <v>35</v>
      </c>
      <c r="G347" s="199">
        <f>'Приложение 4'!R284</f>
        <v>35</v>
      </c>
    </row>
    <row r="348" spans="1:7" ht="15.75">
      <c r="A348" s="3" t="s">
        <v>638</v>
      </c>
      <c r="B348" s="193" t="s">
        <v>450</v>
      </c>
      <c r="C348" s="198" t="s">
        <v>646</v>
      </c>
      <c r="D348" s="198" t="s">
        <v>444</v>
      </c>
      <c r="E348" s="193">
        <v>610</v>
      </c>
      <c r="F348" s="199">
        <f>'Приложение 4'!Q285</f>
        <v>70</v>
      </c>
      <c r="G348" s="199">
        <f>'Приложение 4'!R285</f>
        <v>70</v>
      </c>
    </row>
    <row r="349" spans="1:7" ht="22.5" customHeight="1">
      <c r="A349" s="3" t="s">
        <v>262</v>
      </c>
      <c r="B349" s="193" t="s">
        <v>451</v>
      </c>
      <c r="C349" s="198"/>
      <c r="D349" s="198"/>
      <c r="E349" s="193"/>
      <c r="F349" s="199">
        <f>F350</f>
        <v>10523</v>
      </c>
      <c r="G349" s="199">
        <f>G350</f>
        <v>10523</v>
      </c>
    </row>
    <row r="350" spans="1:7" ht="15.75">
      <c r="A350" s="211" t="s">
        <v>638</v>
      </c>
      <c r="B350" s="193" t="s">
        <v>451</v>
      </c>
      <c r="C350" s="198" t="s">
        <v>646</v>
      </c>
      <c r="D350" s="198" t="s">
        <v>444</v>
      </c>
      <c r="E350" s="193">
        <v>610</v>
      </c>
      <c r="F350" s="199">
        <f>'Приложение 4'!Q287</f>
        <v>10523</v>
      </c>
      <c r="G350" s="199">
        <f>'Приложение 4'!R287</f>
        <v>10523</v>
      </c>
    </row>
    <row r="351" spans="1:7" ht="21" customHeight="1">
      <c r="A351" s="219" t="s">
        <v>99</v>
      </c>
      <c r="B351" s="220" t="s">
        <v>100</v>
      </c>
      <c r="C351" s="198"/>
      <c r="D351" s="198"/>
      <c r="E351" s="193"/>
      <c r="F351" s="199">
        <f>F352</f>
        <v>2050.5</v>
      </c>
      <c r="G351" s="199">
        <f>G352</f>
        <v>2050</v>
      </c>
    </row>
    <row r="352" spans="1:7" ht="39.75" customHeight="1">
      <c r="A352" s="29" t="s">
        <v>710</v>
      </c>
      <c r="B352" s="220" t="s">
        <v>80</v>
      </c>
      <c r="C352" s="198"/>
      <c r="D352" s="198"/>
      <c r="E352" s="193"/>
      <c r="F352" s="199">
        <f>F353</f>
        <v>2050.5</v>
      </c>
      <c r="G352" s="199">
        <f>G353</f>
        <v>2050</v>
      </c>
    </row>
    <row r="353" spans="1:7" ht="15.75">
      <c r="A353" s="211" t="s">
        <v>638</v>
      </c>
      <c r="B353" s="220" t="s">
        <v>80</v>
      </c>
      <c r="C353" s="198" t="s">
        <v>646</v>
      </c>
      <c r="D353" s="198" t="s">
        <v>444</v>
      </c>
      <c r="E353" s="193">
        <v>610</v>
      </c>
      <c r="F353" s="199">
        <f>'Приложение 4'!Q290</f>
        <v>2050.5</v>
      </c>
      <c r="G353" s="199">
        <f>'Приложение 4'!R290</f>
        <v>2050</v>
      </c>
    </row>
    <row r="354" spans="1:7" ht="39.75" customHeight="1">
      <c r="A354" s="26" t="s">
        <v>602</v>
      </c>
      <c r="B354" s="193" t="s">
        <v>452</v>
      </c>
      <c r="C354" s="198"/>
      <c r="D354" s="198"/>
      <c r="E354" s="193"/>
      <c r="F354" s="199">
        <f>F355+F357</f>
        <v>7529</v>
      </c>
      <c r="G354" s="199">
        <f>G355+G357</f>
        <v>7529</v>
      </c>
    </row>
    <row r="355" spans="1:7" ht="21.75" customHeight="1">
      <c r="A355" s="26" t="s">
        <v>303</v>
      </c>
      <c r="B355" s="193" t="s">
        <v>453</v>
      </c>
      <c r="C355" s="198"/>
      <c r="D355" s="198"/>
      <c r="E355" s="193"/>
      <c r="F355" s="199">
        <f>F356</f>
        <v>5758.1</v>
      </c>
      <c r="G355" s="199">
        <f>G356</f>
        <v>5758.1</v>
      </c>
    </row>
    <row r="356" spans="1:7" ht="15.75">
      <c r="A356" s="211" t="s">
        <v>638</v>
      </c>
      <c r="B356" s="193" t="s">
        <v>453</v>
      </c>
      <c r="C356" s="198" t="s">
        <v>646</v>
      </c>
      <c r="D356" s="198" t="s">
        <v>359</v>
      </c>
      <c r="E356" s="193">
        <v>610</v>
      </c>
      <c r="F356" s="199">
        <f>'Приложение 4'!Q243</f>
        <v>5758.1</v>
      </c>
      <c r="G356" s="199">
        <f>'Приложение 4'!R243</f>
        <v>5758.1</v>
      </c>
    </row>
    <row r="357" spans="1:7" ht="37.5" customHeight="1">
      <c r="A357" s="183" t="s">
        <v>50</v>
      </c>
      <c r="B357" s="220" t="s">
        <v>53</v>
      </c>
      <c r="C357" s="198"/>
      <c r="D357" s="198"/>
      <c r="E357" s="193"/>
      <c r="F357" s="199">
        <f>F358</f>
        <v>1770.9</v>
      </c>
      <c r="G357" s="199">
        <f>G358</f>
        <v>1770.9</v>
      </c>
    </row>
    <row r="358" spans="1:7" ht="15.75">
      <c r="A358" s="183" t="s">
        <v>638</v>
      </c>
      <c r="B358" s="220" t="s">
        <v>53</v>
      </c>
      <c r="C358" s="221" t="s">
        <v>646</v>
      </c>
      <c r="D358" s="221" t="s">
        <v>359</v>
      </c>
      <c r="E358" s="193">
        <v>610</v>
      </c>
      <c r="F358" s="199">
        <f>'Приложение 4'!Q245</f>
        <v>1770.9</v>
      </c>
      <c r="G358" s="199">
        <f>'Приложение 4'!R245</f>
        <v>1770.9</v>
      </c>
    </row>
    <row r="359" spans="1:7" s="205" customFormat="1" ht="26.25" customHeight="1">
      <c r="A359" s="210" t="s">
        <v>604</v>
      </c>
      <c r="B359" s="196" t="s">
        <v>412</v>
      </c>
      <c r="C359" s="197"/>
      <c r="D359" s="197"/>
      <c r="E359" s="196"/>
      <c r="F359" s="200">
        <f>F360+F367+F370+F373</f>
        <v>1146.5</v>
      </c>
      <c r="G359" s="200">
        <f>G360+G367+G370+G373</f>
        <v>1138.5</v>
      </c>
    </row>
    <row r="360" spans="1:7" ht="39" customHeight="1">
      <c r="A360" s="211" t="s">
        <v>606</v>
      </c>
      <c r="B360" s="193" t="s">
        <v>413</v>
      </c>
      <c r="C360" s="198"/>
      <c r="D360" s="198"/>
      <c r="E360" s="193"/>
      <c r="F360" s="199">
        <f>F361+F365+F363</f>
        <v>102.7</v>
      </c>
      <c r="G360" s="199">
        <f>G361+G365+G363</f>
        <v>94.7</v>
      </c>
    </row>
    <row r="361" spans="1:7" ht="15.75">
      <c r="A361" s="211" t="s">
        <v>230</v>
      </c>
      <c r="B361" s="193" t="s">
        <v>414</v>
      </c>
      <c r="C361" s="198"/>
      <c r="D361" s="198"/>
      <c r="E361" s="193"/>
      <c r="F361" s="199">
        <f>F362</f>
        <v>22.700000000000003</v>
      </c>
      <c r="G361" s="199">
        <f>G362</f>
        <v>22.700000000000003</v>
      </c>
    </row>
    <row r="362" spans="1:7" ht="15.75">
      <c r="A362" s="211" t="s">
        <v>638</v>
      </c>
      <c r="B362" s="193" t="s">
        <v>414</v>
      </c>
      <c r="C362" s="198" t="s">
        <v>646</v>
      </c>
      <c r="D362" s="198" t="s">
        <v>415</v>
      </c>
      <c r="E362" s="193">
        <v>610</v>
      </c>
      <c r="F362" s="199">
        <f>'Приложение 4'!Q250</f>
        <v>22.700000000000003</v>
      </c>
      <c r="G362" s="199">
        <f>'Приложение 4'!R250</f>
        <v>22.700000000000003</v>
      </c>
    </row>
    <row r="363" spans="1:7" ht="21" customHeight="1">
      <c r="A363" s="183" t="s">
        <v>163</v>
      </c>
      <c r="B363" s="220" t="s">
        <v>164</v>
      </c>
      <c r="C363" s="198"/>
      <c r="D363" s="198"/>
      <c r="E363" s="193"/>
      <c r="F363" s="199">
        <f>F364</f>
        <v>40</v>
      </c>
      <c r="G363" s="199">
        <f>G364</f>
        <v>32</v>
      </c>
    </row>
    <row r="364" spans="1:7" ht="21.75" customHeight="1">
      <c r="A364" s="78" t="s">
        <v>636</v>
      </c>
      <c r="B364" s="220" t="s">
        <v>164</v>
      </c>
      <c r="C364" s="221" t="s">
        <v>646</v>
      </c>
      <c r="D364" s="221" t="s">
        <v>415</v>
      </c>
      <c r="E364" s="193">
        <v>240</v>
      </c>
      <c r="F364" s="199">
        <f>'Приложение 4'!Q252</f>
        <v>40</v>
      </c>
      <c r="G364" s="199">
        <f>'Приложение 4'!R252</f>
        <v>32</v>
      </c>
    </row>
    <row r="365" spans="1:7" ht="39.75" customHeight="1">
      <c r="A365" s="211" t="s">
        <v>605</v>
      </c>
      <c r="B365" s="193" t="s">
        <v>416</v>
      </c>
      <c r="C365" s="198"/>
      <c r="D365" s="198"/>
      <c r="E365" s="193"/>
      <c r="F365" s="199">
        <f>F366</f>
        <v>40</v>
      </c>
      <c r="G365" s="199">
        <f>G366</f>
        <v>40</v>
      </c>
    </row>
    <row r="366" spans="1:7" ht="15.75">
      <c r="A366" s="211" t="s">
        <v>638</v>
      </c>
      <c r="B366" s="193" t="s">
        <v>416</v>
      </c>
      <c r="C366" s="198" t="s">
        <v>646</v>
      </c>
      <c r="D366" s="198" t="s">
        <v>415</v>
      </c>
      <c r="E366" s="193">
        <v>610</v>
      </c>
      <c r="F366" s="199">
        <f>'Приложение 4'!Q254</f>
        <v>40</v>
      </c>
      <c r="G366" s="199">
        <f>'Приложение 4'!R254</f>
        <v>40</v>
      </c>
    </row>
    <row r="367" spans="1:7" ht="40.5" customHeight="1">
      <c r="A367" s="211" t="s">
        <v>607</v>
      </c>
      <c r="B367" s="193" t="s">
        <v>417</v>
      </c>
      <c r="C367" s="198"/>
      <c r="D367" s="198"/>
      <c r="E367" s="193"/>
      <c r="F367" s="199">
        <f>F368</f>
        <v>12.5</v>
      </c>
      <c r="G367" s="199">
        <f>G368</f>
        <v>12.5</v>
      </c>
    </row>
    <row r="368" spans="1:7" ht="15.75">
      <c r="A368" s="211" t="s">
        <v>230</v>
      </c>
      <c r="B368" s="193" t="s">
        <v>418</v>
      </c>
      <c r="C368" s="198"/>
      <c r="D368" s="198"/>
      <c r="E368" s="193"/>
      <c r="F368" s="199">
        <f>F369</f>
        <v>12.5</v>
      </c>
      <c r="G368" s="199">
        <f>G369</f>
        <v>12.5</v>
      </c>
    </row>
    <row r="369" spans="1:7" ht="15.75">
      <c r="A369" s="211" t="s">
        <v>638</v>
      </c>
      <c r="B369" s="193" t="s">
        <v>418</v>
      </c>
      <c r="C369" s="198" t="s">
        <v>646</v>
      </c>
      <c r="D369" s="198" t="s">
        <v>415</v>
      </c>
      <c r="E369" s="193">
        <v>610</v>
      </c>
      <c r="F369" s="199">
        <f>'Приложение 4'!Q257</f>
        <v>12.5</v>
      </c>
      <c r="G369" s="199">
        <f>'Приложение 4'!R257</f>
        <v>12.5</v>
      </c>
    </row>
    <row r="370" spans="1:7" ht="36.75" customHeight="1">
      <c r="A370" s="211" t="s">
        <v>608</v>
      </c>
      <c r="B370" s="193" t="s">
        <v>419</v>
      </c>
      <c r="C370" s="198"/>
      <c r="D370" s="198"/>
      <c r="E370" s="193"/>
      <c r="F370" s="199">
        <f>F371</f>
        <v>9.5</v>
      </c>
      <c r="G370" s="199">
        <f>G371</f>
        <v>9.5</v>
      </c>
    </row>
    <row r="371" spans="1:7" ht="15.75">
      <c r="A371" s="211" t="s">
        <v>230</v>
      </c>
      <c r="B371" s="193" t="s">
        <v>420</v>
      </c>
      <c r="C371" s="198"/>
      <c r="D371" s="198"/>
      <c r="E371" s="193"/>
      <c r="F371" s="199">
        <f>F372</f>
        <v>9.5</v>
      </c>
      <c r="G371" s="199">
        <f>G372</f>
        <v>9.5</v>
      </c>
    </row>
    <row r="372" spans="1:7" ht="15.75">
      <c r="A372" s="211" t="s">
        <v>638</v>
      </c>
      <c r="B372" s="193" t="s">
        <v>420</v>
      </c>
      <c r="C372" s="198" t="s">
        <v>646</v>
      </c>
      <c r="D372" s="198" t="s">
        <v>415</v>
      </c>
      <c r="E372" s="193">
        <v>610</v>
      </c>
      <c r="F372" s="199">
        <f>'Приложение 4'!Q260</f>
        <v>9.5</v>
      </c>
      <c r="G372" s="199">
        <f>'Приложение 4'!R260</f>
        <v>9.5</v>
      </c>
    </row>
    <row r="373" spans="1:7" ht="18" customHeight="1">
      <c r="A373" s="211" t="s">
        <v>613</v>
      </c>
      <c r="B373" s="193" t="s">
        <v>421</v>
      </c>
      <c r="C373" s="198"/>
      <c r="D373" s="198"/>
      <c r="E373" s="193"/>
      <c r="F373" s="199">
        <f>F374</f>
        <v>1021.8</v>
      </c>
      <c r="G373" s="199">
        <f>G374</f>
        <v>1021.8</v>
      </c>
    </row>
    <row r="374" spans="1:7" ht="21" customHeight="1">
      <c r="A374" s="211" t="s">
        <v>614</v>
      </c>
      <c r="B374" s="193" t="s">
        <v>422</v>
      </c>
      <c r="C374" s="198"/>
      <c r="D374" s="198"/>
      <c r="E374" s="193"/>
      <c r="F374" s="199">
        <f>F375</f>
        <v>1021.8</v>
      </c>
      <c r="G374" s="199">
        <f>G375</f>
        <v>1021.8</v>
      </c>
    </row>
    <row r="375" spans="1:7" ht="20.25" customHeight="1">
      <c r="A375" s="211" t="s">
        <v>641</v>
      </c>
      <c r="B375" s="193" t="s">
        <v>422</v>
      </c>
      <c r="C375" s="198" t="s">
        <v>646</v>
      </c>
      <c r="D375" s="198" t="s">
        <v>352</v>
      </c>
      <c r="E375" s="193">
        <v>320</v>
      </c>
      <c r="F375" s="199">
        <f>'Приложение 4'!Q303</f>
        <v>1021.8</v>
      </c>
      <c r="G375" s="199">
        <f>'Приложение 4'!R303</f>
        <v>1021.8</v>
      </c>
    </row>
    <row r="376" spans="1:7" s="205" customFormat="1" ht="37.5" customHeight="1">
      <c r="A376" s="210" t="s">
        <v>713</v>
      </c>
      <c r="B376" s="196" t="s">
        <v>715</v>
      </c>
      <c r="C376" s="197"/>
      <c r="D376" s="197"/>
      <c r="E376" s="196"/>
      <c r="F376" s="200">
        <f>F377+F380</f>
        <v>5282.900000000001</v>
      </c>
      <c r="G376" s="200">
        <f>G377+G380</f>
        <v>5279.8</v>
      </c>
    </row>
    <row r="377" spans="1:7" ht="42" customHeight="1">
      <c r="A377" s="219" t="s">
        <v>97</v>
      </c>
      <c r="B377" s="220" t="s">
        <v>98</v>
      </c>
      <c r="C377" s="221"/>
      <c r="D377" s="221"/>
      <c r="E377" s="220"/>
      <c r="F377" s="222">
        <f>F378</f>
        <v>283.09999999999997</v>
      </c>
      <c r="G377" s="222">
        <f>G378</f>
        <v>280</v>
      </c>
    </row>
    <row r="378" spans="1:7" ht="25.5" customHeight="1">
      <c r="A378" s="211" t="s">
        <v>712</v>
      </c>
      <c r="B378" s="193" t="s">
        <v>423</v>
      </c>
      <c r="C378" s="198"/>
      <c r="D378" s="198"/>
      <c r="E378" s="193"/>
      <c r="F378" s="199">
        <f>F379</f>
        <v>283.09999999999997</v>
      </c>
      <c r="G378" s="199">
        <f>G379</f>
        <v>280</v>
      </c>
    </row>
    <row r="379" spans="1:7" ht="21.75" customHeight="1">
      <c r="A379" s="211" t="s">
        <v>636</v>
      </c>
      <c r="B379" s="193" t="s">
        <v>423</v>
      </c>
      <c r="C379" s="198" t="s">
        <v>646</v>
      </c>
      <c r="D379" s="198" t="s">
        <v>424</v>
      </c>
      <c r="E379" s="193">
        <v>240</v>
      </c>
      <c r="F379" s="199">
        <f>'Приложение 4'!Q214</f>
        <v>283.09999999999997</v>
      </c>
      <c r="G379" s="199">
        <f>'Приложение 4'!R214</f>
        <v>280</v>
      </c>
    </row>
    <row r="380" spans="1:7" ht="35.25" customHeight="1">
      <c r="A380" s="15" t="s">
        <v>714</v>
      </c>
      <c r="B380" s="220" t="s">
        <v>747</v>
      </c>
      <c r="C380" s="198"/>
      <c r="D380" s="198"/>
      <c r="E380" s="193"/>
      <c r="F380" s="199">
        <f>F381</f>
        <v>4999.8</v>
      </c>
      <c r="G380" s="199">
        <f>G381</f>
        <v>4999.8</v>
      </c>
    </row>
    <row r="381" spans="1:7" ht="15.75">
      <c r="A381" s="15" t="s">
        <v>745</v>
      </c>
      <c r="B381" s="220" t="s">
        <v>748</v>
      </c>
      <c r="C381" s="198"/>
      <c r="D381" s="198"/>
      <c r="E381" s="193"/>
      <c r="F381" s="199">
        <f>F382</f>
        <v>4999.8</v>
      </c>
      <c r="G381" s="199">
        <f>G382</f>
        <v>4999.8</v>
      </c>
    </row>
    <row r="382" spans="1:7" ht="15.75">
      <c r="A382" s="78" t="s">
        <v>583</v>
      </c>
      <c r="B382" s="220" t="s">
        <v>748</v>
      </c>
      <c r="C382" s="221" t="s">
        <v>646</v>
      </c>
      <c r="D382" s="221" t="s">
        <v>424</v>
      </c>
      <c r="E382" s="193">
        <v>540</v>
      </c>
      <c r="F382" s="199">
        <f>'Приложение 4'!Q217</f>
        <v>4999.8</v>
      </c>
      <c r="G382" s="199">
        <f>'Приложение 4'!R217</f>
        <v>4999.8</v>
      </c>
    </row>
    <row r="383" spans="1:7" ht="39.75" customHeight="1">
      <c r="A383" s="210" t="s">
        <v>114</v>
      </c>
      <c r="B383" s="196" t="s">
        <v>123</v>
      </c>
      <c r="C383" s="197"/>
      <c r="D383" s="197"/>
      <c r="E383" s="196"/>
      <c r="F383" s="200">
        <f>F384+F387+F390+F395+F411</f>
        <v>11869.4</v>
      </c>
      <c r="G383" s="200">
        <f>G384+G387+G390+G395+G411</f>
        <v>11689.099999999999</v>
      </c>
    </row>
    <row r="384" spans="1:7" ht="24" customHeight="1">
      <c r="A384" s="9" t="s">
        <v>116</v>
      </c>
      <c r="B384" s="220" t="s">
        <v>124</v>
      </c>
      <c r="C384" s="198"/>
      <c r="D384" s="198"/>
      <c r="E384" s="193"/>
      <c r="F384" s="199">
        <f>F385</f>
        <v>367.7</v>
      </c>
      <c r="G384" s="199">
        <f>G385</f>
        <v>348.9</v>
      </c>
    </row>
    <row r="385" spans="1:7" ht="21.75" customHeight="1">
      <c r="A385" s="9" t="s">
        <v>332</v>
      </c>
      <c r="B385" s="220" t="s">
        <v>125</v>
      </c>
      <c r="C385" s="198"/>
      <c r="D385" s="198"/>
      <c r="E385" s="193"/>
      <c r="F385" s="199">
        <f>F386</f>
        <v>367.7</v>
      </c>
      <c r="G385" s="199">
        <f>G386</f>
        <v>348.9</v>
      </c>
    </row>
    <row r="386" spans="1:7" ht="21.75" customHeight="1">
      <c r="A386" s="9" t="s">
        <v>636</v>
      </c>
      <c r="B386" s="220" t="s">
        <v>125</v>
      </c>
      <c r="C386" s="221" t="s">
        <v>354</v>
      </c>
      <c r="D386" s="221" t="s">
        <v>350</v>
      </c>
      <c r="E386" s="193">
        <v>240</v>
      </c>
      <c r="F386" s="199">
        <f>'Приложение 4'!Q664</f>
        <v>367.7</v>
      </c>
      <c r="G386" s="199">
        <f>'Приложение 4'!R664</f>
        <v>348.9</v>
      </c>
    </row>
    <row r="387" spans="1:7" ht="35.25" customHeight="1">
      <c r="A387" s="9" t="s">
        <v>117</v>
      </c>
      <c r="B387" s="220" t="s">
        <v>126</v>
      </c>
      <c r="C387" s="198"/>
      <c r="D387" s="198"/>
      <c r="E387" s="193"/>
      <c r="F387" s="199">
        <f>F388</f>
        <v>62.3</v>
      </c>
      <c r="G387" s="199">
        <f>G388</f>
        <v>62.3</v>
      </c>
    </row>
    <row r="388" spans="1:7" ht="35.25" customHeight="1">
      <c r="A388" s="9" t="s">
        <v>118</v>
      </c>
      <c r="B388" s="220" t="s">
        <v>127</v>
      </c>
      <c r="C388" s="198"/>
      <c r="D388" s="198"/>
      <c r="E388" s="193"/>
      <c r="F388" s="199">
        <f>F389</f>
        <v>62.3</v>
      </c>
      <c r="G388" s="199">
        <f>G389</f>
        <v>62.3</v>
      </c>
    </row>
    <row r="389" spans="1:7" ht="21.75" customHeight="1">
      <c r="A389" s="9" t="s">
        <v>636</v>
      </c>
      <c r="B389" s="220" t="s">
        <v>127</v>
      </c>
      <c r="C389" s="221" t="s">
        <v>354</v>
      </c>
      <c r="D389" s="221" t="s">
        <v>350</v>
      </c>
      <c r="E389" s="193">
        <v>240</v>
      </c>
      <c r="F389" s="199">
        <f>'Приложение 4'!Q667</f>
        <v>62.3</v>
      </c>
      <c r="G389" s="199">
        <f>'Приложение 4'!R667</f>
        <v>62.3</v>
      </c>
    </row>
    <row r="390" spans="1:7" ht="40.5" customHeight="1">
      <c r="A390" s="9" t="s">
        <v>119</v>
      </c>
      <c r="B390" s="220" t="s">
        <v>128</v>
      </c>
      <c r="C390" s="198"/>
      <c r="D390" s="198"/>
      <c r="E390" s="193"/>
      <c r="F390" s="199">
        <f>F391</f>
        <v>1626.8</v>
      </c>
      <c r="G390" s="199">
        <f>G391</f>
        <v>1580.1</v>
      </c>
    </row>
    <row r="391" spans="1:7" ht="24.75" customHeight="1">
      <c r="A391" s="9" t="s">
        <v>248</v>
      </c>
      <c r="B391" s="220" t="s">
        <v>129</v>
      </c>
      <c r="C391" s="198"/>
      <c r="D391" s="198"/>
      <c r="E391" s="193"/>
      <c r="F391" s="199">
        <f>SUM(F392:F394)</f>
        <v>1626.8</v>
      </c>
      <c r="G391" s="199">
        <f>SUM(G392:G394)</f>
        <v>1580.1</v>
      </c>
    </row>
    <row r="392" spans="1:7" ht="15.75" customHeight="1">
      <c r="A392" s="9" t="s">
        <v>636</v>
      </c>
      <c r="B392" s="220" t="s">
        <v>129</v>
      </c>
      <c r="C392" s="221" t="s">
        <v>354</v>
      </c>
      <c r="D392" s="221" t="s">
        <v>350</v>
      </c>
      <c r="E392" s="193">
        <v>240</v>
      </c>
      <c r="F392" s="199">
        <f>'Приложение 4'!Q670</f>
        <v>42.7</v>
      </c>
      <c r="G392" s="199">
        <f>'Приложение 4'!R670</f>
        <v>0.8</v>
      </c>
    </row>
    <row r="393" spans="1:7" ht="15.75">
      <c r="A393" s="9" t="s">
        <v>644</v>
      </c>
      <c r="B393" s="220" t="s">
        <v>129</v>
      </c>
      <c r="C393" s="221" t="s">
        <v>354</v>
      </c>
      <c r="D393" s="221" t="s">
        <v>350</v>
      </c>
      <c r="E393" s="193">
        <v>830</v>
      </c>
      <c r="F393" s="199">
        <f>'Приложение 4'!Q671</f>
        <v>1548.5</v>
      </c>
      <c r="G393" s="199">
        <f>'Приложение 4'!R671</f>
        <v>1548.5</v>
      </c>
    </row>
    <row r="394" spans="1:7" ht="15.75">
      <c r="A394" s="3" t="s">
        <v>637</v>
      </c>
      <c r="B394" s="220" t="s">
        <v>129</v>
      </c>
      <c r="C394" s="221" t="s">
        <v>354</v>
      </c>
      <c r="D394" s="221" t="s">
        <v>350</v>
      </c>
      <c r="E394" s="193">
        <v>850</v>
      </c>
      <c r="F394" s="199">
        <f>'Приложение 4'!Q672</f>
        <v>35.6</v>
      </c>
      <c r="G394" s="199">
        <f>'Приложение 4'!R672</f>
        <v>30.8</v>
      </c>
    </row>
    <row r="395" spans="1:7" ht="22.5" customHeight="1">
      <c r="A395" s="9" t="s">
        <v>120</v>
      </c>
      <c r="B395" s="220" t="s">
        <v>130</v>
      </c>
      <c r="C395" s="198"/>
      <c r="D395" s="198"/>
      <c r="E395" s="193"/>
      <c r="F395" s="199">
        <f>F396+F403+F405+F408+F401</f>
        <v>4824.099999999999</v>
      </c>
      <c r="G395" s="199">
        <f>G396+G403+G405+G408+G401</f>
        <v>4709.299999999999</v>
      </c>
    </row>
    <row r="396" spans="1:7" ht="19.5" customHeight="1">
      <c r="A396" s="9" t="s">
        <v>309</v>
      </c>
      <c r="B396" s="220" t="s">
        <v>131</v>
      </c>
      <c r="C396" s="198"/>
      <c r="D396" s="198"/>
      <c r="E396" s="193"/>
      <c r="F396" s="199">
        <f>F397+F398+F399+F400</f>
        <v>3155.8</v>
      </c>
      <c r="G396" s="199">
        <f>G397+G398+G399+G400</f>
        <v>3048.2999999999997</v>
      </c>
    </row>
    <row r="397" spans="1:7" ht="21.75" customHeight="1">
      <c r="A397" s="9" t="s">
        <v>490</v>
      </c>
      <c r="B397" s="220" t="s">
        <v>131</v>
      </c>
      <c r="C397" s="221" t="s">
        <v>354</v>
      </c>
      <c r="D397" s="221" t="s">
        <v>350</v>
      </c>
      <c r="E397" s="193">
        <v>120</v>
      </c>
      <c r="F397" s="199">
        <f>'Приложение 4'!Q675</f>
        <v>2812.6</v>
      </c>
      <c r="G397" s="199">
        <f>'Приложение 4'!R675</f>
        <v>2731.5</v>
      </c>
    </row>
    <row r="398" spans="1:7" ht="23.25" customHeight="1">
      <c r="A398" s="9" t="s">
        <v>636</v>
      </c>
      <c r="B398" s="220" t="s">
        <v>131</v>
      </c>
      <c r="C398" s="221" t="s">
        <v>354</v>
      </c>
      <c r="D398" s="221" t="s">
        <v>350</v>
      </c>
      <c r="E398" s="193">
        <v>240</v>
      </c>
      <c r="F398" s="199">
        <f>'Приложение 4'!Q676</f>
        <v>323.20000000000016</v>
      </c>
      <c r="G398" s="199">
        <f>'Приложение 4'!R676</f>
        <v>316.7</v>
      </c>
    </row>
    <row r="399" spans="1:7" ht="15.75">
      <c r="A399" s="3" t="s">
        <v>644</v>
      </c>
      <c r="B399" s="220" t="s">
        <v>131</v>
      </c>
      <c r="C399" s="221" t="s">
        <v>354</v>
      </c>
      <c r="D399" s="221" t="s">
        <v>350</v>
      </c>
      <c r="E399" s="193">
        <v>830</v>
      </c>
      <c r="F399" s="199">
        <f>'Приложение 4'!Q677</f>
        <v>10</v>
      </c>
      <c r="G399" s="199">
        <f>'Приложение 4'!R677</f>
        <v>0</v>
      </c>
    </row>
    <row r="400" spans="1:7" ht="15.75">
      <c r="A400" s="3" t="s">
        <v>637</v>
      </c>
      <c r="B400" s="220" t="s">
        <v>131</v>
      </c>
      <c r="C400" s="221" t="s">
        <v>354</v>
      </c>
      <c r="D400" s="221" t="s">
        <v>350</v>
      </c>
      <c r="E400" s="193">
        <v>850</v>
      </c>
      <c r="F400" s="199">
        <f>'Приложение 4'!Q678</f>
        <v>10</v>
      </c>
      <c r="G400" s="199">
        <f>'Приложение 4'!R678</f>
        <v>0.1</v>
      </c>
    </row>
    <row r="401" spans="1:7" ht="94.5" customHeight="1" hidden="1">
      <c r="A401" s="70" t="s">
        <v>775</v>
      </c>
      <c r="B401" s="220" t="s">
        <v>776</v>
      </c>
      <c r="C401" s="221"/>
      <c r="D401" s="221"/>
      <c r="E401" s="193"/>
      <c r="F401" s="199">
        <f>F402</f>
        <v>44.9</v>
      </c>
      <c r="G401" s="199">
        <f>G402</f>
        <v>44.9</v>
      </c>
    </row>
    <row r="402" spans="1:7" ht="31.5" customHeight="1" hidden="1">
      <c r="A402" s="9" t="s">
        <v>490</v>
      </c>
      <c r="B402" s="220" t="s">
        <v>776</v>
      </c>
      <c r="C402" s="221" t="s">
        <v>354</v>
      </c>
      <c r="D402" s="221" t="s">
        <v>350</v>
      </c>
      <c r="E402" s="193">
        <v>120</v>
      </c>
      <c r="F402" s="199">
        <f>'Приложение 4'!Q680</f>
        <v>44.9</v>
      </c>
      <c r="G402" s="199">
        <f>'Приложение 4'!R680</f>
        <v>44.9</v>
      </c>
    </row>
    <row r="403" spans="1:7" ht="40.5" customHeight="1">
      <c r="A403" s="9" t="s">
        <v>50</v>
      </c>
      <c r="B403" s="220" t="s">
        <v>132</v>
      </c>
      <c r="C403" s="198"/>
      <c r="D403" s="198"/>
      <c r="E403" s="193"/>
      <c r="F403" s="199">
        <f>F404</f>
        <v>789.2</v>
      </c>
      <c r="G403" s="199">
        <f>G404</f>
        <v>789.2</v>
      </c>
    </row>
    <row r="404" spans="1:7" ht="23.25" customHeight="1">
      <c r="A404" s="9" t="s">
        <v>490</v>
      </c>
      <c r="B404" s="220" t="s">
        <v>132</v>
      </c>
      <c r="C404" s="221" t="s">
        <v>354</v>
      </c>
      <c r="D404" s="221" t="s">
        <v>350</v>
      </c>
      <c r="E404" s="193">
        <v>120</v>
      </c>
      <c r="F404" s="199">
        <f>'Приложение 4'!Q682</f>
        <v>789.2</v>
      </c>
      <c r="G404" s="199">
        <f>'Приложение 4'!R682</f>
        <v>789.2</v>
      </c>
    </row>
    <row r="405" spans="1:7" ht="61.5" customHeight="1">
      <c r="A405" s="9" t="s">
        <v>121</v>
      </c>
      <c r="B405" s="220" t="s">
        <v>133</v>
      </c>
      <c r="C405" s="221"/>
      <c r="D405" s="221"/>
      <c r="E405" s="193"/>
      <c r="F405" s="199">
        <f>F406+F407</f>
        <v>373.8</v>
      </c>
      <c r="G405" s="199">
        <f>G406+G407</f>
        <v>372.5</v>
      </c>
    </row>
    <row r="406" spans="1:7" ht="24" customHeight="1">
      <c r="A406" s="9" t="s">
        <v>490</v>
      </c>
      <c r="B406" s="220" t="s">
        <v>133</v>
      </c>
      <c r="C406" s="221" t="s">
        <v>354</v>
      </c>
      <c r="D406" s="221" t="s">
        <v>350</v>
      </c>
      <c r="E406" s="193">
        <v>120</v>
      </c>
      <c r="F406" s="199">
        <f>'Приложение 4'!Q684</f>
        <v>365.3</v>
      </c>
      <c r="G406" s="199">
        <f>'Приложение 4'!R684</f>
        <v>364</v>
      </c>
    </row>
    <row r="407" spans="1:7" ht="21.75" customHeight="1">
      <c r="A407" s="9" t="s">
        <v>636</v>
      </c>
      <c r="B407" s="220" t="s">
        <v>133</v>
      </c>
      <c r="C407" s="221" t="s">
        <v>354</v>
      </c>
      <c r="D407" s="221" t="s">
        <v>350</v>
      </c>
      <c r="E407" s="193">
        <v>240</v>
      </c>
      <c r="F407" s="199">
        <f>'Приложение 4'!Q685</f>
        <v>8.5</v>
      </c>
      <c r="G407" s="199">
        <f>'Приложение 4'!R685</f>
        <v>8.5</v>
      </c>
    </row>
    <row r="408" spans="1:7" ht="20.25" customHeight="1">
      <c r="A408" s="9" t="s">
        <v>122</v>
      </c>
      <c r="B408" s="220" t="s">
        <v>134</v>
      </c>
      <c r="C408" s="221"/>
      <c r="D408" s="221"/>
      <c r="E408" s="193"/>
      <c r="F408" s="199">
        <f>F409+F410</f>
        <v>460.4</v>
      </c>
      <c r="G408" s="199">
        <f>G409+G410</f>
        <v>454.4</v>
      </c>
    </row>
    <row r="409" spans="1:7" ht="24.75" customHeight="1">
      <c r="A409" s="9" t="s">
        <v>490</v>
      </c>
      <c r="B409" s="220" t="s">
        <v>134</v>
      </c>
      <c r="C409" s="221" t="s">
        <v>354</v>
      </c>
      <c r="D409" s="221" t="s">
        <v>350</v>
      </c>
      <c r="E409" s="193">
        <v>120</v>
      </c>
      <c r="F409" s="199">
        <f>'Приложение 4'!Q687</f>
        <v>451.9</v>
      </c>
      <c r="G409" s="199">
        <f>'Приложение 4'!R687</f>
        <v>448</v>
      </c>
    </row>
    <row r="410" spans="1:7" ht="20.25" customHeight="1">
      <c r="A410" s="9" t="s">
        <v>636</v>
      </c>
      <c r="B410" s="220" t="s">
        <v>134</v>
      </c>
      <c r="C410" s="221" t="s">
        <v>354</v>
      </c>
      <c r="D410" s="221" t="s">
        <v>350</v>
      </c>
      <c r="E410" s="193">
        <v>240</v>
      </c>
      <c r="F410" s="199">
        <f>'Приложение 4'!Q688</f>
        <v>8.5</v>
      </c>
      <c r="G410" s="199">
        <f>'Приложение 4'!R688</f>
        <v>6.4</v>
      </c>
    </row>
    <row r="411" spans="1:7" ht="54.75" customHeight="1">
      <c r="A411" s="9" t="s">
        <v>113</v>
      </c>
      <c r="B411" s="220" t="s">
        <v>136</v>
      </c>
      <c r="C411" s="221"/>
      <c r="D411" s="221"/>
      <c r="E411" s="193"/>
      <c r="F411" s="199">
        <f>F412</f>
        <v>4988.5</v>
      </c>
      <c r="G411" s="199">
        <f>G412</f>
        <v>4988.5</v>
      </c>
    </row>
    <row r="412" spans="1:7" ht="57" customHeight="1">
      <c r="A412" s="9" t="s">
        <v>266</v>
      </c>
      <c r="B412" s="220" t="s">
        <v>135</v>
      </c>
      <c r="C412" s="221"/>
      <c r="D412" s="221"/>
      <c r="E412" s="193"/>
      <c r="F412" s="199">
        <f>F413+F414</f>
        <v>4988.5</v>
      </c>
      <c r="G412" s="199">
        <f>G413+G414</f>
        <v>4988.5</v>
      </c>
    </row>
    <row r="413" spans="1:7" ht="26.25" customHeight="1">
      <c r="A413" s="9" t="s">
        <v>636</v>
      </c>
      <c r="B413" s="220" t="s">
        <v>135</v>
      </c>
      <c r="C413" s="221" t="s">
        <v>354</v>
      </c>
      <c r="D413" s="221" t="s">
        <v>350</v>
      </c>
      <c r="E413" s="193">
        <v>240</v>
      </c>
      <c r="F413" s="199">
        <f>'Приложение 4'!Q691</f>
        <v>73.7</v>
      </c>
      <c r="G413" s="199">
        <f>'Приложение 4'!R691</f>
        <v>73.7</v>
      </c>
    </row>
    <row r="414" spans="1:7" ht="21" customHeight="1">
      <c r="A414" s="9" t="s">
        <v>641</v>
      </c>
      <c r="B414" s="220" t="s">
        <v>135</v>
      </c>
      <c r="C414" s="221" t="s">
        <v>354</v>
      </c>
      <c r="D414" s="221" t="s">
        <v>352</v>
      </c>
      <c r="E414" s="193">
        <v>320</v>
      </c>
      <c r="F414" s="199">
        <f>'Приложение 4'!Q703</f>
        <v>4914.8</v>
      </c>
      <c r="G414" s="199">
        <f>'Приложение 4'!R703</f>
        <v>4914.8</v>
      </c>
    </row>
    <row r="415" spans="1:7" s="205" customFormat="1" ht="14.25">
      <c r="A415" s="311" t="s">
        <v>440</v>
      </c>
      <c r="B415" s="312"/>
      <c r="C415" s="312"/>
      <c r="D415" s="312"/>
      <c r="E415" s="313"/>
      <c r="F415" s="212">
        <f>F14+F24+F64+F150+F179+F186+F196+F243+F260+F272+F281+F310+F359+F376+F326+F170+F383</f>
        <v>553379.7999999999</v>
      </c>
      <c r="G415" s="212">
        <f>G14+G24+G64+G150+G179+G186+G196+G243+G260+G272+G281+G310+G359+G376+G326+G170+G383</f>
        <v>482631.9</v>
      </c>
    </row>
    <row r="416" spans="6:7" ht="15">
      <c r="F416" s="235" t="s">
        <v>557</v>
      </c>
      <c r="G416" s="235" t="s">
        <v>557</v>
      </c>
    </row>
  </sheetData>
  <sheetProtection/>
  <mergeCells count="14">
    <mergeCell ref="A415:E415"/>
    <mergeCell ref="A11:A12"/>
    <mergeCell ref="B11:B12"/>
    <mergeCell ref="C11:C12"/>
    <mergeCell ref="D11:D12"/>
    <mergeCell ref="E11:E12"/>
    <mergeCell ref="G11:G12"/>
    <mergeCell ref="B1:I1"/>
    <mergeCell ref="B2:I2"/>
    <mergeCell ref="B3:G3"/>
    <mergeCell ref="B4:G4"/>
    <mergeCell ref="A8:G8"/>
    <mergeCell ref="F11:F12"/>
    <mergeCell ref="A9:G9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zoomScale="75" zoomScaleNormal="75" zoomScalePageLayoutView="0" workbookViewId="0" topLeftCell="A79">
      <selection activeCell="A89" sqref="A89"/>
    </sheetView>
  </sheetViews>
  <sheetFormatPr defaultColWidth="9.140625" defaultRowHeight="15"/>
  <cols>
    <col min="1" max="1" width="43.28125" style="202" customWidth="1"/>
    <col min="2" max="2" width="15.00390625" style="202" customWidth="1"/>
    <col min="3" max="3" width="6.8515625" style="206" customWidth="1"/>
    <col min="4" max="4" width="5.28125" style="206" customWidth="1"/>
    <col min="5" max="5" width="6.28125" style="202" customWidth="1"/>
    <col min="6" max="6" width="10.8515625" style="207" hidden="1" customWidth="1"/>
    <col min="7" max="7" width="10.7109375" style="207" customWidth="1"/>
    <col min="8" max="8" width="10.140625" style="207" customWidth="1"/>
    <col min="9" max="16384" width="9.140625" style="202" customWidth="1"/>
  </cols>
  <sheetData>
    <row r="1" spans="2:8" ht="18.75">
      <c r="B1" s="322" t="s">
        <v>772</v>
      </c>
      <c r="C1" s="322"/>
      <c r="D1" s="322"/>
      <c r="E1" s="322"/>
      <c r="F1" s="322"/>
      <c r="G1" s="322"/>
      <c r="H1" s="322"/>
    </row>
    <row r="2" spans="2:8" ht="18.75">
      <c r="B2" s="323" t="s">
        <v>458</v>
      </c>
      <c r="C2" s="323"/>
      <c r="D2" s="323"/>
      <c r="E2" s="323"/>
      <c r="F2" s="323"/>
      <c r="G2" s="323"/>
      <c r="H2" s="323"/>
    </row>
    <row r="3" spans="2:8" ht="18.75">
      <c r="B3" s="323" t="s">
        <v>86</v>
      </c>
      <c r="C3" s="323"/>
      <c r="D3" s="323"/>
      <c r="E3" s="323"/>
      <c r="F3" s="323"/>
      <c r="G3" s="323"/>
      <c r="H3" s="323"/>
    </row>
    <row r="4" spans="1:9" ht="22.5" customHeight="1">
      <c r="A4" s="201"/>
      <c r="B4" s="324" t="s">
        <v>88</v>
      </c>
      <c r="C4" s="324"/>
      <c r="D4" s="324"/>
      <c r="E4" s="324"/>
      <c r="F4" s="223"/>
      <c r="G4" s="223"/>
      <c r="H4" s="223"/>
      <c r="I4" s="223"/>
    </row>
    <row r="5" spans="1:9" ht="22.5" customHeight="1">
      <c r="A5" s="201"/>
      <c r="B5" s="305" t="s">
        <v>458</v>
      </c>
      <c r="C5" s="305"/>
      <c r="D5" s="305"/>
      <c r="E5" s="305"/>
      <c r="F5" s="305"/>
      <c r="G5" s="305"/>
      <c r="H5" s="305"/>
      <c r="I5" s="305"/>
    </row>
    <row r="6" spans="1:9" ht="19.5" customHeight="1">
      <c r="A6" s="201"/>
      <c r="B6" s="324" t="s">
        <v>459</v>
      </c>
      <c r="C6" s="324"/>
      <c r="D6" s="324"/>
      <c r="E6" s="324"/>
      <c r="F6" s="324"/>
      <c r="G6" s="324"/>
      <c r="H6" s="324"/>
      <c r="I6" s="324"/>
    </row>
    <row r="7" spans="1:9" ht="19.5" customHeight="1">
      <c r="A7" s="201"/>
      <c r="B7" s="324" t="s">
        <v>1</v>
      </c>
      <c r="C7" s="324"/>
      <c r="D7" s="324"/>
      <c r="E7" s="324"/>
      <c r="F7" s="324"/>
      <c r="G7" s="324"/>
      <c r="H7" s="324"/>
      <c r="I7" s="324"/>
    </row>
    <row r="8" spans="1:9" ht="18.75">
      <c r="A8" s="201"/>
      <c r="B8" s="144" t="s">
        <v>87</v>
      </c>
      <c r="C8" s="144"/>
      <c r="D8" s="144"/>
      <c r="E8" s="144"/>
      <c r="F8" s="203"/>
      <c r="G8" s="203"/>
      <c r="H8" s="204"/>
      <c r="I8" s="145"/>
    </row>
    <row r="9" spans="1:9" ht="18.75">
      <c r="A9" s="201"/>
      <c r="B9" s="144"/>
      <c r="C9" s="144"/>
      <c r="D9" s="144"/>
      <c r="E9" s="144"/>
      <c r="F9" s="203"/>
      <c r="G9" s="203"/>
      <c r="H9" s="204"/>
      <c r="I9" s="145"/>
    </row>
    <row r="10" spans="1:9" ht="18.75">
      <c r="A10" s="317" t="s">
        <v>351</v>
      </c>
      <c r="B10" s="317"/>
      <c r="C10" s="317"/>
      <c r="D10" s="317"/>
      <c r="E10" s="317"/>
      <c r="F10" s="317"/>
      <c r="G10" s="317"/>
      <c r="H10" s="317"/>
      <c r="I10" s="190"/>
    </row>
    <row r="11" spans="1:9" ht="18.75">
      <c r="A11" s="317" t="s">
        <v>684</v>
      </c>
      <c r="B11" s="317"/>
      <c r="C11" s="317"/>
      <c r="D11" s="317"/>
      <c r="E11" s="317"/>
      <c r="F11" s="317"/>
      <c r="G11" s="317"/>
      <c r="H11" s="317"/>
      <c r="I11" s="189"/>
    </row>
    <row r="12" spans="1:9" ht="18.75">
      <c r="A12" s="320" t="s">
        <v>455</v>
      </c>
      <c r="B12" s="320"/>
      <c r="C12" s="320"/>
      <c r="D12" s="320"/>
      <c r="E12" s="320"/>
      <c r="F12" s="320"/>
      <c r="G12" s="320"/>
      <c r="H12" s="320"/>
      <c r="I12" s="188"/>
    </row>
    <row r="13" spans="1:8" ht="30.75" customHeight="1">
      <c r="A13" s="213"/>
      <c r="B13" s="213"/>
      <c r="C13" s="214"/>
      <c r="D13" s="214"/>
      <c r="E13" s="213"/>
      <c r="F13" s="215"/>
      <c r="G13" s="321" t="s">
        <v>8</v>
      </c>
      <c r="H13" s="321"/>
    </row>
    <row r="14" spans="1:8" ht="15.75">
      <c r="A14" s="318" t="s">
        <v>469</v>
      </c>
      <c r="B14" s="318" t="s">
        <v>465</v>
      </c>
      <c r="C14" s="319" t="s">
        <v>468</v>
      </c>
      <c r="D14" s="319" t="s">
        <v>348</v>
      </c>
      <c r="E14" s="318" t="s">
        <v>464</v>
      </c>
      <c r="F14" s="316" t="s">
        <v>463</v>
      </c>
      <c r="G14" s="316"/>
      <c r="H14" s="316"/>
    </row>
    <row r="15" spans="1:8" ht="15.75">
      <c r="A15" s="318"/>
      <c r="B15" s="318"/>
      <c r="C15" s="319"/>
      <c r="D15" s="319"/>
      <c r="E15" s="318"/>
      <c r="F15" s="216" t="s">
        <v>7</v>
      </c>
      <c r="G15" s="216" t="s">
        <v>252</v>
      </c>
      <c r="H15" s="216" t="s">
        <v>0</v>
      </c>
    </row>
    <row r="16" spans="1:8" ht="15.75">
      <c r="A16" s="217">
        <v>1</v>
      </c>
      <c r="B16" s="217">
        <v>2</v>
      </c>
      <c r="C16" s="218">
        <v>3</v>
      </c>
      <c r="D16" s="218">
        <v>4</v>
      </c>
      <c r="E16" s="217">
        <v>5</v>
      </c>
      <c r="F16" s="218">
        <v>6</v>
      </c>
      <c r="G16" s="218" t="s">
        <v>456</v>
      </c>
      <c r="H16" s="218" t="s">
        <v>457</v>
      </c>
    </row>
    <row r="17" spans="1:8" s="205" customFormat="1" ht="81.75" customHeight="1">
      <c r="A17" s="210" t="s">
        <v>689</v>
      </c>
      <c r="B17" s="196" t="s">
        <v>650</v>
      </c>
      <c r="C17" s="197"/>
      <c r="D17" s="197"/>
      <c r="E17" s="196"/>
      <c r="F17" s="200" t="e">
        <f>F18+#REF!+F21+F24+F27+#REF!</f>
        <v>#REF!</v>
      </c>
      <c r="G17" s="200" t="e">
        <f>G18+G21+G24+G27</f>
        <v>#REF!</v>
      </c>
      <c r="H17" s="200">
        <v>0</v>
      </c>
    </row>
    <row r="18" spans="1:8" ht="31.5">
      <c r="A18" s="219" t="s">
        <v>597</v>
      </c>
      <c r="B18" s="220" t="s">
        <v>657</v>
      </c>
      <c r="C18" s="221"/>
      <c r="D18" s="221"/>
      <c r="E18" s="220"/>
      <c r="F18" s="222">
        <f>F19</f>
        <v>0</v>
      </c>
      <c r="G18" s="222" t="e">
        <f>G19</f>
        <v>#REF!</v>
      </c>
      <c r="H18" s="222">
        <v>0</v>
      </c>
    </row>
    <row r="19" spans="1:8" ht="47.25">
      <c r="A19" s="219" t="s">
        <v>656</v>
      </c>
      <c r="B19" s="220" t="s">
        <v>658</v>
      </c>
      <c r="C19" s="221"/>
      <c r="D19" s="221"/>
      <c r="E19" s="220"/>
      <c r="F19" s="222">
        <f>SUM(F20:F20)</f>
        <v>0</v>
      </c>
      <c r="G19" s="222" t="e">
        <f>G20</f>
        <v>#REF!</v>
      </c>
      <c r="H19" s="222">
        <v>0</v>
      </c>
    </row>
    <row r="20" spans="1:8" ht="47.25">
      <c r="A20" s="219" t="s">
        <v>636</v>
      </c>
      <c r="B20" s="220" t="s">
        <v>658</v>
      </c>
      <c r="C20" s="221" t="s">
        <v>646</v>
      </c>
      <c r="D20" s="221" t="s">
        <v>353</v>
      </c>
      <c r="E20" s="220">
        <v>240</v>
      </c>
      <c r="F20" s="222">
        <f>'Приложение 4'!Q113</f>
        <v>0</v>
      </c>
      <c r="G20" s="222" t="e">
        <f>#REF!</f>
        <v>#REF!</v>
      </c>
      <c r="H20" s="222">
        <v>0</v>
      </c>
    </row>
    <row r="21" spans="1:8" ht="47.25">
      <c r="A21" s="219" t="s">
        <v>224</v>
      </c>
      <c r="B21" s="220" t="s">
        <v>652</v>
      </c>
      <c r="C21" s="221"/>
      <c r="D21" s="221"/>
      <c r="E21" s="220"/>
      <c r="F21" s="222">
        <f>F22</f>
        <v>5524.100000000001</v>
      </c>
      <c r="G21" s="222" t="e">
        <f>G22</f>
        <v>#REF!</v>
      </c>
      <c r="H21" s="222">
        <v>0</v>
      </c>
    </row>
    <row r="22" spans="1:8" ht="31.5">
      <c r="A22" s="219" t="s">
        <v>677</v>
      </c>
      <c r="B22" s="220" t="s">
        <v>246</v>
      </c>
      <c r="C22" s="221"/>
      <c r="D22" s="221"/>
      <c r="E22" s="220"/>
      <c r="F22" s="222">
        <f>F23</f>
        <v>5524.100000000001</v>
      </c>
      <c r="G22" s="222" t="e">
        <f>G23</f>
        <v>#REF!</v>
      </c>
      <c r="H22" s="222">
        <v>0</v>
      </c>
    </row>
    <row r="23" spans="1:8" ht="47.25">
      <c r="A23" s="219" t="s">
        <v>636</v>
      </c>
      <c r="B23" s="220" t="s">
        <v>246</v>
      </c>
      <c r="C23" s="221" t="s">
        <v>646</v>
      </c>
      <c r="D23" s="221" t="s">
        <v>353</v>
      </c>
      <c r="E23" s="220">
        <v>240</v>
      </c>
      <c r="F23" s="222">
        <f>'Приложение 4'!Q120</f>
        <v>5524.100000000001</v>
      </c>
      <c r="G23" s="222" t="e">
        <f>#REF!</f>
        <v>#REF!</v>
      </c>
      <c r="H23" s="222">
        <v>0</v>
      </c>
    </row>
    <row r="24" spans="1:8" ht="47.25">
      <c r="A24" s="219" t="s">
        <v>691</v>
      </c>
      <c r="B24" s="220" t="s">
        <v>653</v>
      </c>
      <c r="C24" s="221"/>
      <c r="D24" s="221"/>
      <c r="E24" s="220"/>
      <c r="F24" s="222">
        <f>F25</f>
        <v>200</v>
      </c>
      <c r="G24" s="222" t="e">
        <f>G25</f>
        <v>#REF!</v>
      </c>
      <c r="H24" s="222">
        <v>0</v>
      </c>
    </row>
    <row r="25" spans="1:8" ht="31.5">
      <c r="A25" s="219" t="s">
        <v>677</v>
      </c>
      <c r="B25" s="220" t="s">
        <v>692</v>
      </c>
      <c r="C25" s="221"/>
      <c r="D25" s="221"/>
      <c r="E25" s="220"/>
      <c r="F25" s="222">
        <f>F26</f>
        <v>200</v>
      </c>
      <c r="G25" s="222" t="e">
        <f>G26</f>
        <v>#REF!</v>
      </c>
      <c r="H25" s="222">
        <v>0</v>
      </c>
    </row>
    <row r="26" spans="1:8" ht="47.25">
      <c r="A26" s="219" t="s">
        <v>636</v>
      </c>
      <c r="B26" s="220" t="s">
        <v>692</v>
      </c>
      <c r="C26" s="221" t="s">
        <v>354</v>
      </c>
      <c r="D26" s="221" t="s">
        <v>353</v>
      </c>
      <c r="E26" s="220">
        <v>240</v>
      </c>
      <c r="F26" s="222">
        <f>'Приложение 4'!Q697</f>
        <v>200</v>
      </c>
      <c r="G26" s="222" t="e">
        <f>#REF!</f>
        <v>#REF!</v>
      </c>
      <c r="H26" s="222">
        <v>0</v>
      </c>
    </row>
    <row r="27" spans="1:8" ht="63">
      <c r="A27" s="219" t="s">
        <v>137</v>
      </c>
      <c r="B27" s="220" t="s">
        <v>673</v>
      </c>
      <c r="C27" s="221"/>
      <c r="D27" s="221"/>
      <c r="E27" s="220"/>
      <c r="F27" s="222" t="e">
        <f>#REF!</f>
        <v>#REF!</v>
      </c>
      <c r="G27" s="222" t="e">
        <f>G28</f>
        <v>#REF!</v>
      </c>
      <c r="H27" s="222">
        <v>0</v>
      </c>
    </row>
    <row r="28" spans="1:8" ht="94.5">
      <c r="A28" s="219" t="s">
        <v>242</v>
      </c>
      <c r="B28" s="220" t="s">
        <v>243</v>
      </c>
      <c r="C28" s="221"/>
      <c r="D28" s="221"/>
      <c r="E28" s="220"/>
      <c r="F28" s="222"/>
      <c r="G28" s="222" t="e">
        <f>G29</f>
        <v>#REF!</v>
      </c>
      <c r="H28" s="222">
        <v>0</v>
      </c>
    </row>
    <row r="29" spans="1:8" ht="47.25">
      <c r="A29" s="219" t="s">
        <v>636</v>
      </c>
      <c r="B29" s="220" t="s">
        <v>243</v>
      </c>
      <c r="C29" s="221" t="s">
        <v>646</v>
      </c>
      <c r="D29" s="221" t="s">
        <v>353</v>
      </c>
      <c r="E29" s="220">
        <v>240</v>
      </c>
      <c r="F29" s="222"/>
      <c r="G29" s="222" t="e">
        <f>#REF!</f>
        <v>#REF!</v>
      </c>
      <c r="H29" s="222">
        <v>0</v>
      </c>
    </row>
    <row r="30" spans="1:8" s="205" customFormat="1" ht="94.5">
      <c r="A30" s="210" t="s">
        <v>257</v>
      </c>
      <c r="B30" s="196" t="s">
        <v>322</v>
      </c>
      <c r="C30" s="197"/>
      <c r="D30" s="197"/>
      <c r="E30" s="196"/>
      <c r="F30" s="200">
        <f aca="true" t="shared" si="0" ref="F30:G32">F31</f>
        <v>0</v>
      </c>
      <c r="G30" s="200">
        <f t="shared" si="0"/>
        <v>30</v>
      </c>
      <c r="H30" s="200">
        <v>0</v>
      </c>
    </row>
    <row r="31" spans="1:8" ht="63">
      <c r="A31" s="211" t="s">
        <v>258</v>
      </c>
      <c r="B31" s="193" t="s">
        <v>323</v>
      </c>
      <c r="C31" s="198"/>
      <c r="D31" s="198"/>
      <c r="E31" s="193"/>
      <c r="F31" s="199">
        <f t="shared" si="0"/>
        <v>0</v>
      </c>
      <c r="G31" s="199">
        <f t="shared" si="0"/>
        <v>30</v>
      </c>
      <c r="H31" s="199">
        <v>0</v>
      </c>
    </row>
    <row r="32" spans="1:8" ht="47.25">
      <c r="A32" s="211" t="s">
        <v>260</v>
      </c>
      <c r="B32" s="193" t="s">
        <v>261</v>
      </c>
      <c r="C32" s="198"/>
      <c r="D32" s="198"/>
      <c r="E32" s="193"/>
      <c r="F32" s="199">
        <f t="shared" si="0"/>
        <v>0</v>
      </c>
      <c r="G32" s="199">
        <f t="shared" si="0"/>
        <v>30</v>
      </c>
      <c r="H32" s="199">
        <v>0</v>
      </c>
    </row>
    <row r="33" spans="1:8" ht="47.25">
      <c r="A33" s="211" t="s">
        <v>636</v>
      </c>
      <c r="B33" s="193" t="s">
        <v>261</v>
      </c>
      <c r="C33" s="198" t="s">
        <v>646</v>
      </c>
      <c r="D33" s="198" t="s">
        <v>360</v>
      </c>
      <c r="E33" s="193">
        <v>240</v>
      </c>
      <c r="F33" s="199">
        <f>'Приложение 4'!Q40</f>
        <v>0</v>
      </c>
      <c r="G33" s="199">
        <v>30</v>
      </c>
      <c r="H33" s="199">
        <v>0</v>
      </c>
    </row>
    <row r="34" spans="1:8" s="205" customFormat="1" ht="110.25">
      <c r="A34" s="210" t="s">
        <v>728</v>
      </c>
      <c r="B34" s="196" t="s">
        <v>251</v>
      </c>
      <c r="C34" s="197"/>
      <c r="D34" s="197"/>
      <c r="E34" s="196"/>
      <c r="F34" s="200">
        <f>F36+F38</f>
        <v>1673.9</v>
      </c>
      <c r="G34" s="200" t="e">
        <f>G35</f>
        <v>#REF!</v>
      </c>
      <c r="H34" s="200" t="e">
        <f>H35</f>
        <v>#REF!</v>
      </c>
    </row>
    <row r="35" spans="1:8" s="205" customFormat="1" ht="63">
      <c r="A35" s="219" t="s">
        <v>94</v>
      </c>
      <c r="B35" s="220" t="s">
        <v>95</v>
      </c>
      <c r="C35" s="197"/>
      <c r="D35" s="197"/>
      <c r="E35" s="196"/>
      <c r="F35" s="200"/>
      <c r="G35" s="222" t="e">
        <f>G36+G38</f>
        <v>#REF!</v>
      </c>
      <c r="H35" s="222" t="e">
        <f>H36+H38</f>
        <v>#REF!</v>
      </c>
    </row>
    <row r="36" spans="1:8" ht="63">
      <c r="A36" s="219" t="s">
        <v>723</v>
      </c>
      <c r="B36" s="220" t="s">
        <v>734</v>
      </c>
      <c r="C36" s="221"/>
      <c r="D36" s="221"/>
      <c r="E36" s="220"/>
      <c r="F36" s="222">
        <f>F37</f>
        <v>1673.9</v>
      </c>
      <c r="G36" s="222" t="e">
        <f>G37</f>
        <v>#REF!</v>
      </c>
      <c r="H36" s="222" t="e">
        <f>H37</f>
        <v>#REF!</v>
      </c>
    </row>
    <row r="37" spans="1:8" ht="15.75">
      <c r="A37" s="219" t="s">
        <v>484</v>
      </c>
      <c r="B37" s="220" t="s">
        <v>734</v>
      </c>
      <c r="C37" s="221" t="s">
        <v>646</v>
      </c>
      <c r="D37" s="221" t="s">
        <v>370</v>
      </c>
      <c r="E37" s="220">
        <v>410</v>
      </c>
      <c r="F37" s="222">
        <f>'Приложение 4'!Q195</f>
        <v>1673.9</v>
      </c>
      <c r="G37" s="222" t="e">
        <f>#REF!</f>
        <v>#REF!</v>
      </c>
      <c r="H37" s="222" t="e">
        <f>#REF!</f>
        <v>#REF!</v>
      </c>
    </row>
    <row r="38" spans="1:8" ht="63">
      <c r="A38" s="219" t="s">
        <v>737</v>
      </c>
      <c r="B38" s="220" t="s">
        <v>738</v>
      </c>
      <c r="C38" s="221"/>
      <c r="D38" s="221"/>
      <c r="E38" s="220"/>
      <c r="F38" s="222">
        <f>F39</f>
        <v>0</v>
      </c>
      <c r="G38" s="222" t="e">
        <f>G39</f>
        <v>#REF!</v>
      </c>
      <c r="H38" s="222" t="e">
        <f>H39</f>
        <v>#REF!</v>
      </c>
    </row>
    <row r="39" spans="1:8" ht="15.75">
      <c r="A39" s="219" t="s">
        <v>484</v>
      </c>
      <c r="B39" s="220" t="s">
        <v>738</v>
      </c>
      <c r="C39" s="221" t="s">
        <v>646</v>
      </c>
      <c r="D39" s="221" t="s">
        <v>370</v>
      </c>
      <c r="E39" s="220">
        <v>410</v>
      </c>
      <c r="F39" s="222">
        <f>'Приложение 4'!Q198</f>
        <v>0</v>
      </c>
      <c r="G39" s="222" t="e">
        <f>#REF!</f>
        <v>#REF!</v>
      </c>
      <c r="H39" s="222" t="e">
        <f>#REF!</f>
        <v>#REF!</v>
      </c>
    </row>
    <row r="40" spans="1:8" s="205" customFormat="1" ht="78.75">
      <c r="A40" s="210" t="s">
        <v>621</v>
      </c>
      <c r="B40" s="196" t="s">
        <v>371</v>
      </c>
      <c r="C40" s="197"/>
      <c r="D40" s="197"/>
      <c r="E40" s="196"/>
      <c r="F40" s="200">
        <f>F41+F44+F49+F54+F62</f>
        <v>128.2</v>
      </c>
      <c r="G40" s="200" t="e">
        <f>G41+G44+G49+G54+G62</f>
        <v>#REF!</v>
      </c>
      <c r="H40" s="200" t="e">
        <f>H41+H44+H49+H54+H62</f>
        <v>#REF!</v>
      </c>
    </row>
    <row r="41" spans="1:8" ht="78.75">
      <c r="A41" s="219" t="s">
        <v>439</v>
      </c>
      <c r="B41" s="220" t="s">
        <v>372</v>
      </c>
      <c r="C41" s="221"/>
      <c r="D41" s="221"/>
      <c r="E41" s="220"/>
      <c r="F41" s="222">
        <f aca="true" t="shared" si="1" ref="F41:H42">F42</f>
        <v>0</v>
      </c>
      <c r="G41" s="222" t="e">
        <f t="shared" si="1"/>
        <v>#REF!</v>
      </c>
      <c r="H41" s="222" t="e">
        <f t="shared" si="1"/>
        <v>#REF!</v>
      </c>
    </row>
    <row r="42" spans="1:8" ht="94.5">
      <c r="A42" s="219" t="s">
        <v>460</v>
      </c>
      <c r="B42" s="220" t="s">
        <v>373</v>
      </c>
      <c r="C42" s="221"/>
      <c r="D42" s="221"/>
      <c r="E42" s="220"/>
      <c r="F42" s="222">
        <f t="shared" si="1"/>
        <v>0</v>
      </c>
      <c r="G42" s="222" t="e">
        <f t="shared" si="1"/>
        <v>#REF!</v>
      </c>
      <c r="H42" s="222" t="e">
        <f t="shared" si="1"/>
        <v>#REF!</v>
      </c>
    </row>
    <row r="43" spans="1:8" ht="47.25">
      <c r="A43" s="219" t="s">
        <v>636</v>
      </c>
      <c r="B43" s="220" t="s">
        <v>373</v>
      </c>
      <c r="C43" s="221" t="s">
        <v>647</v>
      </c>
      <c r="D43" s="221" t="s">
        <v>356</v>
      </c>
      <c r="E43" s="220">
        <v>240</v>
      </c>
      <c r="F43" s="222">
        <f>'Приложение 4'!Q627</f>
        <v>0</v>
      </c>
      <c r="G43" s="222" t="e">
        <f>#REF!</f>
        <v>#REF!</v>
      </c>
      <c r="H43" s="222" t="e">
        <f>#REF!</f>
        <v>#REF!</v>
      </c>
    </row>
    <row r="44" spans="1:8" ht="63">
      <c r="A44" s="219" t="s">
        <v>292</v>
      </c>
      <c r="B44" s="220" t="s">
        <v>374</v>
      </c>
      <c r="C44" s="221"/>
      <c r="D44" s="221"/>
      <c r="E44" s="220"/>
      <c r="F44" s="222">
        <f>F45+F47</f>
        <v>0</v>
      </c>
      <c r="G44" s="222" t="e">
        <f>G45+G47</f>
        <v>#REF!</v>
      </c>
      <c r="H44" s="222" t="e">
        <f>H45+H47</f>
        <v>#REF!</v>
      </c>
    </row>
    <row r="45" spans="1:8" ht="15.75">
      <c r="A45" s="219" t="s">
        <v>299</v>
      </c>
      <c r="B45" s="220" t="s">
        <v>375</v>
      </c>
      <c r="C45" s="221"/>
      <c r="D45" s="221"/>
      <c r="E45" s="220"/>
      <c r="F45" s="222">
        <f>F46</f>
        <v>0</v>
      </c>
      <c r="G45" s="222" t="e">
        <f>G46</f>
        <v>#REF!</v>
      </c>
      <c r="H45" s="222" t="e">
        <f>H46</f>
        <v>#REF!</v>
      </c>
    </row>
    <row r="46" spans="1:8" ht="15.75">
      <c r="A46" s="219" t="s">
        <v>638</v>
      </c>
      <c r="B46" s="220" t="s">
        <v>375</v>
      </c>
      <c r="C46" s="221" t="s">
        <v>647</v>
      </c>
      <c r="D46" s="221" t="s">
        <v>355</v>
      </c>
      <c r="E46" s="220">
        <v>610</v>
      </c>
      <c r="F46" s="222">
        <f>'Приложение 4'!Q487</f>
        <v>0</v>
      </c>
      <c r="G46" s="222" t="e">
        <f>#REF!</f>
        <v>#REF!</v>
      </c>
      <c r="H46" s="222" t="e">
        <f>#REF!</f>
        <v>#REF!</v>
      </c>
    </row>
    <row r="47" spans="1:8" ht="31.5">
      <c r="A47" s="219" t="s">
        <v>302</v>
      </c>
      <c r="B47" s="220" t="s">
        <v>376</v>
      </c>
      <c r="C47" s="221"/>
      <c r="D47" s="221"/>
      <c r="E47" s="220"/>
      <c r="F47" s="222">
        <f>F48</f>
        <v>0</v>
      </c>
      <c r="G47" s="222" t="e">
        <f>G48</f>
        <v>#REF!</v>
      </c>
      <c r="H47" s="222" t="e">
        <f>H48</f>
        <v>#REF!</v>
      </c>
    </row>
    <row r="48" spans="1:8" ht="15.75">
      <c r="A48" s="219" t="s">
        <v>638</v>
      </c>
      <c r="B48" s="220" t="s">
        <v>376</v>
      </c>
      <c r="C48" s="221" t="s">
        <v>647</v>
      </c>
      <c r="D48" s="221" t="s">
        <v>358</v>
      </c>
      <c r="E48" s="220">
        <v>610</v>
      </c>
      <c r="F48" s="222">
        <f>'Приложение 4'!Q541</f>
        <v>0</v>
      </c>
      <c r="G48" s="222" t="e">
        <f>#REF!</f>
        <v>#REF!</v>
      </c>
      <c r="H48" s="222" t="e">
        <f>#REF!</f>
        <v>#REF!</v>
      </c>
    </row>
    <row r="49" spans="1:8" ht="47.25">
      <c r="A49" s="219" t="s">
        <v>288</v>
      </c>
      <c r="B49" s="220" t="s">
        <v>377</v>
      </c>
      <c r="C49" s="221"/>
      <c r="D49" s="221"/>
      <c r="E49" s="220"/>
      <c r="F49" s="222">
        <f>F50+F52</f>
        <v>0</v>
      </c>
      <c r="G49" s="222" t="e">
        <f>G50+G52</f>
        <v>#REF!</v>
      </c>
      <c r="H49" s="222" t="e">
        <f>H50+H52</f>
        <v>#REF!</v>
      </c>
    </row>
    <row r="50" spans="1:8" ht="15.75">
      <c r="A50" s="219" t="s">
        <v>299</v>
      </c>
      <c r="B50" s="220" t="s">
        <v>378</v>
      </c>
      <c r="C50" s="221"/>
      <c r="D50" s="221"/>
      <c r="E50" s="220"/>
      <c r="F50" s="222">
        <f>F51</f>
        <v>0</v>
      </c>
      <c r="G50" s="222" t="e">
        <f>G51</f>
        <v>#REF!</v>
      </c>
      <c r="H50" s="222" t="e">
        <f>H51</f>
        <v>#REF!</v>
      </c>
    </row>
    <row r="51" spans="1:8" ht="15.75">
      <c r="A51" s="219" t="s">
        <v>638</v>
      </c>
      <c r="B51" s="220" t="s">
        <v>378</v>
      </c>
      <c r="C51" s="221" t="s">
        <v>647</v>
      </c>
      <c r="D51" s="221" t="s">
        <v>355</v>
      </c>
      <c r="E51" s="220">
        <v>610</v>
      </c>
      <c r="F51" s="222">
        <f>'Приложение 4'!Q490</f>
        <v>0</v>
      </c>
      <c r="G51" s="222" t="e">
        <f>#REF!</f>
        <v>#REF!</v>
      </c>
      <c r="H51" s="222" t="e">
        <f>#REF!</f>
        <v>#REF!</v>
      </c>
    </row>
    <row r="52" spans="1:8" ht="31.5">
      <c r="A52" s="219" t="s">
        <v>302</v>
      </c>
      <c r="B52" s="220" t="s">
        <v>379</v>
      </c>
      <c r="C52" s="221"/>
      <c r="D52" s="221"/>
      <c r="E52" s="220"/>
      <c r="F52" s="222">
        <f>F53</f>
        <v>0</v>
      </c>
      <c r="G52" s="222" t="e">
        <f>G53</f>
        <v>#REF!</v>
      </c>
      <c r="H52" s="222" t="e">
        <f>H53</f>
        <v>#REF!</v>
      </c>
    </row>
    <row r="53" spans="1:8" ht="15.75">
      <c r="A53" s="219" t="s">
        <v>638</v>
      </c>
      <c r="B53" s="220" t="s">
        <v>379</v>
      </c>
      <c r="C53" s="221" t="s">
        <v>647</v>
      </c>
      <c r="D53" s="221" t="s">
        <v>358</v>
      </c>
      <c r="E53" s="220">
        <v>610</v>
      </c>
      <c r="F53" s="222">
        <f>'Приложение 4'!Q544</f>
        <v>0</v>
      </c>
      <c r="G53" s="222" t="e">
        <f>#REF!</f>
        <v>#REF!</v>
      </c>
      <c r="H53" s="222" t="e">
        <f>#REF!</f>
        <v>#REF!</v>
      </c>
    </row>
    <row r="54" spans="1:8" ht="94.5">
      <c r="A54" s="219" t="s">
        <v>620</v>
      </c>
      <c r="B54" s="220" t="s">
        <v>380</v>
      </c>
      <c r="C54" s="221"/>
      <c r="D54" s="221"/>
      <c r="E54" s="220"/>
      <c r="F54" s="222">
        <f>F55+F57+F59</f>
        <v>0</v>
      </c>
      <c r="G54" s="222" t="e">
        <f>G55+G57+G59</f>
        <v>#REF!</v>
      </c>
      <c r="H54" s="222" t="e">
        <f>H55+H57+H59</f>
        <v>#REF!</v>
      </c>
    </row>
    <row r="55" spans="1:8" ht="15.75">
      <c r="A55" s="219" t="s">
        <v>299</v>
      </c>
      <c r="B55" s="220" t="s">
        <v>381</v>
      </c>
      <c r="C55" s="221"/>
      <c r="D55" s="221"/>
      <c r="E55" s="220"/>
      <c r="F55" s="222">
        <f>F56</f>
        <v>0</v>
      </c>
      <c r="G55" s="222" t="e">
        <f>G56</f>
        <v>#REF!</v>
      </c>
      <c r="H55" s="222" t="e">
        <f>H56</f>
        <v>#REF!</v>
      </c>
    </row>
    <row r="56" spans="1:8" ht="15.75">
      <c r="A56" s="219" t="s">
        <v>638</v>
      </c>
      <c r="B56" s="220" t="s">
        <v>381</v>
      </c>
      <c r="C56" s="221" t="s">
        <v>647</v>
      </c>
      <c r="D56" s="221" t="s">
        <v>355</v>
      </c>
      <c r="E56" s="220">
        <v>610</v>
      </c>
      <c r="F56" s="222">
        <f>'Приложение 4'!Q493</f>
        <v>0</v>
      </c>
      <c r="G56" s="222" t="e">
        <f>#REF!</f>
        <v>#REF!</v>
      </c>
      <c r="H56" s="222" t="e">
        <f>#REF!</f>
        <v>#REF!</v>
      </c>
    </row>
    <row r="57" spans="1:8" ht="31.5">
      <c r="A57" s="219" t="s">
        <v>302</v>
      </c>
      <c r="B57" s="220" t="s">
        <v>382</v>
      </c>
      <c r="C57" s="221"/>
      <c r="D57" s="221"/>
      <c r="E57" s="220"/>
      <c r="F57" s="222">
        <f>F58</f>
        <v>0</v>
      </c>
      <c r="G57" s="222" t="e">
        <f>G58</f>
        <v>#REF!</v>
      </c>
      <c r="H57" s="222" t="e">
        <f>H58</f>
        <v>#REF!</v>
      </c>
    </row>
    <row r="58" spans="1:8" ht="15.75">
      <c r="A58" s="219" t="s">
        <v>638</v>
      </c>
      <c r="B58" s="220" t="s">
        <v>382</v>
      </c>
      <c r="C58" s="221" t="s">
        <v>647</v>
      </c>
      <c r="D58" s="221" t="s">
        <v>358</v>
      </c>
      <c r="E58" s="220">
        <v>610</v>
      </c>
      <c r="F58" s="222">
        <f>'Приложение 4'!Q547</f>
        <v>0</v>
      </c>
      <c r="G58" s="222" t="e">
        <f>#REF!</f>
        <v>#REF!</v>
      </c>
      <c r="H58" s="222" t="e">
        <f>#REF!</f>
        <v>#REF!</v>
      </c>
    </row>
    <row r="59" spans="1:8" ht="94.5">
      <c r="A59" s="219" t="s">
        <v>460</v>
      </c>
      <c r="B59" s="220" t="s">
        <v>383</v>
      </c>
      <c r="C59" s="221"/>
      <c r="D59" s="221"/>
      <c r="E59" s="220"/>
      <c r="F59" s="222">
        <f>SUM(F60:F61)</f>
        <v>0</v>
      </c>
      <c r="G59" s="222" t="e">
        <f>SUM(G60:G61)</f>
        <v>#REF!</v>
      </c>
      <c r="H59" s="222" t="e">
        <f>SUM(H60:H61)</f>
        <v>#REF!</v>
      </c>
    </row>
    <row r="60" spans="1:8" ht="47.25">
      <c r="A60" s="219" t="s">
        <v>636</v>
      </c>
      <c r="B60" s="220" t="s">
        <v>383</v>
      </c>
      <c r="C60" s="221" t="s">
        <v>647</v>
      </c>
      <c r="D60" s="221" t="s">
        <v>356</v>
      </c>
      <c r="E60" s="220">
        <v>240</v>
      </c>
      <c r="F60" s="222">
        <f>'Приложение 4'!Q630</f>
        <v>0</v>
      </c>
      <c r="G60" s="222" t="e">
        <f>#REF!</f>
        <v>#REF!</v>
      </c>
      <c r="H60" s="222" t="e">
        <f>#REF!</f>
        <v>#REF!</v>
      </c>
    </row>
    <row r="61" spans="1:8" ht="47.25">
      <c r="A61" s="219" t="s">
        <v>641</v>
      </c>
      <c r="B61" s="220" t="s">
        <v>383</v>
      </c>
      <c r="C61" s="221" t="s">
        <v>647</v>
      </c>
      <c r="D61" s="221" t="s">
        <v>356</v>
      </c>
      <c r="E61" s="220">
        <v>320</v>
      </c>
      <c r="F61" s="222">
        <f>'Приложение 4'!Q631</f>
        <v>0</v>
      </c>
      <c r="G61" s="222" t="e">
        <f>#REF!</f>
        <v>#REF!</v>
      </c>
      <c r="H61" s="222" t="e">
        <f>#REF!</f>
        <v>#REF!</v>
      </c>
    </row>
    <row r="62" spans="1:8" ht="78.75">
      <c r="A62" s="219" t="s">
        <v>221</v>
      </c>
      <c r="B62" s="220" t="s">
        <v>384</v>
      </c>
      <c r="C62" s="221"/>
      <c r="D62" s="221"/>
      <c r="E62" s="220"/>
      <c r="F62" s="222">
        <f>F63+F65</f>
        <v>128.2</v>
      </c>
      <c r="G62" s="222" t="e">
        <f>G63+G65</f>
        <v>#REF!</v>
      </c>
      <c r="H62" s="222" t="e">
        <f>H63+H65</f>
        <v>#REF!</v>
      </c>
    </row>
    <row r="63" spans="1:8" ht="31.5">
      <c r="A63" s="219" t="s">
        <v>302</v>
      </c>
      <c r="B63" s="220" t="s">
        <v>385</v>
      </c>
      <c r="C63" s="221"/>
      <c r="D63" s="221"/>
      <c r="E63" s="220"/>
      <c r="F63" s="222">
        <f>F64</f>
        <v>57.8</v>
      </c>
      <c r="G63" s="222" t="e">
        <f>G64</f>
        <v>#REF!</v>
      </c>
      <c r="H63" s="222" t="e">
        <f>H64</f>
        <v>#REF!</v>
      </c>
    </row>
    <row r="64" spans="1:8" ht="15.75">
      <c r="A64" s="219" t="s">
        <v>638</v>
      </c>
      <c r="B64" s="220" t="s">
        <v>385</v>
      </c>
      <c r="C64" s="221" t="s">
        <v>647</v>
      </c>
      <c r="D64" s="221" t="s">
        <v>358</v>
      </c>
      <c r="E64" s="220">
        <v>610</v>
      </c>
      <c r="F64" s="222">
        <f>'Приложение 4'!Q550</f>
        <v>57.8</v>
      </c>
      <c r="G64" s="222" t="e">
        <f>#REF!</f>
        <v>#REF!</v>
      </c>
      <c r="H64" s="222" t="e">
        <f>#REF!</f>
        <v>#REF!</v>
      </c>
    </row>
    <row r="65" spans="1:8" ht="94.5">
      <c r="A65" s="219" t="s">
        <v>460</v>
      </c>
      <c r="B65" s="220" t="s">
        <v>386</v>
      </c>
      <c r="C65" s="221"/>
      <c r="D65" s="221"/>
      <c r="E65" s="220"/>
      <c r="F65" s="222">
        <f>F66</f>
        <v>70.4</v>
      </c>
      <c r="G65" s="222" t="e">
        <f>G66</f>
        <v>#REF!</v>
      </c>
      <c r="H65" s="222" t="e">
        <f>H66</f>
        <v>#REF!</v>
      </c>
    </row>
    <row r="66" spans="1:8" ht="47.25">
      <c r="A66" s="219" t="s">
        <v>641</v>
      </c>
      <c r="B66" s="220" t="s">
        <v>386</v>
      </c>
      <c r="C66" s="221" t="s">
        <v>647</v>
      </c>
      <c r="D66" s="221" t="s">
        <v>356</v>
      </c>
      <c r="E66" s="220">
        <v>320</v>
      </c>
      <c r="F66" s="222">
        <f>'Приложение 4'!Q634</f>
        <v>70.4</v>
      </c>
      <c r="G66" s="222" t="e">
        <f>#REF!</f>
        <v>#REF!</v>
      </c>
      <c r="H66" s="222" t="e">
        <f>#REF!</f>
        <v>#REF!</v>
      </c>
    </row>
    <row r="67" spans="1:8" s="205" customFormat="1" ht="63">
      <c r="A67" s="210" t="s">
        <v>617</v>
      </c>
      <c r="B67" s="196" t="s">
        <v>387</v>
      </c>
      <c r="C67" s="197"/>
      <c r="D67" s="197"/>
      <c r="E67" s="196"/>
      <c r="F67" s="200">
        <f>F68</f>
        <v>6781.100000000001</v>
      </c>
      <c r="G67" s="200" t="e">
        <f>G68+G73</f>
        <v>#REF!</v>
      </c>
      <c r="H67" s="200" t="e">
        <f>H68</f>
        <v>#REF!</v>
      </c>
    </row>
    <row r="68" spans="1:8" ht="31.5">
      <c r="A68" s="219" t="s">
        <v>283</v>
      </c>
      <c r="B68" s="220" t="s">
        <v>388</v>
      </c>
      <c r="C68" s="221"/>
      <c r="D68" s="221"/>
      <c r="E68" s="220"/>
      <c r="F68" s="222">
        <f>F69</f>
        <v>6781.100000000001</v>
      </c>
      <c r="G68" s="222" t="e">
        <f>G69+G71</f>
        <v>#REF!</v>
      </c>
      <c r="H68" s="222" t="e">
        <f>H69+H71</f>
        <v>#REF!</v>
      </c>
    </row>
    <row r="69" spans="1:8" ht="31.5">
      <c r="A69" s="219" t="s">
        <v>282</v>
      </c>
      <c r="B69" s="220" t="s">
        <v>389</v>
      </c>
      <c r="C69" s="221"/>
      <c r="D69" s="221"/>
      <c r="E69" s="220"/>
      <c r="F69" s="222">
        <f>F70</f>
        <v>6781.100000000001</v>
      </c>
      <c r="G69" s="222" t="e">
        <f>G70</f>
        <v>#REF!</v>
      </c>
      <c r="H69" s="222" t="e">
        <f>H70</f>
        <v>#REF!</v>
      </c>
    </row>
    <row r="70" spans="1:8" ht="15.75">
      <c r="A70" s="219" t="s">
        <v>638</v>
      </c>
      <c r="B70" s="220" t="s">
        <v>389</v>
      </c>
      <c r="C70" s="221" t="s">
        <v>646</v>
      </c>
      <c r="D70" s="221" t="s">
        <v>390</v>
      </c>
      <c r="E70" s="220">
        <v>610</v>
      </c>
      <c r="F70" s="222">
        <f>'Приложение 4'!Q328</f>
        <v>6781.100000000001</v>
      </c>
      <c r="G70" s="222" t="e">
        <f>#REF!</f>
        <v>#REF!</v>
      </c>
      <c r="H70" s="222" t="e">
        <f>#REF!</f>
        <v>#REF!</v>
      </c>
    </row>
    <row r="71" spans="1:8" ht="78.75">
      <c r="A71" s="9" t="s">
        <v>50</v>
      </c>
      <c r="B71" s="220" t="s">
        <v>56</v>
      </c>
      <c r="C71" s="198"/>
      <c r="D71" s="198"/>
      <c r="E71" s="193"/>
      <c r="F71" s="222"/>
      <c r="G71" s="222" t="e">
        <f>G72</f>
        <v>#REF!</v>
      </c>
      <c r="H71" s="222" t="e">
        <f>H72</f>
        <v>#REF!</v>
      </c>
    </row>
    <row r="72" spans="1:8" ht="15.75">
      <c r="A72" s="9" t="s">
        <v>638</v>
      </c>
      <c r="B72" s="220" t="s">
        <v>56</v>
      </c>
      <c r="C72" s="221" t="s">
        <v>646</v>
      </c>
      <c r="D72" s="221" t="s">
        <v>390</v>
      </c>
      <c r="E72" s="193">
        <v>610</v>
      </c>
      <c r="F72" s="222"/>
      <c r="G72" s="222" t="e">
        <f>#REF!</f>
        <v>#REF!</v>
      </c>
      <c r="H72" s="222" t="e">
        <f>#REF!</f>
        <v>#REF!</v>
      </c>
    </row>
    <row r="73" spans="1:8" ht="63">
      <c r="A73" s="219" t="s">
        <v>619</v>
      </c>
      <c r="B73" s="220" t="s">
        <v>391</v>
      </c>
      <c r="C73" s="221"/>
      <c r="D73" s="221"/>
      <c r="E73" s="220"/>
      <c r="F73" s="222"/>
      <c r="G73" s="222" t="e">
        <f>G74</f>
        <v>#REF!</v>
      </c>
      <c r="H73" s="222">
        <v>0</v>
      </c>
    </row>
    <row r="74" spans="1:8" ht="15.75">
      <c r="A74" s="219" t="s">
        <v>638</v>
      </c>
      <c r="B74" s="220" t="s">
        <v>391</v>
      </c>
      <c r="C74" s="221" t="s">
        <v>646</v>
      </c>
      <c r="D74" s="221" t="s">
        <v>390</v>
      </c>
      <c r="E74" s="220">
        <v>610</v>
      </c>
      <c r="F74" s="222"/>
      <c r="G74" s="222" t="e">
        <f>#REF!</f>
        <v>#REF!</v>
      </c>
      <c r="H74" s="222">
        <v>0</v>
      </c>
    </row>
    <row r="75" spans="1:8" s="205" customFormat="1" ht="63">
      <c r="A75" s="210" t="s">
        <v>344</v>
      </c>
      <c r="B75" s="196" t="s">
        <v>392</v>
      </c>
      <c r="C75" s="197"/>
      <c r="D75" s="197"/>
      <c r="E75" s="196"/>
      <c r="F75" s="200"/>
      <c r="G75" s="200" t="e">
        <f>G76+G79+G84</f>
        <v>#REF!</v>
      </c>
      <c r="H75" s="200" t="e">
        <f>H76+H79+H84</f>
        <v>#REF!</v>
      </c>
    </row>
    <row r="76" spans="1:8" ht="94.5">
      <c r="A76" s="219" t="s">
        <v>315</v>
      </c>
      <c r="B76" s="220" t="s">
        <v>393</v>
      </c>
      <c r="C76" s="221"/>
      <c r="D76" s="221"/>
      <c r="E76" s="220"/>
      <c r="F76" s="222"/>
      <c r="G76" s="222" t="e">
        <f>G77</f>
        <v>#REF!</v>
      </c>
      <c r="H76" s="222" t="e">
        <f>H77</f>
        <v>#REF!</v>
      </c>
    </row>
    <row r="77" spans="1:8" ht="15.75">
      <c r="A77" s="219" t="s">
        <v>230</v>
      </c>
      <c r="B77" s="220" t="s">
        <v>394</v>
      </c>
      <c r="C77" s="221"/>
      <c r="D77" s="221"/>
      <c r="E77" s="220"/>
      <c r="F77" s="222"/>
      <c r="G77" s="222" t="e">
        <f>G78</f>
        <v>#REF!</v>
      </c>
      <c r="H77" s="222" t="e">
        <f>H78</f>
        <v>#REF!</v>
      </c>
    </row>
    <row r="78" spans="1:8" ht="15.75">
      <c r="A78" s="219" t="s">
        <v>638</v>
      </c>
      <c r="B78" s="220" t="s">
        <v>394</v>
      </c>
      <c r="C78" s="221" t="s">
        <v>646</v>
      </c>
      <c r="D78" s="221" t="s">
        <v>360</v>
      </c>
      <c r="E78" s="220">
        <v>610</v>
      </c>
      <c r="F78" s="222"/>
      <c r="G78" s="222" t="e">
        <f>#REF!</f>
        <v>#REF!</v>
      </c>
      <c r="H78" s="222" t="e">
        <f>#REF!</f>
        <v>#REF!</v>
      </c>
    </row>
    <row r="79" spans="1:8" ht="47.25">
      <c r="A79" s="219" t="s">
        <v>595</v>
      </c>
      <c r="B79" s="220" t="s">
        <v>395</v>
      </c>
      <c r="C79" s="221"/>
      <c r="D79" s="221"/>
      <c r="E79" s="220"/>
      <c r="F79" s="222"/>
      <c r="G79" s="222" t="e">
        <f>G80+G82</f>
        <v>#REF!</v>
      </c>
      <c r="H79" s="222" t="e">
        <f>H80+H82</f>
        <v>#REF!</v>
      </c>
    </row>
    <row r="80" spans="1:8" ht="15.75">
      <c r="A80" s="219" t="s">
        <v>230</v>
      </c>
      <c r="B80" s="220" t="s">
        <v>396</v>
      </c>
      <c r="C80" s="221"/>
      <c r="D80" s="221"/>
      <c r="E80" s="220"/>
      <c r="F80" s="222"/>
      <c r="G80" s="222" t="e">
        <f>G81</f>
        <v>#REF!</v>
      </c>
      <c r="H80" s="222" t="e">
        <f>H81</f>
        <v>#REF!</v>
      </c>
    </row>
    <row r="81" spans="1:8" ht="15.75">
      <c r="A81" s="219" t="s">
        <v>638</v>
      </c>
      <c r="B81" s="220" t="s">
        <v>396</v>
      </c>
      <c r="C81" s="221" t="s">
        <v>646</v>
      </c>
      <c r="D81" s="221" t="s">
        <v>360</v>
      </c>
      <c r="E81" s="220">
        <v>610</v>
      </c>
      <c r="F81" s="222"/>
      <c r="G81" s="222" t="e">
        <f>#REF!</f>
        <v>#REF!</v>
      </c>
      <c r="H81" s="222" t="e">
        <f>#REF!</f>
        <v>#REF!</v>
      </c>
    </row>
    <row r="82" spans="1:8" ht="78.75">
      <c r="A82" s="3" t="s">
        <v>50</v>
      </c>
      <c r="B82" s="220" t="s">
        <v>52</v>
      </c>
      <c r="C82" s="221"/>
      <c r="D82" s="221"/>
      <c r="E82" s="220"/>
      <c r="F82" s="222"/>
      <c r="G82" s="222" t="e">
        <f>G83</f>
        <v>#REF!</v>
      </c>
      <c r="H82" s="222" t="e">
        <f>H83</f>
        <v>#REF!</v>
      </c>
    </row>
    <row r="83" spans="1:8" ht="15.75">
      <c r="A83" s="3" t="s">
        <v>638</v>
      </c>
      <c r="B83" s="220" t="s">
        <v>52</v>
      </c>
      <c r="C83" s="221" t="s">
        <v>646</v>
      </c>
      <c r="D83" s="221" t="s">
        <v>360</v>
      </c>
      <c r="E83" s="220">
        <v>610</v>
      </c>
      <c r="F83" s="222"/>
      <c r="G83" s="222" t="e">
        <f>#REF!</f>
        <v>#REF!</v>
      </c>
      <c r="H83" s="222" t="e">
        <f>#REF!</f>
        <v>#REF!</v>
      </c>
    </row>
    <row r="84" spans="1:8" ht="63">
      <c r="A84" s="219" t="s">
        <v>254</v>
      </c>
      <c r="B84" s="220" t="s">
        <v>397</v>
      </c>
      <c r="C84" s="221"/>
      <c r="D84" s="221"/>
      <c r="E84" s="220"/>
      <c r="F84" s="222"/>
      <c r="G84" s="222" t="e">
        <f>G85</f>
        <v>#REF!</v>
      </c>
      <c r="H84" s="222" t="e">
        <f>H85</f>
        <v>#REF!</v>
      </c>
    </row>
    <row r="85" spans="1:8" ht="15.75">
      <c r="A85" s="219" t="s">
        <v>230</v>
      </c>
      <c r="B85" s="220" t="s">
        <v>398</v>
      </c>
      <c r="C85" s="221"/>
      <c r="D85" s="221"/>
      <c r="E85" s="220"/>
      <c r="F85" s="222"/>
      <c r="G85" s="222" t="e">
        <f>G86</f>
        <v>#REF!</v>
      </c>
      <c r="H85" s="222" t="e">
        <f>H86</f>
        <v>#REF!</v>
      </c>
    </row>
    <row r="86" spans="1:8" ht="15.75">
      <c r="A86" s="219" t="s">
        <v>638</v>
      </c>
      <c r="B86" s="220" t="s">
        <v>398</v>
      </c>
      <c r="C86" s="221" t="s">
        <v>646</v>
      </c>
      <c r="D86" s="221" t="s">
        <v>360</v>
      </c>
      <c r="E86" s="220">
        <v>610</v>
      </c>
      <c r="F86" s="222"/>
      <c r="G86" s="222" t="e">
        <f>#REF!</f>
        <v>#REF!</v>
      </c>
      <c r="H86" s="222" t="e">
        <f>#REF!</f>
        <v>#REF!</v>
      </c>
    </row>
    <row r="87" spans="1:8" ht="63">
      <c r="A87" s="210" t="s">
        <v>165</v>
      </c>
      <c r="B87" s="196" t="s">
        <v>166</v>
      </c>
      <c r="C87" s="197"/>
      <c r="D87" s="197"/>
      <c r="E87" s="196"/>
      <c r="F87" s="200">
        <f>F97+F37+F40</f>
        <v>18661.3</v>
      </c>
      <c r="G87" s="200" t="e">
        <f>G96+G88+G93</f>
        <v>#REF!</v>
      </c>
      <c r="H87" s="200" t="e">
        <f>H96+H88+H93</f>
        <v>#REF!</v>
      </c>
    </row>
    <row r="88" spans="1:8" ht="63">
      <c r="A88" s="15" t="s">
        <v>276</v>
      </c>
      <c r="B88" s="220" t="s">
        <v>169</v>
      </c>
      <c r="C88" s="221"/>
      <c r="D88" s="221"/>
      <c r="E88" s="247"/>
      <c r="F88" s="222"/>
      <c r="G88" s="222" t="e">
        <f>G89+G91</f>
        <v>#REF!</v>
      </c>
      <c r="H88" s="222" t="e">
        <f>H89</f>
        <v>#REF!</v>
      </c>
    </row>
    <row r="89" spans="1:8" ht="63">
      <c r="A89" s="78" t="s">
        <v>773</v>
      </c>
      <c r="B89" s="220" t="s">
        <v>170</v>
      </c>
      <c r="C89" s="221"/>
      <c r="D89" s="221"/>
      <c r="E89" s="247"/>
      <c r="F89" s="222"/>
      <c r="G89" s="222" t="e">
        <f>G90</f>
        <v>#REF!</v>
      </c>
      <c r="H89" s="222" t="e">
        <f>H90</f>
        <v>#REF!</v>
      </c>
    </row>
    <row r="90" spans="1:8" ht="47.25">
      <c r="A90" s="78" t="s">
        <v>636</v>
      </c>
      <c r="B90" s="220" t="s">
        <v>170</v>
      </c>
      <c r="C90" s="221" t="s">
        <v>646</v>
      </c>
      <c r="D90" s="221" t="s">
        <v>361</v>
      </c>
      <c r="E90" s="248" t="s">
        <v>171</v>
      </c>
      <c r="F90" s="222"/>
      <c r="G90" s="222" t="e">
        <f>#REF!</f>
        <v>#REF!</v>
      </c>
      <c r="H90" s="222" t="e">
        <f>#REF!</f>
        <v>#REF!</v>
      </c>
    </row>
    <row r="91" spans="1:8" ht="47.25">
      <c r="A91" s="78" t="s">
        <v>768</v>
      </c>
      <c r="B91" s="220" t="s">
        <v>769</v>
      </c>
      <c r="C91" s="221"/>
      <c r="D91" s="221"/>
      <c r="E91" s="248"/>
      <c r="F91" s="222"/>
      <c r="G91" s="222" t="e">
        <f>G92</f>
        <v>#REF!</v>
      </c>
      <c r="H91" s="222">
        <v>0</v>
      </c>
    </row>
    <row r="92" spans="1:8" ht="47.25">
      <c r="A92" s="78" t="s">
        <v>636</v>
      </c>
      <c r="B92" s="220" t="s">
        <v>769</v>
      </c>
      <c r="C92" s="221" t="s">
        <v>646</v>
      </c>
      <c r="D92" s="221" t="s">
        <v>361</v>
      </c>
      <c r="E92" s="248" t="s">
        <v>171</v>
      </c>
      <c r="F92" s="222"/>
      <c r="G92" s="222" t="e">
        <f>#REF!</f>
        <v>#REF!</v>
      </c>
      <c r="H92" s="222">
        <v>0</v>
      </c>
    </row>
    <row r="93" spans="1:8" ht="63">
      <c r="A93" s="78" t="s">
        <v>278</v>
      </c>
      <c r="B93" s="220" t="s">
        <v>172</v>
      </c>
      <c r="C93" s="221"/>
      <c r="D93" s="221"/>
      <c r="E93" s="247"/>
      <c r="F93" s="222"/>
      <c r="G93" s="222" t="e">
        <f>G94</f>
        <v>#REF!</v>
      </c>
      <c r="H93" s="222" t="e">
        <f>H94</f>
        <v>#REF!</v>
      </c>
    </row>
    <row r="94" spans="1:8" ht="15.75">
      <c r="A94" s="78" t="s">
        <v>237</v>
      </c>
      <c r="B94" s="220" t="s">
        <v>173</v>
      </c>
      <c r="C94" s="221"/>
      <c r="D94" s="221"/>
      <c r="E94" s="247"/>
      <c r="F94" s="222"/>
      <c r="G94" s="222" t="e">
        <f>G95</f>
        <v>#REF!</v>
      </c>
      <c r="H94" s="222" t="e">
        <f>H95</f>
        <v>#REF!</v>
      </c>
    </row>
    <row r="95" spans="1:8" ht="47.25">
      <c r="A95" s="78" t="s">
        <v>636</v>
      </c>
      <c r="B95" s="220" t="s">
        <v>173</v>
      </c>
      <c r="C95" s="221" t="s">
        <v>646</v>
      </c>
      <c r="D95" s="221" t="s">
        <v>362</v>
      </c>
      <c r="E95" s="247">
        <v>240</v>
      </c>
      <c r="F95" s="222"/>
      <c r="G95" s="222" t="e">
        <f>#REF!</f>
        <v>#REF!</v>
      </c>
      <c r="H95" s="222" t="e">
        <f>#REF!</f>
        <v>#REF!</v>
      </c>
    </row>
    <row r="96" spans="1:8" ht="63">
      <c r="A96" s="219" t="s">
        <v>96</v>
      </c>
      <c r="B96" s="220" t="s">
        <v>167</v>
      </c>
      <c r="C96" s="221"/>
      <c r="D96" s="221"/>
      <c r="E96" s="220"/>
      <c r="F96" s="222"/>
      <c r="G96" s="222" t="e">
        <f>G97</f>
        <v>#REF!</v>
      </c>
      <c r="H96" s="222" t="e">
        <f>H97</f>
        <v>#REF!</v>
      </c>
    </row>
    <row r="97" spans="1:8" ht="47.25">
      <c r="A97" s="211" t="s">
        <v>599</v>
      </c>
      <c r="B97" s="220" t="s">
        <v>168</v>
      </c>
      <c r="C97" s="198"/>
      <c r="D97" s="198"/>
      <c r="E97" s="193"/>
      <c r="F97" s="199">
        <f>F98</f>
        <v>16859.199999999997</v>
      </c>
      <c r="G97" s="199" t="e">
        <f>G98</f>
        <v>#REF!</v>
      </c>
      <c r="H97" s="199" t="e">
        <f>H98</f>
        <v>#REF!</v>
      </c>
    </row>
    <row r="98" spans="1:8" ht="47.25">
      <c r="A98" s="211" t="s">
        <v>636</v>
      </c>
      <c r="B98" s="220" t="s">
        <v>168</v>
      </c>
      <c r="C98" s="198" t="s">
        <v>646</v>
      </c>
      <c r="D98" s="198" t="s">
        <v>361</v>
      </c>
      <c r="E98" s="193">
        <v>240</v>
      </c>
      <c r="F98" s="199">
        <f>'Приложение 4'!Q62</f>
        <v>16859.199999999997</v>
      </c>
      <c r="G98" s="199" t="e">
        <f>#REF!</f>
        <v>#REF!</v>
      </c>
      <c r="H98" s="199" t="e">
        <f>#REF!</f>
        <v>#REF!</v>
      </c>
    </row>
    <row r="99" spans="1:8" s="205" customFormat="1" ht="78.75">
      <c r="A99" s="210" t="s">
        <v>630</v>
      </c>
      <c r="B99" s="196" t="s">
        <v>399</v>
      </c>
      <c r="C99" s="197"/>
      <c r="D99" s="197"/>
      <c r="E99" s="196"/>
      <c r="F99" s="200"/>
      <c r="G99" s="200" t="e">
        <f>G100+G104+G113</f>
        <v>#REF!</v>
      </c>
      <c r="H99" s="200" t="e">
        <f>H100+H104+H113</f>
        <v>#REF!</v>
      </c>
    </row>
    <row r="100" spans="1:8" ht="63">
      <c r="A100" s="219" t="s">
        <v>345</v>
      </c>
      <c r="B100" s="220" t="s">
        <v>400</v>
      </c>
      <c r="C100" s="221"/>
      <c r="D100" s="221"/>
      <c r="E100" s="220"/>
      <c r="F100" s="222"/>
      <c r="G100" s="222" t="e">
        <f aca="true" t="shared" si="2" ref="G100:H102">G101</f>
        <v>#REF!</v>
      </c>
      <c r="H100" s="222" t="e">
        <f t="shared" si="2"/>
        <v>#REF!</v>
      </c>
    </row>
    <row r="101" spans="1:8" ht="78.75">
      <c r="A101" s="219" t="s">
        <v>28</v>
      </c>
      <c r="B101" s="220" t="s">
        <v>401</v>
      </c>
      <c r="C101" s="221"/>
      <c r="D101" s="221"/>
      <c r="E101" s="220"/>
      <c r="F101" s="222"/>
      <c r="G101" s="222" t="e">
        <f t="shared" si="2"/>
        <v>#REF!</v>
      </c>
      <c r="H101" s="222" t="e">
        <f t="shared" si="2"/>
        <v>#REF!</v>
      </c>
    </row>
    <row r="102" spans="1:8" ht="31.5">
      <c r="A102" s="219" t="s">
        <v>309</v>
      </c>
      <c r="B102" s="220" t="s">
        <v>402</v>
      </c>
      <c r="C102" s="221"/>
      <c r="D102" s="221"/>
      <c r="E102" s="220"/>
      <c r="F102" s="222"/>
      <c r="G102" s="222" t="e">
        <f t="shared" si="2"/>
        <v>#REF!</v>
      </c>
      <c r="H102" s="222" t="e">
        <f t="shared" si="2"/>
        <v>#REF!</v>
      </c>
    </row>
    <row r="103" spans="1:8" ht="47.25">
      <c r="A103" s="219" t="s">
        <v>636</v>
      </c>
      <c r="B103" s="220" t="s">
        <v>402</v>
      </c>
      <c r="C103" s="221" t="s">
        <v>364</v>
      </c>
      <c r="D103" s="221" t="s">
        <v>363</v>
      </c>
      <c r="E103" s="220">
        <v>240</v>
      </c>
      <c r="F103" s="222"/>
      <c r="G103" s="222" t="e">
        <f>#REF!</f>
        <v>#REF!</v>
      </c>
      <c r="H103" s="222" t="e">
        <f>#REF!</f>
        <v>#REF!</v>
      </c>
    </row>
    <row r="104" spans="1:8" ht="78.75">
      <c r="A104" s="219" t="s">
        <v>631</v>
      </c>
      <c r="B104" s="220" t="s">
        <v>403</v>
      </c>
      <c r="C104" s="221"/>
      <c r="D104" s="221"/>
      <c r="E104" s="220"/>
      <c r="F104" s="222"/>
      <c r="G104" s="222" t="e">
        <f>G105+G110</f>
        <v>#REF!</v>
      </c>
      <c r="H104" s="222" t="e">
        <f>H105+H110</f>
        <v>#REF!</v>
      </c>
    </row>
    <row r="105" spans="1:8" ht="47.25">
      <c r="A105" s="219" t="s">
        <v>32</v>
      </c>
      <c r="B105" s="220" t="s">
        <v>404</v>
      </c>
      <c r="C105" s="221"/>
      <c r="D105" s="221"/>
      <c r="E105" s="220"/>
      <c r="F105" s="222"/>
      <c r="G105" s="222" t="e">
        <f>G106+G108</f>
        <v>#REF!</v>
      </c>
      <c r="H105" s="222" t="e">
        <f>H106+H108</f>
        <v>#REF!</v>
      </c>
    </row>
    <row r="106" spans="1:8" ht="141.75">
      <c r="A106" s="219" t="s">
        <v>454</v>
      </c>
      <c r="B106" s="220" t="s">
        <v>405</v>
      </c>
      <c r="C106" s="221"/>
      <c r="D106" s="221"/>
      <c r="E106" s="220"/>
      <c r="F106" s="222"/>
      <c r="G106" s="222" t="e">
        <f>G107</f>
        <v>#REF!</v>
      </c>
      <c r="H106" s="222" t="e">
        <f>H107</f>
        <v>#REF!</v>
      </c>
    </row>
    <row r="107" spans="1:8" ht="15.75">
      <c r="A107" s="219" t="s">
        <v>642</v>
      </c>
      <c r="B107" s="220" t="s">
        <v>405</v>
      </c>
      <c r="C107" s="221" t="s">
        <v>364</v>
      </c>
      <c r="D107" s="221" t="s">
        <v>365</v>
      </c>
      <c r="E107" s="220">
        <v>510</v>
      </c>
      <c r="F107" s="222"/>
      <c r="G107" s="222" t="e">
        <f>#REF!</f>
        <v>#REF!</v>
      </c>
      <c r="H107" s="222" t="e">
        <f>#REF!</f>
        <v>#REF!</v>
      </c>
    </row>
    <row r="108" spans="1:8" ht="31.5">
      <c r="A108" s="219" t="s">
        <v>45</v>
      </c>
      <c r="B108" s="220" t="s">
        <v>75</v>
      </c>
      <c r="C108" s="221"/>
      <c r="D108" s="221"/>
      <c r="E108" s="220"/>
      <c r="F108" s="222"/>
      <c r="G108" s="222" t="e">
        <f>G109</f>
        <v>#REF!</v>
      </c>
      <c r="H108" s="222" t="e">
        <f>H109</f>
        <v>#REF!</v>
      </c>
    </row>
    <row r="109" spans="1:8" ht="15.75">
      <c r="A109" s="219" t="s">
        <v>642</v>
      </c>
      <c r="B109" s="220" t="s">
        <v>75</v>
      </c>
      <c r="C109" s="221" t="s">
        <v>364</v>
      </c>
      <c r="D109" s="221" t="s">
        <v>365</v>
      </c>
      <c r="E109" s="220">
        <v>510</v>
      </c>
      <c r="F109" s="222"/>
      <c r="G109" s="222" t="e">
        <f>#REF!</f>
        <v>#REF!</v>
      </c>
      <c r="H109" s="222" t="e">
        <f>#REF!</f>
        <v>#REF!</v>
      </c>
    </row>
    <row r="110" spans="1:8" ht="47.25">
      <c r="A110" s="219" t="s">
        <v>35</v>
      </c>
      <c r="B110" s="220" t="s">
        <v>406</v>
      </c>
      <c r="C110" s="221"/>
      <c r="D110" s="221"/>
      <c r="E110" s="220"/>
      <c r="F110" s="222"/>
      <c r="G110" s="222" t="e">
        <f>G111</f>
        <v>#REF!</v>
      </c>
      <c r="H110" s="222" t="e">
        <f>H111</f>
        <v>#REF!</v>
      </c>
    </row>
    <row r="111" spans="1:8" ht="35.25" customHeight="1">
      <c r="A111" s="219" t="s">
        <v>33</v>
      </c>
      <c r="B111" s="220" t="s">
        <v>76</v>
      </c>
      <c r="C111" s="221"/>
      <c r="D111" s="221"/>
      <c r="E111" s="220"/>
      <c r="F111" s="222"/>
      <c r="G111" s="222" t="e">
        <f>G112</f>
        <v>#REF!</v>
      </c>
      <c r="H111" s="222" t="e">
        <f>H112</f>
        <v>#REF!</v>
      </c>
    </row>
    <row r="112" spans="1:8" ht="15.75">
      <c r="A112" s="219" t="s">
        <v>642</v>
      </c>
      <c r="B112" s="220" t="s">
        <v>76</v>
      </c>
      <c r="C112" s="221" t="s">
        <v>364</v>
      </c>
      <c r="D112" s="221" t="s">
        <v>366</v>
      </c>
      <c r="E112" s="220">
        <v>510</v>
      </c>
      <c r="F112" s="222"/>
      <c r="G112" s="222" t="e">
        <f>#REF!</f>
        <v>#REF!</v>
      </c>
      <c r="H112" s="222" t="e">
        <f>#REF!</f>
        <v>#REF!</v>
      </c>
    </row>
    <row r="113" spans="1:8" ht="78.75">
      <c r="A113" s="219" t="s">
        <v>632</v>
      </c>
      <c r="B113" s="220" t="s">
        <v>407</v>
      </c>
      <c r="C113" s="221"/>
      <c r="D113" s="221"/>
      <c r="E113" s="220"/>
      <c r="F113" s="222"/>
      <c r="G113" s="222" t="e">
        <f>G114+G119</f>
        <v>#REF!</v>
      </c>
      <c r="H113" s="222" t="e">
        <f>H114+H119</f>
        <v>#REF!</v>
      </c>
    </row>
    <row r="114" spans="1:8" ht="126">
      <c r="A114" s="219" t="s">
        <v>629</v>
      </c>
      <c r="B114" s="220" t="s">
        <v>408</v>
      </c>
      <c r="C114" s="221"/>
      <c r="D114" s="221"/>
      <c r="E114" s="220"/>
      <c r="F114" s="222"/>
      <c r="G114" s="222" t="e">
        <f>G115</f>
        <v>#REF!</v>
      </c>
      <c r="H114" s="222" t="e">
        <f>H115</f>
        <v>#REF!</v>
      </c>
    </row>
    <row r="115" spans="1:8" ht="31.5">
      <c r="A115" s="219" t="s">
        <v>309</v>
      </c>
      <c r="B115" s="220" t="s">
        <v>409</v>
      </c>
      <c r="C115" s="221"/>
      <c r="D115" s="221"/>
      <c r="E115" s="220"/>
      <c r="F115" s="222"/>
      <c r="G115" s="222" t="e">
        <f>SUM(G116:G118)</f>
        <v>#REF!</v>
      </c>
      <c r="H115" s="222" t="e">
        <f>SUM(H116:H118)</f>
        <v>#REF!</v>
      </c>
    </row>
    <row r="116" spans="1:8" ht="37.5" customHeight="1">
      <c r="A116" s="219" t="s">
        <v>490</v>
      </c>
      <c r="B116" s="220" t="s">
        <v>409</v>
      </c>
      <c r="C116" s="221" t="s">
        <v>364</v>
      </c>
      <c r="D116" s="221" t="s">
        <v>363</v>
      </c>
      <c r="E116" s="220">
        <v>120</v>
      </c>
      <c r="F116" s="222"/>
      <c r="G116" s="222" t="e">
        <f>#REF!</f>
        <v>#REF!</v>
      </c>
      <c r="H116" s="222" t="e">
        <f>#REF!</f>
        <v>#REF!</v>
      </c>
    </row>
    <row r="117" spans="1:8" ht="47.25">
      <c r="A117" s="219" t="s">
        <v>636</v>
      </c>
      <c r="B117" s="220" t="s">
        <v>409</v>
      </c>
      <c r="C117" s="221" t="s">
        <v>364</v>
      </c>
      <c r="D117" s="221" t="s">
        <v>363</v>
      </c>
      <c r="E117" s="220">
        <v>240</v>
      </c>
      <c r="F117" s="222"/>
      <c r="G117" s="222" t="e">
        <f>#REF!</f>
        <v>#REF!</v>
      </c>
      <c r="H117" s="222" t="e">
        <f>#REF!</f>
        <v>#REF!</v>
      </c>
    </row>
    <row r="118" spans="1:8" ht="15.75">
      <c r="A118" s="219" t="s">
        <v>637</v>
      </c>
      <c r="B118" s="220" t="s">
        <v>409</v>
      </c>
      <c r="C118" s="221" t="s">
        <v>364</v>
      </c>
      <c r="D118" s="221" t="s">
        <v>363</v>
      </c>
      <c r="E118" s="220">
        <v>850</v>
      </c>
      <c r="F118" s="222"/>
      <c r="G118" s="222" t="e">
        <f>#REF!</f>
        <v>#REF!</v>
      </c>
      <c r="H118" s="222" t="e">
        <f>#REF!</f>
        <v>#REF!</v>
      </c>
    </row>
    <row r="119" spans="1:8" ht="63">
      <c r="A119" s="219" t="s">
        <v>633</v>
      </c>
      <c r="B119" s="220" t="s">
        <v>410</v>
      </c>
      <c r="C119" s="221"/>
      <c r="D119" s="221"/>
      <c r="E119" s="220"/>
      <c r="F119" s="222"/>
      <c r="G119" s="222" t="e">
        <f>G120</f>
        <v>#REF!</v>
      </c>
      <c r="H119" s="222" t="e">
        <f>H120</f>
        <v>#REF!</v>
      </c>
    </row>
    <row r="120" spans="1:8" ht="47.25">
      <c r="A120" s="219" t="s">
        <v>311</v>
      </c>
      <c r="B120" s="220" t="s">
        <v>411</v>
      </c>
      <c r="C120" s="221"/>
      <c r="D120" s="221"/>
      <c r="E120" s="220"/>
      <c r="F120" s="222"/>
      <c r="G120" s="222" t="e">
        <f>SUM(G121:G123)</f>
        <v>#REF!</v>
      </c>
      <c r="H120" s="222" t="e">
        <f>SUM(H121:H123)</f>
        <v>#REF!</v>
      </c>
    </row>
    <row r="121" spans="1:8" ht="31.5">
      <c r="A121" s="219" t="s">
        <v>639</v>
      </c>
      <c r="B121" s="220" t="s">
        <v>411</v>
      </c>
      <c r="C121" s="221" t="s">
        <v>364</v>
      </c>
      <c r="D121" s="221" t="s">
        <v>350</v>
      </c>
      <c r="E121" s="220">
        <v>110</v>
      </c>
      <c r="F121" s="222"/>
      <c r="G121" s="222" t="e">
        <f>#REF!</f>
        <v>#REF!</v>
      </c>
      <c r="H121" s="222" t="e">
        <f>#REF!</f>
        <v>#REF!</v>
      </c>
    </row>
    <row r="122" spans="1:8" ht="47.25">
      <c r="A122" s="219" t="s">
        <v>636</v>
      </c>
      <c r="B122" s="220" t="s">
        <v>411</v>
      </c>
      <c r="C122" s="221" t="s">
        <v>364</v>
      </c>
      <c r="D122" s="221" t="s">
        <v>350</v>
      </c>
      <c r="E122" s="220">
        <v>240</v>
      </c>
      <c r="F122" s="222"/>
      <c r="G122" s="222" t="e">
        <f>#REF!</f>
        <v>#REF!</v>
      </c>
      <c r="H122" s="222" t="e">
        <f>#REF!</f>
        <v>#REF!</v>
      </c>
    </row>
    <row r="123" spans="1:8" ht="15.75">
      <c r="A123" s="219" t="s">
        <v>637</v>
      </c>
      <c r="B123" s="220" t="s">
        <v>411</v>
      </c>
      <c r="C123" s="221" t="s">
        <v>364</v>
      </c>
      <c r="D123" s="221" t="s">
        <v>350</v>
      </c>
      <c r="E123" s="220">
        <v>850</v>
      </c>
      <c r="F123" s="222"/>
      <c r="G123" s="222" t="e">
        <f>#REF!</f>
        <v>#REF!</v>
      </c>
      <c r="H123" s="222" t="e">
        <f>#REF!</f>
        <v>#REF!</v>
      </c>
    </row>
    <row r="124" spans="1:8" s="205" customFormat="1" ht="63">
      <c r="A124" s="87" t="s">
        <v>600</v>
      </c>
      <c r="B124" s="196" t="s">
        <v>441</v>
      </c>
      <c r="C124" s="197"/>
      <c r="D124" s="197"/>
      <c r="E124" s="196"/>
      <c r="F124" s="200" t="e">
        <f>F125+F134+#REF!+F139</f>
        <v>#REF!</v>
      </c>
      <c r="G124" s="200" t="e">
        <f>G125+G134+G139</f>
        <v>#REF!</v>
      </c>
      <c r="H124" s="200" t="e">
        <f>H125+H134+H139</f>
        <v>#REF!</v>
      </c>
    </row>
    <row r="125" spans="1:8" ht="63">
      <c r="A125" s="21" t="s">
        <v>269</v>
      </c>
      <c r="B125" s="220" t="s">
        <v>442</v>
      </c>
      <c r="C125" s="221"/>
      <c r="D125" s="221"/>
      <c r="E125" s="220"/>
      <c r="F125" s="222">
        <f>F126+F130+F132</f>
        <v>11908.1</v>
      </c>
      <c r="G125" s="222" t="e">
        <f>G126+G130+G132+G128</f>
        <v>#REF!</v>
      </c>
      <c r="H125" s="222" t="e">
        <f>H126+H130+H132+H128</f>
        <v>#REF!</v>
      </c>
    </row>
    <row r="126" spans="1:8" ht="15.75">
      <c r="A126" s="21" t="s">
        <v>271</v>
      </c>
      <c r="B126" s="220" t="s">
        <v>443</v>
      </c>
      <c r="C126" s="221"/>
      <c r="D126" s="221"/>
      <c r="E126" s="220"/>
      <c r="F126" s="222">
        <f>F127</f>
        <v>9845.300000000001</v>
      </c>
      <c r="G126" s="222" t="e">
        <f>G127</f>
        <v>#REF!</v>
      </c>
      <c r="H126" s="222" t="e">
        <f>H127</f>
        <v>#REF!</v>
      </c>
    </row>
    <row r="127" spans="1:8" ht="15.75">
      <c r="A127" s="219" t="s">
        <v>638</v>
      </c>
      <c r="B127" s="220" t="s">
        <v>443</v>
      </c>
      <c r="C127" s="221" t="s">
        <v>646</v>
      </c>
      <c r="D127" s="221" t="s">
        <v>444</v>
      </c>
      <c r="E127" s="220">
        <v>610</v>
      </c>
      <c r="F127" s="222">
        <f>'Приложение 4'!Q266</f>
        <v>9845.300000000001</v>
      </c>
      <c r="G127" s="222" t="e">
        <f>#REF!</f>
        <v>#REF!</v>
      </c>
      <c r="H127" s="222" t="e">
        <f>#REF!</f>
        <v>#REF!</v>
      </c>
    </row>
    <row r="128" spans="1:8" ht="78.75">
      <c r="A128" s="183" t="s">
        <v>50</v>
      </c>
      <c r="B128" s="220" t="s">
        <v>54</v>
      </c>
      <c r="C128" s="198"/>
      <c r="D128" s="198"/>
      <c r="E128" s="193"/>
      <c r="F128" s="222"/>
      <c r="G128" s="222" t="e">
        <f>G129</f>
        <v>#REF!</v>
      </c>
      <c r="H128" s="222" t="e">
        <f>H129</f>
        <v>#REF!</v>
      </c>
    </row>
    <row r="129" spans="1:8" ht="15.75">
      <c r="A129" s="183" t="s">
        <v>638</v>
      </c>
      <c r="B129" s="220" t="s">
        <v>54</v>
      </c>
      <c r="C129" s="221" t="s">
        <v>646</v>
      </c>
      <c r="D129" s="221" t="s">
        <v>444</v>
      </c>
      <c r="E129" s="193">
        <v>610</v>
      </c>
      <c r="F129" s="222"/>
      <c r="G129" s="222" t="e">
        <f>#REF!</f>
        <v>#REF!</v>
      </c>
      <c r="H129" s="222" t="e">
        <f>#REF!</f>
        <v>#REF!</v>
      </c>
    </row>
    <row r="130" spans="1:8" ht="47.25">
      <c r="A130" s="3" t="s">
        <v>725</v>
      </c>
      <c r="B130" s="220" t="s">
        <v>445</v>
      </c>
      <c r="C130" s="221"/>
      <c r="D130" s="221"/>
      <c r="E130" s="220"/>
      <c r="F130" s="222">
        <f>F131</f>
        <v>340</v>
      </c>
      <c r="G130" s="222" t="e">
        <f>G131</f>
        <v>#REF!</v>
      </c>
      <c r="H130" s="222" t="e">
        <f>H131</f>
        <v>#REF!</v>
      </c>
    </row>
    <row r="131" spans="1:8" ht="15.75">
      <c r="A131" s="219" t="s">
        <v>638</v>
      </c>
      <c r="B131" s="220" t="s">
        <v>445</v>
      </c>
      <c r="C131" s="221" t="s">
        <v>646</v>
      </c>
      <c r="D131" s="221" t="s">
        <v>444</v>
      </c>
      <c r="E131" s="220">
        <v>610</v>
      </c>
      <c r="F131" s="222">
        <f>'Приложение 4'!Q272</f>
        <v>340</v>
      </c>
      <c r="G131" s="222" t="e">
        <f>#REF!</f>
        <v>#REF!</v>
      </c>
      <c r="H131" s="222" t="e">
        <f>#REF!</f>
        <v>#REF!</v>
      </c>
    </row>
    <row r="132" spans="1:8" ht="47.25">
      <c r="A132" s="3" t="s">
        <v>610</v>
      </c>
      <c r="B132" s="220" t="s">
        <v>446</v>
      </c>
      <c r="C132" s="221"/>
      <c r="D132" s="221"/>
      <c r="E132" s="220"/>
      <c r="F132" s="222">
        <f>F133</f>
        <v>1722.8</v>
      </c>
      <c r="G132" s="222" t="e">
        <f>G133</f>
        <v>#REF!</v>
      </c>
      <c r="H132" s="222" t="e">
        <f>H133</f>
        <v>#REF!</v>
      </c>
    </row>
    <row r="133" spans="1:8" ht="15.75">
      <c r="A133" s="219" t="s">
        <v>638</v>
      </c>
      <c r="B133" s="220" t="s">
        <v>446</v>
      </c>
      <c r="C133" s="221" t="s">
        <v>646</v>
      </c>
      <c r="D133" s="221" t="s">
        <v>444</v>
      </c>
      <c r="E133" s="220">
        <v>610</v>
      </c>
      <c r="F133" s="222">
        <f>'Приложение 4'!Q274</f>
        <v>1722.8</v>
      </c>
      <c r="G133" s="222" t="e">
        <f>#REF!</f>
        <v>#REF!</v>
      </c>
      <c r="H133" s="222" t="e">
        <f>#REF!</f>
        <v>#REF!</v>
      </c>
    </row>
    <row r="134" spans="1:8" ht="63">
      <c r="A134" s="3" t="s">
        <v>611</v>
      </c>
      <c r="B134" s="220" t="s">
        <v>447</v>
      </c>
      <c r="C134" s="221"/>
      <c r="D134" s="221"/>
      <c r="E134" s="220"/>
      <c r="F134" s="222">
        <f aca="true" t="shared" si="3" ref="F134:H135">F135</f>
        <v>9469.6</v>
      </c>
      <c r="G134" s="222" t="e">
        <f>G135+G137</f>
        <v>#REF!</v>
      </c>
      <c r="H134" s="222" t="e">
        <f>H135+H137</f>
        <v>#REF!</v>
      </c>
    </row>
    <row r="135" spans="1:8" ht="15.75">
      <c r="A135" s="3" t="s">
        <v>230</v>
      </c>
      <c r="B135" s="220" t="s">
        <v>448</v>
      </c>
      <c r="C135" s="221"/>
      <c r="D135" s="221"/>
      <c r="E135" s="220"/>
      <c r="F135" s="222">
        <f t="shared" si="3"/>
        <v>9469.6</v>
      </c>
      <c r="G135" s="222" t="e">
        <f t="shared" si="3"/>
        <v>#REF!</v>
      </c>
      <c r="H135" s="222" t="e">
        <f t="shared" si="3"/>
        <v>#REF!</v>
      </c>
    </row>
    <row r="136" spans="1:8" ht="15.75">
      <c r="A136" s="219" t="s">
        <v>638</v>
      </c>
      <c r="B136" s="220" t="s">
        <v>448</v>
      </c>
      <c r="C136" s="221" t="s">
        <v>646</v>
      </c>
      <c r="D136" s="221" t="s">
        <v>444</v>
      </c>
      <c r="E136" s="220">
        <v>610</v>
      </c>
      <c r="F136" s="222">
        <f>'Приложение 4'!Q277</f>
        <v>9469.6</v>
      </c>
      <c r="G136" s="222" t="e">
        <f>#REF!</f>
        <v>#REF!</v>
      </c>
      <c r="H136" s="222" t="e">
        <f>#REF!</f>
        <v>#REF!</v>
      </c>
    </row>
    <row r="137" spans="1:8" ht="78.75">
      <c r="A137" s="3" t="s">
        <v>50</v>
      </c>
      <c r="B137" s="220" t="s">
        <v>55</v>
      </c>
      <c r="C137" s="221"/>
      <c r="D137" s="221"/>
      <c r="E137" s="220"/>
      <c r="F137" s="222"/>
      <c r="G137" s="222" t="e">
        <f>G138</f>
        <v>#REF!</v>
      </c>
      <c r="H137" s="222" t="e">
        <f>H138</f>
        <v>#REF!</v>
      </c>
    </row>
    <row r="138" spans="1:8" ht="15.75">
      <c r="A138" s="3" t="s">
        <v>638</v>
      </c>
      <c r="B138" s="220" t="s">
        <v>55</v>
      </c>
      <c r="C138" s="221" t="s">
        <v>646</v>
      </c>
      <c r="D138" s="221" t="s">
        <v>444</v>
      </c>
      <c r="E138" s="220">
        <v>610</v>
      </c>
      <c r="F138" s="222"/>
      <c r="G138" s="222" t="e">
        <f>#REF!</f>
        <v>#REF!</v>
      </c>
      <c r="H138" s="222" t="e">
        <f>#REF!</f>
        <v>#REF!</v>
      </c>
    </row>
    <row r="139" spans="1:8" ht="78.75">
      <c r="A139" s="26" t="s">
        <v>602</v>
      </c>
      <c r="B139" s="220" t="s">
        <v>452</v>
      </c>
      <c r="C139" s="221"/>
      <c r="D139" s="221"/>
      <c r="E139" s="220"/>
      <c r="F139" s="222">
        <f aca="true" t="shared" si="4" ref="F139:H140">F140</f>
        <v>5758.1</v>
      </c>
      <c r="G139" s="222" t="e">
        <f>G140+G142</f>
        <v>#REF!</v>
      </c>
      <c r="H139" s="222" t="e">
        <f>H140+H142</f>
        <v>#REF!</v>
      </c>
    </row>
    <row r="140" spans="1:8" ht="31.5">
      <c r="A140" s="26" t="s">
        <v>303</v>
      </c>
      <c r="B140" s="220" t="s">
        <v>453</v>
      </c>
      <c r="C140" s="221"/>
      <c r="D140" s="221"/>
      <c r="E140" s="220"/>
      <c r="F140" s="222">
        <f t="shared" si="4"/>
        <v>5758.1</v>
      </c>
      <c r="G140" s="222" t="e">
        <f t="shared" si="4"/>
        <v>#REF!</v>
      </c>
      <c r="H140" s="222" t="e">
        <f t="shared" si="4"/>
        <v>#REF!</v>
      </c>
    </row>
    <row r="141" spans="1:8" ht="15.75">
      <c r="A141" s="219" t="s">
        <v>638</v>
      </c>
      <c r="B141" s="220" t="s">
        <v>453</v>
      </c>
      <c r="C141" s="221" t="s">
        <v>646</v>
      </c>
      <c r="D141" s="221" t="s">
        <v>359</v>
      </c>
      <c r="E141" s="220">
        <v>610</v>
      </c>
      <c r="F141" s="222">
        <f>'Приложение 4'!Q243</f>
        <v>5758.1</v>
      </c>
      <c r="G141" s="222" t="e">
        <f>#REF!</f>
        <v>#REF!</v>
      </c>
      <c r="H141" s="222" t="e">
        <f>#REF!</f>
        <v>#REF!</v>
      </c>
    </row>
    <row r="142" spans="1:8" ht="78.75">
      <c r="A142" s="183" t="s">
        <v>50</v>
      </c>
      <c r="B142" s="220" t="s">
        <v>53</v>
      </c>
      <c r="C142" s="221"/>
      <c r="D142" s="221"/>
      <c r="E142" s="220"/>
      <c r="F142" s="222"/>
      <c r="G142" s="222" t="e">
        <f>G143</f>
        <v>#REF!</v>
      </c>
      <c r="H142" s="222" t="e">
        <f>H143</f>
        <v>#REF!</v>
      </c>
    </row>
    <row r="143" spans="1:8" ht="15.75">
      <c r="A143" s="183" t="s">
        <v>638</v>
      </c>
      <c r="B143" s="220" t="s">
        <v>53</v>
      </c>
      <c r="C143" s="221" t="s">
        <v>646</v>
      </c>
      <c r="D143" s="221" t="s">
        <v>359</v>
      </c>
      <c r="E143" s="220">
        <v>610</v>
      </c>
      <c r="F143" s="222"/>
      <c r="G143" s="222" t="e">
        <f>#REF!</f>
        <v>#REF!</v>
      </c>
      <c r="H143" s="222" t="e">
        <f>#REF!</f>
        <v>#REF!</v>
      </c>
    </row>
    <row r="144" spans="1:8" s="205" customFormat="1" ht="47.25">
      <c r="A144" s="210" t="s">
        <v>604</v>
      </c>
      <c r="B144" s="196" t="s">
        <v>412</v>
      </c>
      <c r="C144" s="197"/>
      <c r="D144" s="197"/>
      <c r="E144" s="196"/>
      <c r="F144" s="200" t="e">
        <f>F145+F148+F151+F154</f>
        <v>#REF!</v>
      </c>
      <c r="G144" s="200" t="e">
        <f>G145+G148+G151+G154</f>
        <v>#REF!</v>
      </c>
      <c r="H144" s="200" t="e">
        <f>H145+H148+H151+H154</f>
        <v>#REF!</v>
      </c>
    </row>
    <row r="145" spans="1:8" ht="78.75">
      <c r="A145" s="219" t="s">
        <v>606</v>
      </c>
      <c r="B145" s="220" t="s">
        <v>413</v>
      </c>
      <c r="C145" s="221"/>
      <c r="D145" s="221"/>
      <c r="E145" s="220"/>
      <c r="F145" s="222" t="e">
        <f>F146+#REF!</f>
        <v>#REF!</v>
      </c>
      <c r="G145" s="222" t="e">
        <f>G146</f>
        <v>#REF!</v>
      </c>
      <c r="H145" s="222" t="e">
        <f>H146</f>
        <v>#REF!</v>
      </c>
    </row>
    <row r="146" spans="1:8" ht="15.75">
      <c r="A146" s="219" t="s">
        <v>230</v>
      </c>
      <c r="B146" s="220" t="s">
        <v>414</v>
      </c>
      <c r="C146" s="221"/>
      <c r="D146" s="221"/>
      <c r="E146" s="220"/>
      <c r="F146" s="222">
        <f>F147</f>
        <v>22.700000000000003</v>
      </c>
      <c r="G146" s="222" t="e">
        <f>G147</f>
        <v>#REF!</v>
      </c>
      <c r="H146" s="222" t="e">
        <f>H147</f>
        <v>#REF!</v>
      </c>
    </row>
    <row r="147" spans="1:8" ht="15.75">
      <c r="A147" s="219" t="s">
        <v>638</v>
      </c>
      <c r="B147" s="220" t="s">
        <v>414</v>
      </c>
      <c r="C147" s="221" t="s">
        <v>646</v>
      </c>
      <c r="D147" s="221" t="s">
        <v>415</v>
      </c>
      <c r="E147" s="220">
        <v>610</v>
      </c>
      <c r="F147" s="222">
        <f>'Приложение 4'!Q250</f>
        <v>22.700000000000003</v>
      </c>
      <c r="G147" s="222" t="e">
        <f>#REF!</f>
        <v>#REF!</v>
      </c>
      <c r="H147" s="222" t="e">
        <f>#REF!</f>
        <v>#REF!</v>
      </c>
    </row>
    <row r="148" spans="1:8" ht="94.5">
      <c r="A148" s="219" t="s">
        <v>607</v>
      </c>
      <c r="B148" s="220" t="s">
        <v>417</v>
      </c>
      <c r="C148" s="221"/>
      <c r="D148" s="221"/>
      <c r="E148" s="220"/>
      <c r="F148" s="222">
        <f aca="true" t="shared" si="5" ref="F148:H149">F149</f>
        <v>12.5</v>
      </c>
      <c r="G148" s="222" t="e">
        <f t="shared" si="5"/>
        <v>#REF!</v>
      </c>
      <c r="H148" s="222" t="e">
        <f t="shared" si="5"/>
        <v>#REF!</v>
      </c>
    </row>
    <row r="149" spans="1:8" ht="15.75">
      <c r="A149" s="219" t="s">
        <v>230</v>
      </c>
      <c r="B149" s="220" t="s">
        <v>418</v>
      </c>
      <c r="C149" s="221"/>
      <c r="D149" s="221"/>
      <c r="E149" s="220"/>
      <c r="F149" s="222">
        <f t="shared" si="5"/>
        <v>12.5</v>
      </c>
      <c r="G149" s="222" t="e">
        <f t="shared" si="5"/>
        <v>#REF!</v>
      </c>
      <c r="H149" s="222" t="e">
        <f t="shared" si="5"/>
        <v>#REF!</v>
      </c>
    </row>
    <row r="150" spans="1:8" ht="15.75">
      <c r="A150" s="219" t="s">
        <v>638</v>
      </c>
      <c r="B150" s="220" t="s">
        <v>418</v>
      </c>
      <c r="C150" s="221" t="s">
        <v>646</v>
      </c>
      <c r="D150" s="221" t="s">
        <v>415</v>
      </c>
      <c r="E150" s="220">
        <v>610</v>
      </c>
      <c r="F150" s="222">
        <f>'Приложение 4'!Q257</f>
        <v>12.5</v>
      </c>
      <c r="G150" s="222" t="e">
        <f>#REF!</f>
        <v>#REF!</v>
      </c>
      <c r="H150" s="222" t="e">
        <f>#REF!</f>
        <v>#REF!</v>
      </c>
    </row>
    <row r="151" spans="1:8" ht="63">
      <c r="A151" s="219" t="s">
        <v>608</v>
      </c>
      <c r="B151" s="220" t="s">
        <v>419</v>
      </c>
      <c r="C151" s="221"/>
      <c r="D151" s="221"/>
      <c r="E151" s="220"/>
      <c r="F151" s="222">
        <f aca="true" t="shared" si="6" ref="F151:H152">F152</f>
        <v>9.5</v>
      </c>
      <c r="G151" s="222" t="e">
        <f t="shared" si="6"/>
        <v>#REF!</v>
      </c>
      <c r="H151" s="222" t="e">
        <f t="shared" si="6"/>
        <v>#REF!</v>
      </c>
    </row>
    <row r="152" spans="1:8" ht="15.75">
      <c r="A152" s="219" t="s">
        <v>230</v>
      </c>
      <c r="B152" s="220" t="s">
        <v>420</v>
      </c>
      <c r="C152" s="221"/>
      <c r="D152" s="221"/>
      <c r="E152" s="220"/>
      <c r="F152" s="222">
        <f t="shared" si="6"/>
        <v>9.5</v>
      </c>
      <c r="G152" s="222" t="e">
        <f t="shared" si="6"/>
        <v>#REF!</v>
      </c>
      <c r="H152" s="222" t="e">
        <f t="shared" si="6"/>
        <v>#REF!</v>
      </c>
    </row>
    <row r="153" spans="1:8" ht="15.75">
      <c r="A153" s="219" t="s">
        <v>638</v>
      </c>
      <c r="B153" s="220" t="s">
        <v>420</v>
      </c>
      <c r="C153" s="221" t="s">
        <v>646</v>
      </c>
      <c r="D153" s="221" t="s">
        <v>415</v>
      </c>
      <c r="E153" s="220">
        <v>610</v>
      </c>
      <c r="F153" s="222">
        <f>'Приложение 4'!Q260</f>
        <v>9.5</v>
      </c>
      <c r="G153" s="222" t="e">
        <f>#REF!</f>
        <v>#REF!</v>
      </c>
      <c r="H153" s="222" t="e">
        <f>#REF!</f>
        <v>#REF!</v>
      </c>
    </row>
    <row r="154" spans="1:8" ht="31.5">
      <c r="A154" s="219" t="s">
        <v>613</v>
      </c>
      <c r="B154" s="220" t="s">
        <v>421</v>
      </c>
      <c r="C154" s="221"/>
      <c r="D154" s="221"/>
      <c r="E154" s="220"/>
      <c r="F154" s="222">
        <f aca="true" t="shared" si="7" ref="F154:H155">F155</f>
        <v>1021.8</v>
      </c>
      <c r="G154" s="222" t="e">
        <f t="shared" si="7"/>
        <v>#REF!</v>
      </c>
      <c r="H154" s="222" t="e">
        <f t="shared" si="7"/>
        <v>#REF!</v>
      </c>
    </row>
    <row r="155" spans="1:8" ht="31.5">
      <c r="A155" s="219" t="s">
        <v>614</v>
      </c>
      <c r="B155" s="220" t="s">
        <v>422</v>
      </c>
      <c r="C155" s="221"/>
      <c r="D155" s="221"/>
      <c r="E155" s="220"/>
      <c r="F155" s="222">
        <f t="shared" si="7"/>
        <v>1021.8</v>
      </c>
      <c r="G155" s="222" t="e">
        <f t="shared" si="7"/>
        <v>#REF!</v>
      </c>
      <c r="H155" s="222" t="e">
        <f t="shared" si="7"/>
        <v>#REF!</v>
      </c>
    </row>
    <row r="156" spans="1:8" ht="47.25">
      <c r="A156" s="219" t="s">
        <v>641</v>
      </c>
      <c r="B156" s="220" t="s">
        <v>422</v>
      </c>
      <c r="C156" s="221" t="s">
        <v>646</v>
      </c>
      <c r="D156" s="221" t="s">
        <v>352</v>
      </c>
      <c r="E156" s="220">
        <v>320</v>
      </c>
      <c r="F156" s="222">
        <f>'Приложение 4'!Q303</f>
        <v>1021.8</v>
      </c>
      <c r="G156" s="222" t="e">
        <f>#REF!</f>
        <v>#REF!</v>
      </c>
      <c r="H156" s="222" t="e">
        <f>#REF!</f>
        <v>#REF!</v>
      </c>
    </row>
    <row r="157" spans="1:8" s="205" customFormat="1" ht="78.75">
      <c r="A157" s="210" t="s">
        <v>713</v>
      </c>
      <c r="B157" s="196" t="s">
        <v>715</v>
      </c>
      <c r="C157" s="197"/>
      <c r="D157" s="197"/>
      <c r="E157" s="196"/>
      <c r="F157" s="200">
        <f>F159</f>
        <v>283.09999999999997</v>
      </c>
      <c r="G157" s="200" t="e">
        <f aca="true" t="shared" si="8" ref="G157:H159">G158</f>
        <v>#REF!</v>
      </c>
      <c r="H157" s="200" t="e">
        <f t="shared" si="8"/>
        <v>#REF!</v>
      </c>
    </row>
    <row r="158" spans="1:8" ht="78.75">
      <c r="A158" s="219" t="s">
        <v>97</v>
      </c>
      <c r="B158" s="220" t="s">
        <v>98</v>
      </c>
      <c r="C158" s="221"/>
      <c r="D158" s="221"/>
      <c r="E158" s="220"/>
      <c r="F158" s="222"/>
      <c r="G158" s="222" t="e">
        <f t="shared" si="8"/>
        <v>#REF!</v>
      </c>
      <c r="H158" s="222" t="e">
        <f t="shared" si="8"/>
        <v>#REF!</v>
      </c>
    </row>
    <row r="159" spans="1:8" ht="31.5">
      <c r="A159" s="219" t="s">
        <v>712</v>
      </c>
      <c r="B159" s="220" t="s">
        <v>423</v>
      </c>
      <c r="C159" s="221"/>
      <c r="D159" s="221"/>
      <c r="E159" s="220"/>
      <c r="F159" s="222">
        <f>F160</f>
        <v>283.09999999999997</v>
      </c>
      <c r="G159" s="222" t="e">
        <f t="shared" si="8"/>
        <v>#REF!</v>
      </c>
      <c r="H159" s="222" t="e">
        <f t="shared" si="8"/>
        <v>#REF!</v>
      </c>
    </row>
    <row r="160" spans="1:8" ht="47.25">
      <c r="A160" s="219" t="s">
        <v>636</v>
      </c>
      <c r="B160" s="220" t="s">
        <v>423</v>
      </c>
      <c r="C160" s="221" t="s">
        <v>646</v>
      </c>
      <c r="D160" s="221" t="s">
        <v>424</v>
      </c>
      <c r="E160" s="220">
        <v>240</v>
      </c>
      <c r="F160" s="222">
        <f>'Приложение 4'!Q214</f>
        <v>283.09999999999997</v>
      </c>
      <c r="G160" s="222" t="e">
        <f>#REF!</f>
        <v>#REF!</v>
      </c>
      <c r="H160" s="222" t="e">
        <f>#REF!</f>
        <v>#REF!</v>
      </c>
    </row>
    <row r="161" spans="1:8" s="205" customFormat="1" ht="94.5">
      <c r="A161" s="210" t="s">
        <v>347</v>
      </c>
      <c r="B161" s="196" t="s">
        <v>425</v>
      </c>
      <c r="C161" s="197"/>
      <c r="D161" s="197"/>
      <c r="E161" s="196"/>
      <c r="F161" s="200">
        <f>F162+F165+F168+F171</f>
        <v>0</v>
      </c>
      <c r="G161" s="200">
        <v>0</v>
      </c>
      <c r="H161" s="200" t="e">
        <f>H162+H165+H168+H171</f>
        <v>#REF!</v>
      </c>
    </row>
    <row r="162" spans="1:8" ht="31.5">
      <c r="A162" s="219" t="s">
        <v>597</v>
      </c>
      <c r="B162" s="220" t="s">
        <v>426</v>
      </c>
      <c r="C162" s="221"/>
      <c r="D162" s="221"/>
      <c r="E162" s="220"/>
      <c r="F162" s="222">
        <f>F163</f>
        <v>0</v>
      </c>
      <c r="G162" s="222">
        <v>0</v>
      </c>
      <c r="H162" s="222" t="e">
        <f>H163</f>
        <v>#REF!</v>
      </c>
    </row>
    <row r="163" spans="1:8" ht="47.25">
      <c r="A163" s="219" t="s">
        <v>656</v>
      </c>
      <c r="B163" s="220" t="s">
        <v>427</v>
      </c>
      <c r="C163" s="221"/>
      <c r="D163" s="221"/>
      <c r="E163" s="220"/>
      <c r="F163" s="222">
        <f>F164</f>
        <v>0</v>
      </c>
      <c r="G163" s="222">
        <v>0</v>
      </c>
      <c r="H163" s="222" t="e">
        <f>H164</f>
        <v>#REF!</v>
      </c>
    </row>
    <row r="164" spans="1:8" ht="47.25">
      <c r="A164" s="219" t="s">
        <v>636</v>
      </c>
      <c r="B164" s="220" t="s">
        <v>427</v>
      </c>
      <c r="C164" s="221" t="s">
        <v>646</v>
      </c>
      <c r="D164" s="221" t="s">
        <v>353</v>
      </c>
      <c r="E164" s="220">
        <v>240</v>
      </c>
      <c r="F164" s="222"/>
      <c r="G164" s="222">
        <v>0</v>
      </c>
      <c r="H164" s="222" t="e">
        <f>#REF!</f>
        <v>#REF!</v>
      </c>
    </row>
    <row r="165" spans="1:8" ht="29.25" customHeight="1">
      <c r="A165" s="219" t="s">
        <v>224</v>
      </c>
      <c r="B165" s="220" t="s">
        <v>428</v>
      </c>
      <c r="C165" s="221"/>
      <c r="D165" s="221"/>
      <c r="E165" s="220"/>
      <c r="F165" s="222">
        <f>F166</f>
        <v>0</v>
      </c>
      <c r="G165" s="222">
        <v>0</v>
      </c>
      <c r="H165" s="222" t="e">
        <f>H166</f>
        <v>#REF!</v>
      </c>
    </row>
    <row r="166" spans="1:8" ht="31.5">
      <c r="A166" s="219" t="s">
        <v>677</v>
      </c>
      <c r="B166" s="220" t="s">
        <v>429</v>
      </c>
      <c r="C166" s="221"/>
      <c r="D166" s="221"/>
      <c r="E166" s="220"/>
      <c r="F166" s="222">
        <f>F167</f>
        <v>0</v>
      </c>
      <c r="G166" s="222">
        <v>0</v>
      </c>
      <c r="H166" s="222" t="e">
        <f>H167</f>
        <v>#REF!</v>
      </c>
    </row>
    <row r="167" spans="1:8" ht="47.25">
      <c r="A167" s="219" t="s">
        <v>636</v>
      </c>
      <c r="B167" s="220" t="s">
        <v>429</v>
      </c>
      <c r="C167" s="221" t="s">
        <v>646</v>
      </c>
      <c r="D167" s="221" t="s">
        <v>353</v>
      </c>
      <c r="E167" s="220">
        <v>240</v>
      </c>
      <c r="F167" s="222"/>
      <c r="G167" s="222">
        <v>0</v>
      </c>
      <c r="H167" s="222" t="e">
        <f>#REF!</f>
        <v>#REF!</v>
      </c>
    </row>
    <row r="168" spans="1:8" ht="47.25">
      <c r="A168" s="219" t="s">
        <v>691</v>
      </c>
      <c r="B168" s="220" t="s">
        <v>430</v>
      </c>
      <c r="C168" s="221"/>
      <c r="D168" s="221"/>
      <c r="E168" s="220"/>
      <c r="F168" s="222">
        <f>F169</f>
        <v>0</v>
      </c>
      <c r="G168" s="222">
        <v>0</v>
      </c>
      <c r="H168" s="222" t="e">
        <f>H169</f>
        <v>#REF!</v>
      </c>
    </row>
    <row r="169" spans="1:8" ht="31.5">
      <c r="A169" s="219" t="s">
        <v>677</v>
      </c>
      <c r="B169" s="220" t="s">
        <v>431</v>
      </c>
      <c r="C169" s="221"/>
      <c r="D169" s="221"/>
      <c r="E169" s="220"/>
      <c r="F169" s="222">
        <f>F170</f>
        <v>0</v>
      </c>
      <c r="G169" s="222">
        <v>0</v>
      </c>
      <c r="H169" s="222" t="e">
        <f>H170</f>
        <v>#REF!</v>
      </c>
    </row>
    <row r="170" spans="1:8" ht="47.25">
      <c r="A170" s="219" t="s">
        <v>636</v>
      </c>
      <c r="B170" s="220" t="s">
        <v>431</v>
      </c>
      <c r="C170" s="221" t="s">
        <v>354</v>
      </c>
      <c r="D170" s="221" t="s">
        <v>353</v>
      </c>
      <c r="E170" s="220">
        <v>240</v>
      </c>
      <c r="F170" s="222"/>
      <c r="G170" s="222">
        <v>0</v>
      </c>
      <c r="H170" s="222" t="e">
        <f>#REF!</f>
        <v>#REF!</v>
      </c>
    </row>
    <row r="171" spans="1:8" ht="63">
      <c r="A171" s="219" t="s">
        <v>137</v>
      </c>
      <c r="B171" s="220" t="s">
        <v>432</v>
      </c>
      <c r="C171" s="221"/>
      <c r="D171" s="221"/>
      <c r="E171" s="220"/>
      <c r="F171" s="222">
        <f>F172</f>
        <v>0</v>
      </c>
      <c r="G171" s="222">
        <v>0</v>
      </c>
      <c r="H171" s="222" t="e">
        <f>H172</f>
        <v>#REF!</v>
      </c>
    </row>
    <row r="172" spans="1:8" ht="94.5">
      <c r="A172" s="219" t="s">
        <v>242</v>
      </c>
      <c r="B172" s="220" t="s">
        <v>433</v>
      </c>
      <c r="C172" s="221"/>
      <c r="D172" s="221"/>
      <c r="E172" s="220"/>
      <c r="F172" s="222">
        <f>F173</f>
        <v>0</v>
      </c>
      <c r="G172" s="222">
        <v>0</v>
      </c>
      <c r="H172" s="222" t="e">
        <f>H173</f>
        <v>#REF!</v>
      </c>
    </row>
    <row r="173" spans="1:8" ht="53.25" customHeight="1">
      <c r="A173" s="219" t="s">
        <v>636</v>
      </c>
      <c r="B173" s="220" t="s">
        <v>433</v>
      </c>
      <c r="C173" s="221" t="s">
        <v>646</v>
      </c>
      <c r="D173" s="221" t="s">
        <v>353</v>
      </c>
      <c r="E173" s="220">
        <v>240</v>
      </c>
      <c r="F173" s="222"/>
      <c r="G173" s="222">
        <v>0</v>
      </c>
      <c r="H173" s="222" t="e">
        <f>#REF!</f>
        <v>#REF!</v>
      </c>
    </row>
    <row r="174" spans="1:8" ht="80.25" customHeight="1">
      <c r="A174" s="210" t="s">
        <v>114</v>
      </c>
      <c r="B174" s="196" t="s">
        <v>123</v>
      </c>
      <c r="C174" s="197"/>
      <c r="D174" s="197"/>
      <c r="E174" s="196"/>
      <c r="F174" s="200" t="e">
        <f>F175+F178+F181+F185+F191</f>
        <v>#REF!</v>
      </c>
      <c r="G174" s="200" t="e">
        <f>G175+G178+G181+G185+G191</f>
        <v>#REF!</v>
      </c>
      <c r="H174" s="200" t="e">
        <f>H175+H178+H181+H185+H191</f>
        <v>#REF!</v>
      </c>
    </row>
    <row r="175" spans="1:8" ht="53.25" customHeight="1">
      <c r="A175" s="9" t="s">
        <v>116</v>
      </c>
      <c r="B175" s="220" t="s">
        <v>124</v>
      </c>
      <c r="C175" s="198"/>
      <c r="D175" s="198"/>
      <c r="E175" s="193"/>
      <c r="F175" s="199">
        <f aca="true" t="shared" si="9" ref="F175:H176">F176</f>
        <v>0</v>
      </c>
      <c r="G175" s="222" t="e">
        <f t="shared" si="9"/>
        <v>#REF!</v>
      </c>
      <c r="H175" s="222" t="e">
        <f t="shared" si="9"/>
        <v>#REF!</v>
      </c>
    </row>
    <row r="176" spans="1:8" ht="36" customHeight="1">
      <c r="A176" s="9" t="s">
        <v>332</v>
      </c>
      <c r="B176" s="220" t="s">
        <v>125</v>
      </c>
      <c r="C176" s="198"/>
      <c r="D176" s="198"/>
      <c r="E176" s="193"/>
      <c r="F176" s="199">
        <f t="shared" si="9"/>
        <v>0</v>
      </c>
      <c r="G176" s="222" t="e">
        <f t="shared" si="9"/>
        <v>#REF!</v>
      </c>
      <c r="H176" s="222" t="e">
        <f t="shared" si="9"/>
        <v>#REF!</v>
      </c>
    </row>
    <row r="177" spans="1:8" ht="53.25" customHeight="1">
      <c r="A177" s="9" t="s">
        <v>636</v>
      </c>
      <c r="B177" s="220" t="s">
        <v>125</v>
      </c>
      <c r="C177" s="221" t="s">
        <v>354</v>
      </c>
      <c r="D177" s="221" t="s">
        <v>350</v>
      </c>
      <c r="E177" s="193">
        <v>240</v>
      </c>
      <c r="F177" s="199">
        <f>'Приложение 4'!Q496</f>
        <v>0</v>
      </c>
      <c r="G177" s="222" t="e">
        <f>#REF!</f>
        <v>#REF!</v>
      </c>
      <c r="H177" s="222" t="e">
        <f>#REF!</f>
        <v>#REF!</v>
      </c>
    </row>
    <row r="178" spans="1:8" ht="53.25" customHeight="1">
      <c r="A178" s="9" t="s">
        <v>117</v>
      </c>
      <c r="B178" s="220" t="s">
        <v>126</v>
      </c>
      <c r="C178" s="198"/>
      <c r="D178" s="198"/>
      <c r="E178" s="193"/>
      <c r="F178" s="199">
        <f aca="true" t="shared" si="10" ref="F178:H179">F179</f>
        <v>184184.59999999998</v>
      </c>
      <c r="G178" s="222" t="e">
        <f t="shared" si="10"/>
        <v>#REF!</v>
      </c>
      <c r="H178" s="222" t="e">
        <f t="shared" si="10"/>
        <v>#REF!</v>
      </c>
    </row>
    <row r="179" spans="1:8" ht="53.25" customHeight="1">
      <c r="A179" s="9" t="s">
        <v>118</v>
      </c>
      <c r="B179" s="220" t="s">
        <v>127</v>
      </c>
      <c r="C179" s="198"/>
      <c r="D179" s="198"/>
      <c r="E179" s="193"/>
      <c r="F179" s="199">
        <f t="shared" si="10"/>
        <v>184184.59999999998</v>
      </c>
      <c r="G179" s="222" t="e">
        <f t="shared" si="10"/>
        <v>#REF!</v>
      </c>
      <c r="H179" s="222" t="e">
        <f t="shared" si="10"/>
        <v>#REF!</v>
      </c>
    </row>
    <row r="180" spans="1:8" ht="53.25" customHeight="1">
      <c r="A180" s="9" t="s">
        <v>636</v>
      </c>
      <c r="B180" s="220" t="s">
        <v>127</v>
      </c>
      <c r="C180" s="221" t="s">
        <v>354</v>
      </c>
      <c r="D180" s="221" t="s">
        <v>350</v>
      </c>
      <c r="E180" s="193">
        <v>240</v>
      </c>
      <c r="F180" s="199">
        <f>'Приложение 4'!Q499</f>
        <v>184184.59999999998</v>
      </c>
      <c r="G180" s="222" t="e">
        <f>#REF!</f>
        <v>#REF!</v>
      </c>
      <c r="H180" s="222" t="e">
        <f>#REF!</f>
        <v>#REF!</v>
      </c>
    </row>
    <row r="181" spans="1:8" ht="53.25" customHeight="1">
      <c r="A181" s="9" t="s">
        <v>119</v>
      </c>
      <c r="B181" s="220" t="s">
        <v>128</v>
      </c>
      <c r="C181" s="198"/>
      <c r="D181" s="198"/>
      <c r="E181" s="193"/>
      <c r="F181" s="199">
        <f>F182</f>
        <v>185</v>
      </c>
      <c r="G181" s="222" t="e">
        <f>G182</f>
        <v>#REF!</v>
      </c>
      <c r="H181" s="222" t="e">
        <f>H182</f>
        <v>#REF!</v>
      </c>
    </row>
    <row r="182" spans="1:8" ht="53.25" customHeight="1">
      <c r="A182" s="9" t="s">
        <v>248</v>
      </c>
      <c r="B182" s="220" t="s">
        <v>129</v>
      </c>
      <c r="C182" s="198"/>
      <c r="D182" s="198"/>
      <c r="E182" s="193"/>
      <c r="F182" s="199">
        <f>F183+F184</f>
        <v>185</v>
      </c>
      <c r="G182" s="222" t="e">
        <f>G183+G184</f>
        <v>#REF!</v>
      </c>
      <c r="H182" s="222" t="e">
        <f>H183+H184</f>
        <v>#REF!</v>
      </c>
    </row>
    <row r="183" spans="1:8" ht="53.25" customHeight="1">
      <c r="A183" s="9" t="s">
        <v>636</v>
      </c>
      <c r="B183" s="220" t="s">
        <v>129</v>
      </c>
      <c r="C183" s="221" t="s">
        <v>354</v>
      </c>
      <c r="D183" s="221" t="s">
        <v>350</v>
      </c>
      <c r="E183" s="193">
        <v>240</v>
      </c>
      <c r="F183" s="199">
        <f>'Приложение 4'!Q502</f>
        <v>92.5</v>
      </c>
      <c r="G183" s="222" t="e">
        <f>#REF!</f>
        <v>#REF!</v>
      </c>
      <c r="H183" s="222" t="e">
        <f>#REF!</f>
        <v>#REF!</v>
      </c>
    </row>
    <row r="184" spans="1:8" ht="24" customHeight="1">
      <c r="A184" s="3" t="s">
        <v>637</v>
      </c>
      <c r="B184" s="220" t="s">
        <v>129</v>
      </c>
      <c r="C184" s="221" t="s">
        <v>354</v>
      </c>
      <c r="D184" s="221" t="s">
        <v>350</v>
      </c>
      <c r="E184" s="193">
        <v>850</v>
      </c>
      <c r="F184" s="199">
        <f>'Приложение 4'!Q503</f>
        <v>92.5</v>
      </c>
      <c r="G184" s="222" t="e">
        <f>#REF!</f>
        <v>#REF!</v>
      </c>
      <c r="H184" s="222" t="e">
        <f>#REF!</f>
        <v>#REF!</v>
      </c>
    </row>
    <row r="185" spans="1:8" ht="53.25" customHeight="1">
      <c r="A185" s="9" t="s">
        <v>120</v>
      </c>
      <c r="B185" s="220" t="s">
        <v>130</v>
      </c>
      <c r="C185" s="198"/>
      <c r="D185" s="198"/>
      <c r="E185" s="193"/>
      <c r="F185" s="199" t="e">
        <f>F186+#REF!+#REF!+#REF!</f>
        <v>#REF!</v>
      </c>
      <c r="G185" s="222" t="e">
        <f>G186</f>
        <v>#REF!</v>
      </c>
      <c r="H185" s="222" t="e">
        <f>H186</f>
        <v>#REF!</v>
      </c>
    </row>
    <row r="186" spans="1:8" ht="41.25" customHeight="1">
      <c r="A186" s="9" t="s">
        <v>309</v>
      </c>
      <c r="B186" s="220" t="s">
        <v>131</v>
      </c>
      <c r="C186" s="198"/>
      <c r="D186" s="198"/>
      <c r="E186" s="193"/>
      <c r="F186" s="199">
        <f>F187+F188+F189+F190</f>
        <v>57230.70000000001</v>
      </c>
      <c r="G186" s="222" t="e">
        <f>G187+G188+G189+G190</f>
        <v>#REF!</v>
      </c>
      <c r="H186" s="222" t="e">
        <f>H187+H188+H189+H190</f>
        <v>#REF!</v>
      </c>
    </row>
    <row r="187" spans="1:8" ht="46.5" customHeight="1">
      <c r="A187" s="9" t="s">
        <v>490</v>
      </c>
      <c r="B187" s="220" t="s">
        <v>131</v>
      </c>
      <c r="C187" s="221" t="s">
        <v>354</v>
      </c>
      <c r="D187" s="221" t="s">
        <v>350</v>
      </c>
      <c r="E187" s="193">
        <v>120</v>
      </c>
      <c r="F187" s="199">
        <f>'Приложение 4'!Q506</f>
        <v>0</v>
      </c>
      <c r="G187" s="222" t="e">
        <f>#REF!</f>
        <v>#REF!</v>
      </c>
      <c r="H187" s="222" t="e">
        <f>#REF!</f>
        <v>#REF!</v>
      </c>
    </row>
    <row r="188" spans="1:8" ht="53.25" customHeight="1">
      <c r="A188" s="9" t="s">
        <v>636</v>
      </c>
      <c r="B188" s="220" t="s">
        <v>131</v>
      </c>
      <c r="C188" s="221" t="s">
        <v>354</v>
      </c>
      <c r="D188" s="221" t="s">
        <v>350</v>
      </c>
      <c r="E188" s="193">
        <v>240</v>
      </c>
      <c r="F188" s="199">
        <f>'Приложение 4'!Q507</f>
        <v>36332.90000000001</v>
      </c>
      <c r="G188" s="222" t="e">
        <f>#REF!</f>
        <v>#REF!</v>
      </c>
      <c r="H188" s="222" t="e">
        <f>#REF!</f>
        <v>#REF!</v>
      </c>
    </row>
    <row r="189" spans="1:8" ht="23.25" customHeight="1">
      <c r="A189" s="3" t="s">
        <v>644</v>
      </c>
      <c r="B189" s="220" t="s">
        <v>131</v>
      </c>
      <c r="C189" s="221" t="s">
        <v>354</v>
      </c>
      <c r="D189" s="221" t="s">
        <v>350</v>
      </c>
      <c r="E189" s="193">
        <v>830</v>
      </c>
      <c r="F189" s="199">
        <f>'Приложение 4'!Q510</f>
        <v>10448.9</v>
      </c>
      <c r="G189" s="222" t="e">
        <f>#REF!</f>
        <v>#REF!</v>
      </c>
      <c r="H189" s="222" t="e">
        <f>#REF!</f>
        <v>#REF!</v>
      </c>
    </row>
    <row r="190" spans="1:8" ht="22.5" customHeight="1">
      <c r="A190" s="3" t="s">
        <v>637</v>
      </c>
      <c r="B190" s="220" t="s">
        <v>131</v>
      </c>
      <c r="C190" s="221" t="s">
        <v>354</v>
      </c>
      <c r="D190" s="221" t="s">
        <v>350</v>
      </c>
      <c r="E190" s="193">
        <v>850</v>
      </c>
      <c r="F190" s="199">
        <f>'Приложение 4'!Q511</f>
        <v>10448.9</v>
      </c>
      <c r="G190" s="222" t="e">
        <f>#REF!</f>
        <v>#REF!</v>
      </c>
      <c r="H190" s="222" t="e">
        <f>#REF!</f>
        <v>#REF!</v>
      </c>
    </row>
    <row r="191" spans="1:8" ht="53.25" customHeight="1">
      <c r="A191" s="9" t="s">
        <v>113</v>
      </c>
      <c r="B191" s="220" t="s">
        <v>136</v>
      </c>
      <c r="C191" s="221"/>
      <c r="D191" s="221"/>
      <c r="E191" s="193"/>
      <c r="F191" s="199">
        <f>F192</f>
        <v>0</v>
      </c>
      <c r="G191" s="222" t="e">
        <f>G192</f>
        <v>#REF!</v>
      </c>
      <c r="H191" s="222" t="e">
        <f>H192</f>
        <v>#REF!</v>
      </c>
    </row>
    <row r="192" spans="1:8" ht="53.25" customHeight="1">
      <c r="A192" s="9" t="s">
        <v>266</v>
      </c>
      <c r="B192" s="220" t="s">
        <v>135</v>
      </c>
      <c r="C192" s="221"/>
      <c r="D192" s="221"/>
      <c r="E192" s="193"/>
      <c r="F192" s="199">
        <f>F193+F194</f>
        <v>0</v>
      </c>
      <c r="G192" s="222" t="e">
        <f>G193+G194</f>
        <v>#REF!</v>
      </c>
      <c r="H192" s="222" t="e">
        <f>H193+H194</f>
        <v>#REF!</v>
      </c>
    </row>
    <row r="193" spans="1:8" ht="53.25" customHeight="1">
      <c r="A193" s="9" t="s">
        <v>636</v>
      </c>
      <c r="B193" s="220" t="s">
        <v>135</v>
      </c>
      <c r="C193" s="221" t="s">
        <v>354</v>
      </c>
      <c r="D193" s="221" t="s">
        <v>350</v>
      </c>
      <c r="E193" s="193">
        <v>240</v>
      </c>
      <c r="F193" s="199">
        <f>'Приложение 4'!Q531</f>
        <v>0</v>
      </c>
      <c r="G193" s="222" t="e">
        <f>#REF!</f>
        <v>#REF!</v>
      </c>
      <c r="H193" s="222" t="e">
        <f>#REF!</f>
        <v>#REF!</v>
      </c>
    </row>
    <row r="194" spans="1:8" ht="53.25" customHeight="1">
      <c r="A194" s="9" t="s">
        <v>641</v>
      </c>
      <c r="B194" s="220" t="s">
        <v>135</v>
      </c>
      <c r="C194" s="221" t="s">
        <v>354</v>
      </c>
      <c r="D194" s="221" t="s">
        <v>352</v>
      </c>
      <c r="E194" s="193">
        <v>320</v>
      </c>
      <c r="F194" s="199">
        <f>'Приложение 4'!Q543</f>
        <v>0</v>
      </c>
      <c r="G194" s="222" t="e">
        <f>#REF!</f>
        <v>#REF!</v>
      </c>
      <c r="H194" s="222" t="e">
        <f>#REF!</f>
        <v>#REF!</v>
      </c>
    </row>
    <row r="195" spans="1:8" s="205" customFormat="1" ht="14.25">
      <c r="A195" s="311" t="s">
        <v>440</v>
      </c>
      <c r="B195" s="312"/>
      <c r="C195" s="312"/>
      <c r="D195" s="312"/>
      <c r="E195" s="313"/>
      <c r="F195" s="212" t="e">
        <f>#REF!+F17+#REF!+#REF!+#REF!+#REF!+#REF!+#REF!+#REF!+F34+F40+F67+F75+F99+F144+F157+F161+F124</f>
        <v>#REF!</v>
      </c>
      <c r="G195" s="212" t="e">
        <f>G17+G34+G40+G67+G75+G99+G144+G157+G161+G124+G30+G87+G174</f>
        <v>#REF!</v>
      </c>
      <c r="H195" s="212" t="e">
        <f>H17+H34+H40+H67+H75+H99+H144+H157+H161+H124+H30+H87+H174</f>
        <v>#REF!</v>
      </c>
    </row>
    <row r="196" ht="15">
      <c r="H196" s="235" t="s">
        <v>487</v>
      </c>
    </row>
  </sheetData>
  <sheetProtection/>
  <mergeCells count="18">
    <mergeCell ref="A10:H10"/>
    <mergeCell ref="A12:H12"/>
    <mergeCell ref="G13:H13"/>
    <mergeCell ref="B5:I5"/>
    <mergeCell ref="B1:H1"/>
    <mergeCell ref="B2:H2"/>
    <mergeCell ref="B3:H3"/>
    <mergeCell ref="B4:E4"/>
    <mergeCell ref="B6:I6"/>
    <mergeCell ref="B7:I7"/>
    <mergeCell ref="F14:H14"/>
    <mergeCell ref="A11:H11"/>
    <mergeCell ref="A195:E195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Хансен С.В.</cp:lastModifiedBy>
  <cp:lastPrinted>2021-05-12T09:04:45Z</cp:lastPrinted>
  <dcterms:created xsi:type="dcterms:W3CDTF">2012-10-30T08:30:04Z</dcterms:created>
  <dcterms:modified xsi:type="dcterms:W3CDTF">2021-05-12T12:07:00Z</dcterms:modified>
  <cp:category/>
  <cp:version/>
  <cp:contentType/>
  <cp:contentStatus/>
</cp:coreProperties>
</file>