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2"/>
  </bookViews>
  <sheets>
    <sheet name="приложение 6" sheetId="1" r:id="rId1"/>
    <sheet name="Приложение 7" sheetId="2" r:id="rId2"/>
    <sheet name="Приложение 8" sheetId="3" r:id="rId3"/>
    <sheet name="Приложение 10" sheetId="4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/>
</workbook>
</file>

<file path=xl/sharedStrings.xml><?xml version="1.0" encoding="utf-8"?>
<sst xmlns="http://schemas.openxmlformats.org/spreadsheetml/2006/main" count="8297" uniqueCount="890">
  <si>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</si>
  <si>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</si>
  <si>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</si>
  <si>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</si>
  <si>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</si>
  <si>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</si>
  <si>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</si>
  <si>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</si>
  <si>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</si>
  <si>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</si>
  <si>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</si>
  <si>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</si>
  <si>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</si>
  <si>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</si>
  <si>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</si>
  <si>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</si>
  <si>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</si>
  <si>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</si>
  <si>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</si>
  <si>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</si>
  <si>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</si>
  <si>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</si>
  <si>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</si>
  <si>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</si>
  <si>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</si>
  <si>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</si>
  <si>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</si>
  <si>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</si>
  <si>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</si>
  <si>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</si>
  <si>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</si>
  <si>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</si>
  <si>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</si>
  <si>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</si>
  <si>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</si>
  <si>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</si>
  <si>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</si>
  <si>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</si>
  <si>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</si>
  <si>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</si>
  <si>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</si>
  <si>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</si>
  <si>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</si>
  <si>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</si>
  <si>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</si>
  <si>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</si>
  <si>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</si>
  <si>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</si>
  <si>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</si>
  <si>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</si>
  <si>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</si>
  <si>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</si>
  <si>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</si>
  <si>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</si>
  <si>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</si>
  <si>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</si>
  <si>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</si>
  <si>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</si>
  <si>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</si>
  <si>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</si>
  <si>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</si>
  <si>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</si>
  <si>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</si>
  <si>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</si>
  <si>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</si>
  <si>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</si>
  <si>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</si>
  <si>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</si>
  <si>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</si>
  <si>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</si>
  <si>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</si>
  <si>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</si>
  <si>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</si>
  <si>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</si>
  <si>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</si>
  <si>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</si>
  <si>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</si>
  <si>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</si>
  <si>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</si>
  <si>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</si>
  <si>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</si>
  <si>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</si>
  <si>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</si>
  <si>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</si>
  <si>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</si>
  <si>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</si>
  <si>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</si>
  <si>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</si>
  <si>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</si>
  <si>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</si>
  <si>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</si>
  <si>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</si>
  <si>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</si>
  <si>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</si>
  <si>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</si>
  <si>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</si>
  <si>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</si>
  <si>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</si>
  <si>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</si>
  <si>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</si>
  <si>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</si>
  <si>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</si>
  <si>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</si>
  <si>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</si>
  <si>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</si>
  <si>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</si>
  <si>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</si>
  <si>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</si>
  <si>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</si>
  <si>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</si>
  <si>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</si>
  <si>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</si>
  <si>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</si>
  <si>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</si>
  <si>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</si>
  <si>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</si>
  <si>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</si>
  <si>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</si>
  <si>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</si>
  <si>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</si>
  <si>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</si>
  <si>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</si>
  <si>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</si>
  <si>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</si>
  <si>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</si>
  <si>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</si>
  <si>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</si>
  <si>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</si>
  <si>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</si>
  <si>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</si>
  <si>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</si>
  <si>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</si>
  <si>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</si>
  <si>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</si>
  <si>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</si>
  <si>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</si>
  <si>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</si>
  <si>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</si>
  <si>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</si>
  <si>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</si>
  <si>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</si>
  <si>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</si>
  <si>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</si>
  <si>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</si>
  <si>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</si>
  <si>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</si>
  <si>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</si>
  <si>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</si>
  <si>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</si>
  <si>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</si>
  <si>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</si>
  <si>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</si>
  <si>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</si>
  <si>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</si>
  <si>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</si>
  <si>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</si>
  <si>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</si>
  <si>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</si>
  <si>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</si>
  <si>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</si>
  <si>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</si>
  <si>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</si>
  <si>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</si>
  <si>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</si>
  <si>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</si>
  <si>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</si>
  <si>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</si>
  <si>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</si>
  <si>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</si>
  <si>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</si>
  <si>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</si>
  <si>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</si>
  <si>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</si>
  <si>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</si>
  <si>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</si>
  <si>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</si>
  <si>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</si>
  <si>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</si>
  <si>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</si>
  <si>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</si>
  <si>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</si>
  <si>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</si>
  <si>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</si>
  <si>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</si>
  <si>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</si>
  <si>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</si>
  <si>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</si>
  <si>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</si>
  <si>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</si>
  <si>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</si>
  <si>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</si>
  <si>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</si>
  <si>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</si>
  <si>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</si>
  <si>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</si>
  <si>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</si>
  <si>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</si>
  <si>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</si>
  <si>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</si>
  <si>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</si>
  <si>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</si>
  <si>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</si>
  <si>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</si>
  <si>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</si>
  <si>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</si>
  <si>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</si>
  <si>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</si>
  <si>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</si>
  <si>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</si>
  <si>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</si>
  <si>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</si>
  <si>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</si>
  <si>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</si>
  <si>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</si>
  <si>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</si>
  <si>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</si>
  <si>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</si>
  <si>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</si>
  <si>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</si>
  <si>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</si>
  <si>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</si>
  <si>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</si>
  <si>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</si>
  <si>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</si>
  <si>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</si>
  <si>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</si>
  <si>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</si>
  <si>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</si>
  <si>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</si>
  <si>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</si>
  <si>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</si>
  <si>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</si>
  <si>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</si>
  <si>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</si>
  <si>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</si>
  <si>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</si>
  <si>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</si>
  <si>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</si>
  <si>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</si>
  <si>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</si>
  <si>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</si>
  <si>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</si>
  <si>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</si>
  <si>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</si>
  <si>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</si>
  <si>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</si>
  <si>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</si>
  <si>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</si>
  <si>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</si>
  <si>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</si>
  <si>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</si>
  <si>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</si>
  <si>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</si>
  <si>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</si>
  <si>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</si>
  <si>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</si>
  <si>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</si>
  <si>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</si>
  <si>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</si>
  <si>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</si>
  <si>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</si>
  <si>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</si>
  <si>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</si>
  <si>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</si>
  <si>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</si>
  <si>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</si>
  <si>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</si>
  <si>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</si>
  <si>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</si>
  <si>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</si>
  <si>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</si>
  <si>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</si>
  <si>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</si>
  <si>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</si>
  <si>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</si>
  <si>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</si>
  <si>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</si>
  <si>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</si>
  <si>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</si>
  <si>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</si>
  <si>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</si>
  <si>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</si>
  <si>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</si>
  <si>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</si>
  <si>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</si>
  <si>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</si>
  <si>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</si>
  <si>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</si>
  <si>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</si>
  <si>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</si>
  <si>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</si>
  <si>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</si>
  <si>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</si>
  <si>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</si>
  <si>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</si>
  <si>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</si>
  <si>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</si>
  <si>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</si>
  <si>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</si>
  <si>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</si>
  <si>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</si>
  <si>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</si>
  <si>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</si>
  <si>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</si>
  <si>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</si>
  <si>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</si>
  <si>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</si>
  <si>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</si>
  <si>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</si>
  <si>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</si>
  <si>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</si>
  <si>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</si>
  <si>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</si>
  <si>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</si>
  <si>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</si>
  <si>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</si>
  <si>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</si>
  <si>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</si>
  <si>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</si>
  <si>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</si>
  <si>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</si>
  <si>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</si>
  <si>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</si>
  <si>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</si>
  <si>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</si>
  <si>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</si>
  <si>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</si>
  <si>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</si>
  <si>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</si>
  <si>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</si>
  <si>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</si>
  <si>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</si>
  <si>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</si>
  <si>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</si>
  <si>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</si>
  <si>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</si>
  <si>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</si>
  <si>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</si>
  <si>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</si>
  <si>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</si>
  <si>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</si>
  <si>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</si>
  <si>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</si>
  <si>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</si>
  <si>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</si>
  <si>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</si>
  <si>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</si>
  <si>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</si>
  <si>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</si>
  <si>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</si>
  <si>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</si>
  <si>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</si>
  <si>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</si>
  <si>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</si>
  <si>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</si>
  <si>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</si>
  <si>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</si>
  <si>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</si>
  <si>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</si>
  <si>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</si>
  <si>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</si>
  <si>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</si>
  <si>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</si>
  <si>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</si>
  <si>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</si>
  <si>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</si>
  <si>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</si>
  <si>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</si>
  <si>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</si>
  <si>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</si>
  <si>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</si>
  <si>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</si>
  <si>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</si>
  <si>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</si>
  <si>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</si>
  <si>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</si>
  <si>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</si>
  <si>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</si>
  <si>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</si>
  <si>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</si>
  <si>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</si>
  <si>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</si>
  <si>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</si>
  <si>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</si>
  <si>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</si>
  <si>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</si>
  <si>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</si>
  <si>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</si>
  <si>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</si>
  <si>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</si>
  <si>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</si>
  <si>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</si>
  <si>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</si>
  <si>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</si>
  <si>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</si>
  <si>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</si>
  <si>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</si>
  <si>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</si>
  <si>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</si>
  <si>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</si>
  <si>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</si>
  <si>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</si>
  <si>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</si>
  <si>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</si>
  <si>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</si>
  <si>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</si>
  <si>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</si>
  <si>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</si>
  <si>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</si>
  <si>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</si>
  <si>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</si>
  <si>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</si>
  <si>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</si>
  <si>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</si>
  <si>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</si>
  <si>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</si>
  <si>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</si>
  <si>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</si>
  <si>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</si>
  <si>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</si>
  <si>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</si>
  <si>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</si>
  <si>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</si>
  <si>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</si>
  <si>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</si>
  <si>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</si>
  <si>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</si>
  <si>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</si>
  <si>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</si>
  <si>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</si>
  <si>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</si>
  <si>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</si>
  <si>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</si>
  <si>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</si>
  <si>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</si>
  <si>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</si>
  <si>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</si>
  <si>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</si>
  <si>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</si>
  <si>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</si>
  <si>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</si>
  <si>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</si>
  <si>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</si>
  <si>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</si>
  <si>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</si>
  <si>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</si>
  <si>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</si>
  <si>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</si>
  <si>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</si>
  <si>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</si>
  <si>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</si>
  <si>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</si>
  <si>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</si>
  <si>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</si>
  <si>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</si>
  <si>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</si>
  <si>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</si>
  <si>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</si>
  <si>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</si>
  <si>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</si>
  <si>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</si>
  <si>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</si>
  <si>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</si>
  <si>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</si>
  <si>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</si>
  <si>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</si>
  <si>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</si>
  <si>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</si>
  <si>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</si>
  <si>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</si>
  <si>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</si>
  <si>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</si>
  <si>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</si>
  <si>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</si>
  <si>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</si>
  <si>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</si>
  <si>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</si>
  <si>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</si>
  <si>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</si>
  <si>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</si>
  <si>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</si>
  <si>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</si>
  <si>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</si>
  <si>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</si>
  <si>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</si>
  <si>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</si>
  <si>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</si>
  <si>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</si>
  <si>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</si>
  <si>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</si>
  <si>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</si>
  <si>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</si>
  <si>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</si>
  <si>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</si>
  <si>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</si>
  <si>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</si>
  <si>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</si>
  <si>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</si>
  <si>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</si>
  <si>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</si>
  <si>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</si>
  <si>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</si>
  <si>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</si>
  <si>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</si>
  <si>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</si>
  <si>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</si>
  <si>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</si>
  <si>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</si>
  <si>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</si>
  <si>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</si>
  <si>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</si>
  <si>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</si>
  <si>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</si>
  <si>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</si>
  <si>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</si>
  <si>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</si>
  <si>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</si>
  <si>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</si>
  <si>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</si>
  <si>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</si>
  <si>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</si>
  <si>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</si>
  <si>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</si>
  <si>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</si>
  <si>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</si>
  <si>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</si>
  <si>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</si>
  <si>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</si>
  <si>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</si>
  <si>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</si>
  <si>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</si>
  <si>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</si>
  <si>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</si>
  <si>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</si>
  <si>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</si>
  <si>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</si>
  <si>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</si>
  <si>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</si>
  <si>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</si>
  <si>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</si>
  <si>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</si>
  <si>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</si>
  <si>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</si>
  <si>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</si>
  <si>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</si>
  <si>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</si>
  <si>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</si>
  <si>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</si>
  <si>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</si>
  <si>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</si>
  <si>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</si>
  <si>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</si>
  <si>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</si>
  <si>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</si>
  <si>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</si>
  <si>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</si>
  <si>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</si>
  <si>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</si>
  <si>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</si>
  <si>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</si>
  <si>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</si>
  <si>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</si>
  <si>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</si>
  <si>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</si>
  <si>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</si>
  <si>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</si>
  <si>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</si>
  <si>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</si>
  <si>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</si>
  <si>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</si>
  <si>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</si>
  <si>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</si>
  <si>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</si>
  <si>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</si>
  <si>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</si>
  <si>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</si>
  <si>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</si>
  <si>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</si>
  <si>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</si>
  <si>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</si>
  <si>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</si>
  <si>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</si>
  <si>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</si>
  <si>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</si>
  <si>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</si>
  <si>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</si>
  <si>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</si>
  <si>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</si>
  <si>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</si>
  <si>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</si>
  <si>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</si>
  <si>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</si>
  <si>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</si>
  <si>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</si>
  <si>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</si>
  <si>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</si>
  <si>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</si>
  <si>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</si>
  <si>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</si>
  <si>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</si>
  <si>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</si>
  <si>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</si>
  <si>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</si>
  <si>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</si>
  <si>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</si>
  <si>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</si>
  <si>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</si>
  <si>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</si>
  <si>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</si>
  <si>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</si>
  <si>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</si>
  <si>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</si>
  <si>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</si>
  <si>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</si>
  <si>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</si>
  <si>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</si>
  <si>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</si>
  <si>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</si>
  <si>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</si>
  <si>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</si>
  <si>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</si>
  <si>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</si>
  <si>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</si>
  <si>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</si>
  <si>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</si>
  <si>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</si>
  <si>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</si>
  <si>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</si>
  <si>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</si>
  <si>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</si>
  <si>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</si>
  <si>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</si>
  <si>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</si>
  <si>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</si>
  <si>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</si>
  <si>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</si>
  <si>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</si>
  <si>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</si>
  <si>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</si>
  <si>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</si>
  <si>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</si>
  <si>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</si>
  <si>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</si>
  <si>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</si>
  <si>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</si>
  <si>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</si>
  <si>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</si>
  <si>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</si>
  <si>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</si>
  <si>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</si>
  <si>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</si>
  <si>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</si>
  <si>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</si>
  <si>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</si>
  <si>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</si>
  <si>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</si>
  <si>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</si>
  <si>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</si>
  <si>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</si>
  <si>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</si>
  <si>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</si>
  <si>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</si>
  <si>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</si>
  <si>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</si>
  <si>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</si>
  <si>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</si>
  <si>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</si>
  <si>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</si>
  <si>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</si>
  <si>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</si>
  <si>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</si>
  <si>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</si>
  <si>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</si>
  <si>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</si>
  <si>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</si>
  <si>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</si>
  <si>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</si>
  <si>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</si>
  <si>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</si>
  <si>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</si>
  <si>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</si>
  <si>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</si>
  <si>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</si>
  <si>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</si>
  <si>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</si>
  <si>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</si>
  <si>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</si>
  <si>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</si>
  <si>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</si>
  <si>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</si>
  <si>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</si>
  <si>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</si>
  <si>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</si>
  <si>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</si>
  <si>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</si>
  <si>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</si>
  <si>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</si>
  <si>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</si>
  <si>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</si>
  <si>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</si>
  <si>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</si>
  <si>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</si>
  <si>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</si>
  <si>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</si>
  <si>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</si>
  <si>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</si>
  <si>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</si>
  <si>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</si>
  <si>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</si>
  <si>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</si>
  <si>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</si>
  <si>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</si>
  <si>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</si>
  <si>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</si>
  <si>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</si>
  <si>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</si>
  <si>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</si>
  <si>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</si>
  <si>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</si>
  <si>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</si>
  <si>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</si>
  <si>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</si>
  <si>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</si>
  <si>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</si>
  <si>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</si>
  <si>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</si>
  <si>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</si>
  <si>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</si>
  <si>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</si>
  <si>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</si>
  <si>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</si>
  <si>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</si>
  <si>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</si>
  <si>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</si>
  <si>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</si>
  <si>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</si>
  <si>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</si>
  <si>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</si>
  <si>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</si>
  <si>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</si>
  <si>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</si>
  <si>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</si>
  <si>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</si>
  <si>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</si>
  <si>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</si>
  <si>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</si>
  <si>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</si>
  <si>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</si>
  <si>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</si>
  <si>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</si>
  <si>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</si>
  <si>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</si>
  <si>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</si>
  <si>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</si>
  <si>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</si>
  <si>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</si>
  <si>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</si>
  <si>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</si>
  <si>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</si>
  <si>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</si>
  <si>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</si>
  <si>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</si>
  <si>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</si>
  <si>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</si>
  <si>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</si>
  <si>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</si>
  <si>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</si>
  <si>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</si>
  <si>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</si>
  <si>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</si>
  <si>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</si>
  <si>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</si>
  <si>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</si>
  <si>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</si>
  <si>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</si>
  <si>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</si>
  <si>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</si>
  <si>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</si>
  <si>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</si>
  <si>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</si>
  <si>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</si>
  <si>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</si>
  <si>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</si>
  <si>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</si>
  <si>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</si>
  <si>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</si>
  <si>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</si>
  <si>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</si>
  <si>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</si>
  <si>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</si>
  <si>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</si>
  <si>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</si>
  <si>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</si>
  <si>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</si>
  <si>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</si>
  <si>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</si>
  <si>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</si>
  <si>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</si>
  <si>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</si>
  <si>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</si>
  <si>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</si>
  <si>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</si>
  <si>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</si>
  <si>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</si>
  <si>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</si>
  <si>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</si>
  <si>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</si>
  <si>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</si>
  <si>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</si>
  <si>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</si>
  <si>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</si>
  <si>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82</t>
    </r>
  </si>
  <si>
    <t>"Приложение 6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</si>
  <si>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</si>
  <si>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 xml:space="preserve">                                                             "Приложение 7</t>
  </si>
  <si>
    <t xml:space="preserve">                                                                 "Приложение 8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</si>
  <si>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</si>
  <si>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r>
      <t xml:space="preserve">от </t>
    </r>
    <r>
      <rPr>
        <u val="single"/>
        <sz val="14"/>
        <color indexed="8"/>
        <rFont val="Times New Roman"/>
        <family val="1"/>
      </rPr>
      <t>11.12.2020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82</t>
    </r>
  </si>
  <si>
    <t>"Приложение 10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</si>
  <si>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</si>
  <si>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</si>
  <si>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</si>
  <si>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</si>
  <si>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</si>
  <si>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</si>
  <si>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</si>
  <si>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</si>
  <si>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</si>
  <si>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</si>
  <si>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</si>
  <si>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</si>
  <si>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</si>
  <si>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</si>
  <si>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</si>
  <si>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</si>
  <si>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</si>
  <si>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</si>
  <si>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</si>
  <si>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</si>
  <si>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</si>
  <si>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</si>
  <si>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</si>
  <si>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</si>
  <si>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</si>
  <si>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</si>
  <si>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</si>
  <si>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</si>
  <si>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</si>
  <si>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</si>
  <si>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</si>
  <si>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</si>
  <si>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</si>
  <si>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</si>
  <si>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</si>
  <si>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</si>
  <si>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</si>
  <si>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</si>
  <si>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</si>
  <si>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</si>
  <si>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</si>
  <si>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</si>
  <si>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</si>
  <si>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</si>
  <si>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</si>
  <si>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</si>
  <si>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</si>
  <si>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</si>
  <si>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</si>
  <si>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</si>
  <si>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</si>
  <si>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</si>
  <si>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</si>
  <si>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</si>
  <si>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</si>
  <si>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</si>
  <si>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</si>
  <si>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</si>
  <si>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Приложение 3</t>
  </si>
  <si>
    <t>Реализация мероприятий проекта "Народный бюджет"</t>
  </si>
  <si>
    <t>Приложение 4</t>
  </si>
  <si>
    <t xml:space="preserve">                                                                  Приложение 5</t>
  </si>
  <si>
    <t>Приложение 6</t>
  </si>
  <si>
    <t>Основное мероприятие «Ремонт автодороги переулок Усадебный г.Белозерск»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</si>
  <si>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</si>
  <si>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</si>
  <si>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</si>
  <si>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</si>
  <si>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</si>
  <si>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</si>
  <si>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>04 0 06 S1350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</si>
</sst>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20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52">
      <selection activeCell="B2" sqref="B2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5.75">
      <c r="B1" s="166" t="s">
        <v>877</v>
      </c>
    </row>
    <row r="2" ht="18.75" customHeight="1">
      <c r="B2" s="34" t="s">
        <v>115</v>
      </c>
    </row>
    <row r="3" ht="18.75" customHeight="1">
      <c r="B3" s="34" t="s">
        <v>472</v>
      </c>
    </row>
    <row r="4" spans="2:4" ht="19.5" customHeight="1">
      <c r="B4" s="36" t="s">
        <v>108</v>
      </c>
      <c r="C4" s="11"/>
      <c r="D4" s="11"/>
    </row>
    <row r="5" spans="1:2" ht="22.5" customHeight="1">
      <c r="A5" s="35"/>
      <c r="B5" s="165" t="s">
        <v>812</v>
      </c>
    </row>
    <row r="6" spans="1:2" ht="15.75">
      <c r="A6" s="35"/>
      <c r="B6" s="37" t="s">
        <v>115</v>
      </c>
    </row>
    <row r="7" spans="1:2" ht="15.75">
      <c r="A7" s="35"/>
      <c r="B7" s="38" t="s">
        <v>116</v>
      </c>
    </row>
    <row r="8" spans="1:2" ht="15.75">
      <c r="A8" s="35"/>
      <c r="B8" s="38" t="s">
        <v>417</v>
      </c>
    </row>
    <row r="9" spans="1:5" ht="15.75">
      <c r="A9" s="35"/>
      <c r="B9" s="354" t="s">
        <v>418</v>
      </c>
      <c r="C9" s="354"/>
      <c r="D9" s="354"/>
      <c r="E9" s="354"/>
    </row>
    <row r="10" ht="15.75">
      <c r="B10" s="34" t="s">
        <v>811</v>
      </c>
    </row>
    <row r="12" ht="18.75">
      <c r="A12" s="121" t="s">
        <v>844</v>
      </c>
    </row>
    <row r="13" ht="18.75">
      <c r="A13" s="185" t="s">
        <v>419</v>
      </c>
    </row>
    <row r="14" spans="1:6" ht="18.75">
      <c r="A14" s="121"/>
      <c r="E14" s="353" t="s">
        <v>570</v>
      </c>
      <c r="F14" s="353"/>
    </row>
    <row r="15" spans="1:6" s="41" customFormat="1" ht="18" customHeight="1">
      <c r="A15" s="355" t="s">
        <v>258</v>
      </c>
      <c r="B15" s="357" t="s">
        <v>362</v>
      </c>
      <c r="C15" s="359" t="s">
        <v>363</v>
      </c>
      <c r="D15" s="361" t="s">
        <v>252</v>
      </c>
      <c r="E15" s="361"/>
      <c r="F15" s="361"/>
    </row>
    <row r="16" spans="1:6" s="41" customFormat="1" ht="15.75">
      <c r="A16" s="356"/>
      <c r="B16" s="358"/>
      <c r="C16" s="360"/>
      <c r="D16" s="1" t="s">
        <v>41</v>
      </c>
      <c r="E16" s="1" t="s">
        <v>562</v>
      </c>
      <c r="F16" s="1" t="s">
        <v>420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364</v>
      </c>
      <c r="B18" s="43" t="s">
        <v>348</v>
      </c>
      <c r="C18" s="44"/>
      <c r="D18" s="179">
        <f>SUM(D19:D25)</f>
        <v>99575.90000000001</v>
      </c>
      <c r="E18" s="179">
        <f>SUM(E19:E25)</f>
        <v>92609.70000000001</v>
      </c>
      <c r="F18" s="179">
        <f>SUM(F19:F25)</f>
        <v>88847.7</v>
      </c>
    </row>
    <row r="19" spans="1:6" ht="51.75" customHeight="1">
      <c r="A19" s="3" t="s">
        <v>353</v>
      </c>
      <c r="B19" s="44" t="s">
        <v>348</v>
      </c>
      <c r="C19" s="44" t="s">
        <v>365</v>
      </c>
      <c r="D19" s="213">
        <f>'Приложение 8'!Q403</f>
        <v>2185.6</v>
      </c>
      <c r="E19" s="213">
        <f>'Приложение 8'!R403</f>
        <v>1961.8</v>
      </c>
      <c r="F19" s="213">
        <f>'Приложение 8'!S403</f>
        <v>1961.8</v>
      </c>
    </row>
    <row r="20" spans="1:6" ht="63" customHeight="1">
      <c r="A20" s="3" t="s">
        <v>251</v>
      </c>
      <c r="B20" s="44" t="s">
        <v>348</v>
      </c>
      <c r="C20" s="44" t="s">
        <v>366</v>
      </c>
      <c r="D20" s="213">
        <f>'Приложение 8'!Q412</f>
        <v>5379.7</v>
      </c>
      <c r="E20" s="213">
        <f>'Приложение 8'!R412</f>
        <v>3642.4</v>
      </c>
      <c r="F20" s="213">
        <f>'Приложение 8'!S412</f>
        <v>3642.4</v>
      </c>
    </row>
    <row r="21" spans="1:6" ht="63" customHeight="1">
      <c r="A21" s="3" t="s">
        <v>367</v>
      </c>
      <c r="B21" s="44" t="s">
        <v>348</v>
      </c>
      <c r="C21" s="44" t="s">
        <v>361</v>
      </c>
      <c r="D21" s="213">
        <f>'Приложение 8'!Q17</f>
        <v>23116.600000000002</v>
      </c>
      <c r="E21" s="213">
        <f>'Приложение 8'!R17</f>
        <v>22012.100000000002</v>
      </c>
      <c r="F21" s="213">
        <f>'Приложение 8'!S17</f>
        <v>22012.100000000002</v>
      </c>
    </row>
    <row r="22" spans="1:6" ht="24" customHeight="1">
      <c r="A22" s="3" t="s">
        <v>389</v>
      </c>
      <c r="B22" s="44" t="s">
        <v>348</v>
      </c>
      <c r="C22" s="44" t="s">
        <v>350</v>
      </c>
      <c r="D22" s="213">
        <f>'Приложение 8'!Q41</f>
        <v>9.1</v>
      </c>
      <c r="E22" s="213">
        <f>'Приложение 8'!R41</f>
        <v>26.9</v>
      </c>
      <c r="F22" s="213">
        <f>'Приложение 8'!S41</f>
        <v>3.7</v>
      </c>
    </row>
    <row r="23" spans="1:6" ht="48" customHeight="1">
      <c r="A23" s="3" t="s">
        <v>120</v>
      </c>
      <c r="B23" s="44" t="s">
        <v>348</v>
      </c>
      <c r="C23" s="44" t="s">
        <v>368</v>
      </c>
      <c r="D23" s="213">
        <f>'Приложение 8'!Q460</f>
        <v>8665</v>
      </c>
      <c r="E23" s="213">
        <f>'Приложение 8'!R460</f>
        <v>5863</v>
      </c>
      <c r="F23" s="213">
        <f>'Приложение 8'!S460</f>
        <v>5863</v>
      </c>
    </row>
    <row r="24" spans="1:6" ht="21.75" customHeight="1">
      <c r="A24" s="45" t="s">
        <v>119</v>
      </c>
      <c r="B24" s="44" t="s">
        <v>348</v>
      </c>
      <c r="C24" s="44" t="s">
        <v>369</v>
      </c>
      <c r="D24" s="213">
        <f>'Приложение 8'!Q46</f>
        <v>0</v>
      </c>
      <c r="E24" s="213">
        <f>'Приложение 8'!R46</f>
        <v>500</v>
      </c>
      <c r="F24" s="213">
        <f>'Приложение 8'!S46</f>
        <v>500</v>
      </c>
    </row>
    <row r="25" spans="1:6" ht="15.75">
      <c r="A25" s="45" t="s">
        <v>321</v>
      </c>
      <c r="B25" s="44" t="s">
        <v>348</v>
      </c>
      <c r="C25" s="44" t="s">
        <v>370</v>
      </c>
      <c r="D25" s="213">
        <f>'Приложение 8'!Q50+'Приложение 8'!Q425+'Приложение 8'!Q445+'Приложение 8'!Q487+'Приложение 8'!Q679</f>
        <v>60219.90000000001</v>
      </c>
      <c r="E25" s="213">
        <f>'Приложение 8'!R50+'Приложение 8'!R425+'Приложение 8'!R445+'Приложение 8'!R487+'Приложение 8'!R679</f>
        <v>58603.50000000001</v>
      </c>
      <c r="F25" s="213">
        <f>'Приложение 8'!S50+'Приложение 8'!S425+'Приложение 8'!S445+'Приложение 8'!S487+'Приложение 8'!S679</f>
        <v>54864.7</v>
      </c>
    </row>
    <row r="26" spans="1:6" ht="41.25" customHeight="1">
      <c r="A26" s="42" t="s">
        <v>385</v>
      </c>
      <c r="B26" s="43" t="s">
        <v>366</v>
      </c>
      <c r="C26" s="43"/>
      <c r="D26" s="214">
        <f>SUM(D27:D28)</f>
        <v>2511.4</v>
      </c>
      <c r="E26" s="214">
        <f>SUM(E27:E28)</f>
        <v>2381.6</v>
      </c>
      <c r="F26" s="214">
        <f>SUM(F27:F28)</f>
        <v>2381.6</v>
      </c>
    </row>
    <row r="27" spans="1:6" ht="46.5" customHeight="1">
      <c r="A27" s="45" t="s">
        <v>810</v>
      </c>
      <c r="B27" s="44" t="s">
        <v>366</v>
      </c>
      <c r="C27" s="44" t="s">
        <v>342</v>
      </c>
      <c r="D27" s="213">
        <f>'Приложение 8'!Q93</f>
        <v>2245.5</v>
      </c>
      <c r="E27" s="213">
        <f>'Приложение 8'!R93</f>
        <v>2115.7</v>
      </c>
      <c r="F27" s="213">
        <f>'Приложение 8'!S93</f>
        <v>2115.7</v>
      </c>
    </row>
    <row r="28" spans="1:6" ht="38.25" customHeight="1">
      <c r="A28" s="45" t="s">
        <v>341</v>
      </c>
      <c r="B28" s="44" t="s">
        <v>366</v>
      </c>
      <c r="C28" s="44" t="s">
        <v>345</v>
      </c>
      <c r="D28" s="213">
        <f>'Приложение 8'!Q102</f>
        <v>265.9</v>
      </c>
      <c r="E28" s="213">
        <f>'Приложение 8'!R102</f>
        <v>265.9</v>
      </c>
      <c r="F28" s="213">
        <f>'Приложение 8'!S102</f>
        <v>265.9</v>
      </c>
    </row>
    <row r="29" spans="1:6" ht="15.75">
      <c r="A29" s="42" t="s">
        <v>371</v>
      </c>
      <c r="B29" s="43" t="s">
        <v>361</v>
      </c>
      <c r="C29" s="43"/>
      <c r="D29" s="214">
        <f>SUM(D30:D32)</f>
        <v>52188.4</v>
      </c>
      <c r="E29" s="214">
        <f>SUM(E30:E32)</f>
        <v>21824.7</v>
      </c>
      <c r="F29" s="214">
        <f>SUM(F30:F32)</f>
        <v>22482.7</v>
      </c>
    </row>
    <row r="30" spans="1:6" ht="15.75">
      <c r="A30" s="4" t="s">
        <v>110</v>
      </c>
      <c r="B30" s="44" t="s">
        <v>361</v>
      </c>
      <c r="C30" s="44" t="s">
        <v>346</v>
      </c>
      <c r="D30" s="213">
        <f>'Приложение 8'!Q120</f>
        <v>3554.1</v>
      </c>
      <c r="E30" s="213">
        <f>'Приложение 8'!R120</f>
        <v>0</v>
      </c>
      <c r="F30" s="213">
        <f>'Приложение 8'!S120</f>
        <v>0</v>
      </c>
    </row>
    <row r="31" spans="1:6" ht="15.75">
      <c r="A31" s="45" t="s">
        <v>96</v>
      </c>
      <c r="B31" s="44" t="s">
        <v>361</v>
      </c>
      <c r="C31" s="44" t="s">
        <v>342</v>
      </c>
      <c r="D31" s="213">
        <f>'Приложение 8'!Q125+'Приложение 8'!Q711</f>
        <v>38905.4</v>
      </c>
      <c r="E31" s="213">
        <f>'Приложение 8'!R125+'Приложение 8'!R711</f>
        <v>14674.4</v>
      </c>
      <c r="F31" s="213">
        <f>'Приложение 8'!S125+'Приложение 8'!S711</f>
        <v>15332.4</v>
      </c>
    </row>
    <row r="32" spans="1:6" ht="31.5">
      <c r="A32" s="3" t="s">
        <v>332</v>
      </c>
      <c r="B32" s="44" t="s">
        <v>361</v>
      </c>
      <c r="C32" s="44" t="s">
        <v>372</v>
      </c>
      <c r="D32" s="213">
        <f>'Приложение 8'!Q165</f>
        <v>9728.900000000001</v>
      </c>
      <c r="E32" s="213">
        <f>'Приложение 8'!R165</f>
        <v>7150.300000000001</v>
      </c>
      <c r="F32" s="213">
        <f>'Приложение 8'!S165</f>
        <v>7150.300000000001</v>
      </c>
    </row>
    <row r="33" spans="1:6" s="48" customFormat="1" ht="33" customHeight="1">
      <c r="A33" s="46" t="s">
        <v>373</v>
      </c>
      <c r="B33" s="47" t="s">
        <v>350</v>
      </c>
      <c r="C33" s="47"/>
      <c r="D33" s="181">
        <f>SUM(D34:D37)</f>
        <v>75621</v>
      </c>
      <c r="E33" s="181">
        <f>SUM(E34:E37)</f>
        <v>53869.1</v>
      </c>
      <c r="F33" s="181">
        <f>SUM(F34:F37)</f>
        <v>7275.9</v>
      </c>
    </row>
    <row r="34" spans="1:6" s="48" customFormat="1" ht="19.5" customHeight="1">
      <c r="A34" s="210" t="s">
        <v>391</v>
      </c>
      <c r="B34" s="50" t="s">
        <v>350</v>
      </c>
      <c r="C34" s="50" t="s">
        <v>348</v>
      </c>
      <c r="D34" s="182">
        <f>'Приложение 8'!Q200</f>
        <v>39640.4</v>
      </c>
      <c r="E34" s="182">
        <f>'Приложение 8'!R200</f>
        <v>42865.2</v>
      </c>
      <c r="F34" s="182">
        <f>'Приложение 8'!S200</f>
        <v>6222.4</v>
      </c>
    </row>
    <row r="35" spans="1:6" s="48" customFormat="1" ht="19.5" customHeight="1">
      <c r="A35" s="49" t="s">
        <v>468</v>
      </c>
      <c r="B35" s="50" t="s">
        <v>350</v>
      </c>
      <c r="C35" s="50" t="s">
        <v>365</v>
      </c>
      <c r="D35" s="182">
        <f>'Приложение 8'!Q212</f>
        <v>29149</v>
      </c>
      <c r="E35" s="182">
        <f>'Приложение 8'!R212</f>
        <v>10450.4</v>
      </c>
      <c r="F35" s="182">
        <f>'Приложение 8'!S212</f>
        <v>500</v>
      </c>
    </row>
    <row r="36" spans="1:6" s="48" customFormat="1" ht="19.5" customHeight="1">
      <c r="A36" s="210" t="s">
        <v>38</v>
      </c>
      <c r="B36" s="50" t="s">
        <v>350</v>
      </c>
      <c r="C36" s="50" t="s">
        <v>366</v>
      </c>
      <c r="D36" s="182">
        <f>'Приложение 8'!Q230</f>
        <v>250.8</v>
      </c>
      <c r="E36" s="182">
        <f>'Приложение 8'!R230</f>
        <v>203.4</v>
      </c>
      <c r="F36" s="182">
        <f>'Приложение 8'!S230</f>
        <v>203.4</v>
      </c>
    </row>
    <row r="37" spans="1:6" s="48" customFormat="1" ht="33" customHeight="1">
      <c r="A37" s="209" t="s">
        <v>396</v>
      </c>
      <c r="B37" s="50" t="s">
        <v>350</v>
      </c>
      <c r="C37" s="50" t="s">
        <v>350</v>
      </c>
      <c r="D37" s="213">
        <f>'Приложение 8'!Q239</f>
        <v>6580.8</v>
      </c>
      <c r="E37" s="213">
        <f>'Приложение 8'!R239</f>
        <v>350.1</v>
      </c>
      <c r="F37" s="213">
        <f>'Приложение 8'!S239</f>
        <v>350.1</v>
      </c>
    </row>
    <row r="38" spans="1:6" s="48" customFormat="1" ht="15.75">
      <c r="A38" s="46" t="s">
        <v>374</v>
      </c>
      <c r="B38" s="47" t="s">
        <v>368</v>
      </c>
      <c r="C38" s="47"/>
      <c r="D38" s="181">
        <f>SUM(D39:D40)</f>
        <v>761.4</v>
      </c>
      <c r="E38" s="181">
        <f>SUM(E39:E40)</f>
        <v>9552.699999999999</v>
      </c>
      <c r="F38" s="181">
        <f>SUM(F39:F40)</f>
        <v>642.8</v>
      </c>
    </row>
    <row r="39" spans="1:6" s="48" customFormat="1" ht="37.5" customHeight="1">
      <c r="A39" s="52" t="s">
        <v>335</v>
      </c>
      <c r="B39" s="50" t="s">
        <v>368</v>
      </c>
      <c r="C39" s="50" t="s">
        <v>366</v>
      </c>
      <c r="D39" s="213">
        <f>'Приложение 8'!Q255</f>
        <v>10.4</v>
      </c>
      <c r="E39" s="213">
        <f>'Приложение 8'!R255</f>
        <v>10.4</v>
      </c>
      <c r="F39" s="213">
        <f>'Приложение 8'!S255</f>
        <v>10.4</v>
      </c>
    </row>
    <row r="40" spans="1:6" s="48" customFormat="1" ht="34.5" customHeight="1">
      <c r="A40" s="53" t="s">
        <v>334</v>
      </c>
      <c r="B40" s="50" t="s">
        <v>368</v>
      </c>
      <c r="C40" s="50" t="s">
        <v>350</v>
      </c>
      <c r="D40" s="213">
        <f>'Приложение 8'!Q256</f>
        <v>751</v>
      </c>
      <c r="E40" s="213">
        <f>'Приложение 8'!R256</f>
        <v>9542.3</v>
      </c>
      <c r="F40" s="213">
        <f>'Приложение 8'!S256</f>
        <v>632.4</v>
      </c>
    </row>
    <row r="41" spans="1:6" ht="15.75">
      <c r="A41" s="42" t="s">
        <v>375</v>
      </c>
      <c r="B41" s="43" t="s">
        <v>352</v>
      </c>
      <c r="C41" s="43"/>
      <c r="D41" s="214">
        <f>SUM(D42:D46)</f>
        <v>288407.9000000001</v>
      </c>
      <c r="E41" s="214">
        <f>SUM(E42:E46)</f>
        <v>279328.6</v>
      </c>
      <c r="F41" s="214">
        <f>SUM(F42:F46)</f>
        <v>282609.1</v>
      </c>
    </row>
    <row r="42" spans="1:6" ht="15.75">
      <c r="A42" s="45" t="s">
        <v>124</v>
      </c>
      <c r="B42" s="44" t="s">
        <v>352</v>
      </c>
      <c r="C42" s="44" t="s">
        <v>348</v>
      </c>
      <c r="D42" s="213">
        <f>'Приложение 8'!Q526</f>
        <v>79538.7</v>
      </c>
      <c r="E42" s="213">
        <f>'Приложение 8'!R526</f>
        <v>78895.9</v>
      </c>
      <c r="F42" s="213">
        <f>'Приложение 8'!S526</f>
        <v>78895.79999999999</v>
      </c>
    </row>
    <row r="43" spans="1:6" ht="15.75">
      <c r="A43" s="45" t="s">
        <v>330</v>
      </c>
      <c r="B43" s="44" t="s">
        <v>352</v>
      </c>
      <c r="C43" s="44" t="s">
        <v>365</v>
      </c>
      <c r="D43" s="213">
        <f>'Приложение 8'!Q548</f>
        <v>180227.80000000005</v>
      </c>
      <c r="E43" s="213">
        <f>'Приложение 8'!R548</f>
        <v>170979.40000000002</v>
      </c>
      <c r="F43" s="213">
        <f>'Приложение 8'!S548</f>
        <v>174259.8</v>
      </c>
    </row>
    <row r="44" spans="1:6" ht="15.75">
      <c r="A44" s="45" t="s">
        <v>105</v>
      </c>
      <c r="B44" s="44" t="s">
        <v>352</v>
      </c>
      <c r="C44" s="44" t="s">
        <v>366</v>
      </c>
      <c r="D44" s="213">
        <f>'Приложение 8'!Q596+'Приложение 8'!Q273</f>
        <v>12236.7</v>
      </c>
      <c r="E44" s="213">
        <f>'Приложение 8'!R596+'Приложение 8'!R273</f>
        <v>11530.8</v>
      </c>
      <c r="F44" s="213">
        <f>'Приложение 8'!S596+'Приложение 8'!S273</f>
        <v>11530.8</v>
      </c>
    </row>
    <row r="45" spans="1:6" ht="18.75" customHeight="1">
      <c r="A45" s="45" t="s">
        <v>97</v>
      </c>
      <c r="B45" s="44" t="s">
        <v>352</v>
      </c>
      <c r="C45" s="44" t="s">
        <v>352</v>
      </c>
      <c r="D45" s="213">
        <f>'Приложение 8'!Q287</f>
        <v>359.3</v>
      </c>
      <c r="E45" s="213">
        <f>'Приложение 8'!R287</f>
        <v>319.3</v>
      </c>
      <c r="F45" s="213">
        <f>'Приложение 8'!S287</f>
        <v>319.3</v>
      </c>
    </row>
    <row r="46" spans="1:6" ht="22.5" customHeight="1">
      <c r="A46" s="45" t="s">
        <v>329</v>
      </c>
      <c r="B46" s="44" t="s">
        <v>352</v>
      </c>
      <c r="C46" s="44" t="s">
        <v>342</v>
      </c>
      <c r="D46" s="213">
        <f>'Приложение 8'!Q608</f>
        <v>16045.399999999998</v>
      </c>
      <c r="E46" s="213">
        <f>'Приложение 8'!R608</f>
        <v>17603.2</v>
      </c>
      <c r="F46" s="213">
        <f>'Приложение 8'!S608</f>
        <v>17603.4</v>
      </c>
    </row>
    <row r="47" spans="1:6" ht="22.5" customHeight="1">
      <c r="A47" s="42" t="s">
        <v>388</v>
      </c>
      <c r="B47" s="43" t="s">
        <v>346</v>
      </c>
      <c r="C47" s="43"/>
      <c r="D47" s="179">
        <f>SUM(D48)</f>
        <v>32831</v>
      </c>
      <c r="E47" s="179">
        <f>SUM(E48)</f>
        <v>30867.1</v>
      </c>
      <c r="F47" s="179">
        <f>SUM(F48)</f>
        <v>28667.199999999997</v>
      </c>
    </row>
    <row r="48" spans="1:6" ht="15.75">
      <c r="A48" s="45" t="s">
        <v>138</v>
      </c>
      <c r="B48" s="44" t="s">
        <v>346</v>
      </c>
      <c r="C48" s="44" t="s">
        <v>348</v>
      </c>
      <c r="D48" s="213">
        <f>'Приложение 8'!Q303</f>
        <v>32831</v>
      </c>
      <c r="E48" s="213">
        <f>'Приложение 8'!R303</f>
        <v>30867.1</v>
      </c>
      <c r="F48" s="213">
        <f>'Приложение 8'!S303</f>
        <v>28667.199999999997</v>
      </c>
    </row>
    <row r="49" spans="1:6" ht="17.25" customHeight="1">
      <c r="A49" s="42" t="s">
        <v>376</v>
      </c>
      <c r="B49" s="43" t="s">
        <v>342</v>
      </c>
      <c r="C49" s="44"/>
      <c r="D49" s="179">
        <f>D50</f>
        <v>88.2</v>
      </c>
      <c r="E49" s="179">
        <f>E50</f>
        <v>88.2</v>
      </c>
      <c r="F49" s="179">
        <f>F50</f>
        <v>88.2</v>
      </c>
    </row>
    <row r="50" spans="1:6" ht="17.25" customHeight="1">
      <c r="A50" s="45" t="s">
        <v>351</v>
      </c>
      <c r="B50" s="44" t="s">
        <v>342</v>
      </c>
      <c r="C50" s="44" t="s">
        <v>352</v>
      </c>
      <c r="D50" s="215">
        <f>'Приложение 8'!Q339</f>
        <v>88.2</v>
      </c>
      <c r="E50" s="215">
        <f>'Приложение 8'!R339</f>
        <v>88.2</v>
      </c>
      <c r="F50" s="215">
        <f>'Приложение 8'!S339</f>
        <v>88.2</v>
      </c>
    </row>
    <row r="51" spans="1:6" ht="15.75">
      <c r="A51" s="42" t="s">
        <v>377</v>
      </c>
      <c r="B51" s="43" t="s">
        <v>358</v>
      </c>
      <c r="C51" s="43"/>
      <c r="D51" s="179">
        <f>SUM(D52:D56)</f>
        <v>18424.2</v>
      </c>
      <c r="E51" s="179">
        <f>SUM(E52:E56)</f>
        <v>14877.4</v>
      </c>
      <c r="F51" s="179">
        <f>SUM(F52:F56)</f>
        <v>14850.300000000001</v>
      </c>
    </row>
    <row r="52" spans="1:6" ht="15.75">
      <c r="A52" s="16" t="s">
        <v>137</v>
      </c>
      <c r="B52" s="44" t="s">
        <v>358</v>
      </c>
      <c r="C52" s="44" t="s">
        <v>348</v>
      </c>
      <c r="D52" s="213">
        <f>'Приложение 8'!Q345</f>
        <v>2028</v>
      </c>
      <c r="E52" s="213">
        <f>'Приложение 8'!R345</f>
        <v>2160</v>
      </c>
      <c r="F52" s="213">
        <f>'Приложение 8'!S345</f>
        <v>2160</v>
      </c>
    </row>
    <row r="53" spans="1:6" ht="15.75" hidden="1">
      <c r="A53" s="45" t="s">
        <v>136</v>
      </c>
      <c r="B53" s="44" t="s">
        <v>358</v>
      </c>
      <c r="C53" s="44" t="s">
        <v>365</v>
      </c>
      <c r="D53" s="213"/>
      <c r="E53" s="213"/>
      <c r="F53" s="213"/>
    </row>
    <row r="54" spans="1:6" s="48" customFormat="1" ht="21.75" customHeight="1">
      <c r="A54" s="51" t="s">
        <v>378</v>
      </c>
      <c r="B54" s="50" t="s">
        <v>358</v>
      </c>
      <c r="C54" s="50" t="s">
        <v>366</v>
      </c>
      <c r="D54" s="213">
        <f>'Приложение 8'!Q350+'Приложение 8'!Q437+'Приложение 8'!Q717</f>
        <v>11503.2</v>
      </c>
      <c r="E54" s="213">
        <f>'Приложение 8'!R350+'Приложение 8'!R437+'Приложение 8'!R717</f>
        <v>7862.5</v>
      </c>
      <c r="F54" s="213">
        <f>'Приложение 8'!S350+'Приложение 8'!S437+'Приложение 8'!S717</f>
        <v>7835.400000000001</v>
      </c>
    </row>
    <row r="55" spans="1:6" s="48" customFormat="1" ht="15.75">
      <c r="A55" s="17" t="s">
        <v>125</v>
      </c>
      <c r="B55" s="50" t="s">
        <v>358</v>
      </c>
      <c r="C55" s="50" t="s">
        <v>361</v>
      </c>
      <c r="D55" s="213">
        <f>'Приложение 8'!Q671</f>
        <v>3455.4</v>
      </c>
      <c r="E55" s="213">
        <f>'Приложение 8'!R671</f>
        <v>3455.4</v>
      </c>
      <c r="F55" s="213">
        <f>'Приложение 8'!S671</f>
        <v>3455.4</v>
      </c>
    </row>
    <row r="56" spans="1:6" ht="15.75">
      <c r="A56" s="16" t="s">
        <v>324</v>
      </c>
      <c r="B56" s="44" t="s">
        <v>358</v>
      </c>
      <c r="C56" s="44" t="s">
        <v>368</v>
      </c>
      <c r="D56" s="213">
        <f>'Приложение 8'!Q366</f>
        <v>1437.6</v>
      </c>
      <c r="E56" s="213">
        <f>'Приложение 8'!R366</f>
        <v>1399.5</v>
      </c>
      <c r="F56" s="213">
        <f>'Приложение 8'!S366</f>
        <v>1399.5</v>
      </c>
    </row>
    <row r="57" spans="1:6" ht="15.75">
      <c r="A57" s="54" t="s">
        <v>379</v>
      </c>
      <c r="B57" s="43" t="s">
        <v>369</v>
      </c>
      <c r="C57" s="43"/>
      <c r="D57" s="179">
        <f>SUM(D58:D60)</f>
        <v>49439.600000000006</v>
      </c>
      <c r="E57" s="179">
        <f>SUM(E58:E60)</f>
        <v>11807.6</v>
      </c>
      <c r="F57" s="179">
        <f>SUM(F58:F60)</f>
        <v>8352</v>
      </c>
    </row>
    <row r="58" spans="1:6" ht="15.75">
      <c r="A58" s="55" t="s">
        <v>380</v>
      </c>
      <c r="B58" s="44" t="s">
        <v>369</v>
      </c>
      <c r="C58" s="44" t="s">
        <v>348</v>
      </c>
      <c r="D58" s="213">
        <f>'Приложение 8'!Q378</f>
        <v>49439.600000000006</v>
      </c>
      <c r="E58" s="213">
        <f>'Приложение 8'!R378</f>
        <v>11807.6</v>
      </c>
      <c r="F58" s="213">
        <f>'Приложение 8'!S378</f>
        <v>8352</v>
      </c>
    </row>
    <row r="59" spans="1:6" ht="15.75" hidden="1">
      <c r="A59" s="56" t="s">
        <v>381</v>
      </c>
      <c r="B59" s="57" t="s">
        <v>369</v>
      </c>
      <c r="C59" s="57" t="s">
        <v>365</v>
      </c>
      <c r="D59" s="213"/>
      <c r="E59" s="213"/>
      <c r="F59" s="213"/>
    </row>
    <row r="60" spans="1:6" ht="31.5" hidden="1">
      <c r="A60" s="56" t="s">
        <v>382</v>
      </c>
      <c r="B60" s="57" t="s">
        <v>369</v>
      </c>
      <c r="C60" s="57" t="s">
        <v>350</v>
      </c>
      <c r="D60" s="213"/>
      <c r="E60" s="213"/>
      <c r="F60" s="213"/>
    </row>
    <row r="61" spans="1:6" ht="31.5">
      <c r="A61" s="58" t="s">
        <v>383</v>
      </c>
      <c r="B61" s="59" t="s">
        <v>370</v>
      </c>
      <c r="C61" s="59"/>
      <c r="D61" s="214">
        <f>SUM(D62)</f>
        <v>10</v>
      </c>
      <c r="E61" s="214">
        <f>SUM(E62)</f>
        <v>0</v>
      </c>
      <c r="F61" s="214">
        <f>SUM(F62)</f>
        <v>0</v>
      </c>
    </row>
    <row r="62" spans="1:6" ht="31.5">
      <c r="A62" s="56" t="s">
        <v>809</v>
      </c>
      <c r="B62" s="57" t="s">
        <v>370</v>
      </c>
      <c r="C62" s="57" t="s">
        <v>348</v>
      </c>
      <c r="D62" s="216">
        <f>'Приложение 8'!Q500</f>
        <v>10</v>
      </c>
      <c r="E62" s="216">
        <f>'Приложение 8'!R500</f>
        <v>0</v>
      </c>
      <c r="F62" s="216">
        <f>'Приложение 8'!S500</f>
        <v>0</v>
      </c>
    </row>
    <row r="63" spans="1:6" ht="63">
      <c r="A63" s="61" t="s">
        <v>98</v>
      </c>
      <c r="B63" s="59" t="s">
        <v>345</v>
      </c>
      <c r="C63" s="59"/>
      <c r="D63" s="180">
        <f>SUM(D64:D65)</f>
        <v>35351.4</v>
      </c>
      <c r="E63" s="180">
        <f>SUM(E64:E65)</f>
        <v>19143.600000000002</v>
      </c>
      <c r="F63" s="180">
        <f>SUM(F64:F65)</f>
        <v>21151.1</v>
      </c>
    </row>
    <row r="64" spans="1:6" ht="47.25">
      <c r="A64" s="10" t="s">
        <v>360</v>
      </c>
      <c r="B64" s="57" t="s">
        <v>345</v>
      </c>
      <c r="C64" s="57" t="s">
        <v>348</v>
      </c>
      <c r="D64" s="216">
        <f>'Приложение 8'!Q508</f>
        <v>5126</v>
      </c>
      <c r="E64" s="216">
        <f>'Приложение 8'!R508</f>
        <v>5225.3</v>
      </c>
      <c r="F64" s="216">
        <f>'Приложение 8'!S508</f>
        <v>5640.5</v>
      </c>
    </row>
    <row r="65" spans="1:6" ht="15.75">
      <c r="A65" s="10" t="s">
        <v>395</v>
      </c>
      <c r="B65" s="57" t="s">
        <v>345</v>
      </c>
      <c r="C65" s="57" t="s">
        <v>365</v>
      </c>
      <c r="D65" s="216">
        <f>'Приложение 8'!Q516</f>
        <v>30225.4</v>
      </c>
      <c r="E65" s="216">
        <f>'Приложение 8'!R516</f>
        <v>13918.300000000001</v>
      </c>
      <c r="F65" s="216">
        <f>'Приложение 8'!S516</f>
        <v>15510.6</v>
      </c>
    </row>
    <row r="66" spans="1:6" ht="15.75">
      <c r="A66" s="42" t="s">
        <v>384</v>
      </c>
      <c r="B66" s="43"/>
      <c r="C66" s="43"/>
      <c r="D66" s="179">
        <f>D63+D61+D57+D51+D47+D49+D41+D38+D29+D26+D18+D33</f>
        <v>655210.4000000001</v>
      </c>
      <c r="E66" s="179">
        <f>E63+E61+E57+E51+E47+E49+E41+E38+E29+E26+E18+E33</f>
        <v>536350.3</v>
      </c>
      <c r="F66" s="179">
        <f>F63+F61+F57+F51+F47+F49+F41+F38+F29+F26+F18+F33</f>
        <v>477348.6</v>
      </c>
    </row>
    <row r="67" spans="1:6" ht="15.75">
      <c r="A67" s="42" t="s">
        <v>573</v>
      </c>
      <c r="B67" s="190"/>
      <c r="C67" s="190"/>
      <c r="D67" s="179" t="s">
        <v>393</v>
      </c>
      <c r="E67" s="179">
        <f>'Приложение 8'!R723</f>
        <v>6500</v>
      </c>
      <c r="F67" s="179">
        <f>'Приложение 8'!S723</f>
        <v>13200</v>
      </c>
    </row>
    <row r="68" spans="1:6" ht="15.75">
      <c r="A68" s="42" t="s">
        <v>574</v>
      </c>
      <c r="B68" s="190"/>
      <c r="C68" s="190"/>
      <c r="D68" s="191">
        <f>D66</f>
        <v>655210.4000000001</v>
      </c>
      <c r="E68" s="179">
        <f>E66+E67</f>
        <v>542850.3</v>
      </c>
      <c r="F68" s="179">
        <f>F66+F67</f>
        <v>490548.6</v>
      </c>
    </row>
    <row r="69" spans="1:6" ht="15.75">
      <c r="A69" s="62"/>
      <c r="F69" s="192" t="s">
        <v>314</v>
      </c>
    </row>
    <row r="70" ht="15.75">
      <c r="A70" s="62"/>
    </row>
    <row r="71" ht="18" customHeight="1">
      <c r="A71" s="62"/>
    </row>
    <row r="72" ht="15.75">
      <c r="A72" s="62"/>
    </row>
    <row r="73" ht="34.5" customHeight="1">
      <c r="A73" s="62"/>
    </row>
    <row r="74" ht="27" customHeight="1">
      <c r="A74" s="62"/>
    </row>
    <row r="75" ht="15.75">
      <c r="A75" s="62"/>
    </row>
    <row r="76" ht="15.75">
      <c r="A76" s="62"/>
    </row>
    <row r="77" ht="15.75">
      <c r="A77" s="62"/>
    </row>
    <row r="78" spans="1:6" s="60" customFormat="1" ht="15.75">
      <c r="A78" s="62"/>
      <c r="B78" s="34"/>
      <c r="C78" s="34"/>
      <c r="D78" s="35"/>
      <c r="E78" s="35"/>
      <c r="F78" s="35"/>
    </row>
    <row r="79" spans="1:6" s="60" customFormat="1" ht="30.75" customHeight="1">
      <c r="A79" s="62"/>
      <c r="B79" s="34"/>
      <c r="C79" s="34"/>
      <c r="D79" s="35"/>
      <c r="E79" s="35"/>
      <c r="F79" s="35"/>
    </row>
    <row r="80" spans="1:6" s="60" customFormat="1" ht="58.5" customHeight="1">
      <c r="A80" s="62"/>
      <c r="B80" s="34"/>
      <c r="C80" s="34"/>
      <c r="D80" s="35"/>
      <c r="E80" s="35"/>
      <c r="F80" s="35"/>
    </row>
    <row r="81" spans="1:6" s="60" customFormat="1" ht="49.5" customHeight="1">
      <c r="A81" s="62"/>
      <c r="B81" s="34"/>
      <c r="C81" s="34"/>
      <c r="D81" s="35"/>
      <c r="E81" s="35"/>
      <c r="F81" s="35"/>
    </row>
    <row r="82" spans="1:6" s="60" customFormat="1" ht="15.75">
      <c r="A82" s="62"/>
      <c r="B82" s="34"/>
      <c r="C82" s="34"/>
      <c r="D82" s="35"/>
      <c r="E82" s="35"/>
      <c r="F82" s="35"/>
    </row>
    <row r="83" ht="15" customHeight="1">
      <c r="A83" s="62"/>
    </row>
    <row r="84" spans="1:6" s="60" customFormat="1" ht="15.75">
      <c r="A84" s="62"/>
      <c r="B84" s="34"/>
      <c r="C84" s="34"/>
      <c r="D84" s="35"/>
      <c r="E84" s="35"/>
      <c r="F84" s="35"/>
    </row>
    <row r="85" spans="1:6" s="60" customFormat="1" ht="15.75">
      <c r="A85" s="33"/>
      <c r="B85" s="34"/>
      <c r="C85" s="34"/>
      <c r="D85" s="35"/>
      <c r="E85" s="35"/>
      <c r="F85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5"/>
  <sheetViews>
    <sheetView showGridLines="0" zoomScale="70" zoomScaleNormal="70" zoomScaleSheetLayoutView="100" workbookViewId="0" topLeftCell="H82">
      <selection activeCell="Q108" sqref="Q108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4" customWidth="1"/>
    <col min="9" max="9" width="7.8515625" style="167" hidden="1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spans="9:17" ht="20.25" customHeight="1">
      <c r="I1" s="168" t="s">
        <v>554</v>
      </c>
      <c r="P1" s="376" t="s">
        <v>879</v>
      </c>
      <c r="Q1" s="376"/>
    </row>
    <row r="2" spans="9:18" ht="15.75">
      <c r="I2" s="168" t="s">
        <v>315</v>
      </c>
      <c r="P2" s="376" t="s">
        <v>247</v>
      </c>
      <c r="Q2" s="376"/>
      <c r="R2" s="376"/>
    </row>
    <row r="3" spans="9:18" ht="15.75">
      <c r="I3" s="66" t="s">
        <v>316</v>
      </c>
      <c r="P3" s="376" t="s">
        <v>843</v>
      </c>
      <c r="Q3" s="376"/>
      <c r="R3" s="376"/>
    </row>
    <row r="4" spans="8:19" ht="15.75">
      <c r="H4" s="65"/>
      <c r="I4" s="66" t="s">
        <v>393</v>
      </c>
      <c r="J4" s="367" t="s">
        <v>814</v>
      </c>
      <c r="K4" s="367"/>
      <c r="L4" s="367"/>
      <c r="M4" s="367"/>
      <c r="N4" s="367"/>
      <c r="O4" s="367"/>
      <c r="P4" s="367"/>
      <c r="Q4" s="367"/>
      <c r="R4" s="367"/>
      <c r="S4" s="367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393</v>
      </c>
      <c r="J5" s="367" t="s">
        <v>569</v>
      </c>
      <c r="K5" s="367"/>
      <c r="L5" s="367"/>
      <c r="M5" s="367"/>
      <c r="N5" s="367"/>
      <c r="O5" s="367"/>
      <c r="P5" s="367"/>
      <c r="Q5" s="367"/>
      <c r="R5" s="367"/>
      <c r="S5" s="367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393</v>
      </c>
      <c r="J6" s="367" t="s">
        <v>415</v>
      </c>
      <c r="K6" s="367"/>
      <c r="L6" s="367"/>
      <c r="M6" s="367"/>
      <c r="N6" s="367"/>
      <c r="O6" s="367"/>
      <c r="P6" s="367"/>
      <c r="Q6" s="367"/>
      <c r="R6" s="367"/>
      <c r="S6" s="367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393</v>
      </c>
      <c r="J7" s="368" t="s">
        <v>414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393</v>
      </c>
      <c r="I8" s="70" t="s">
        <v>393</v>
      </c>
      <c r="J8" s="369" t="s">
        <v>813</v>
      </c>
      <c r="K8" s="369"/>
      <c r="L8" s="369"/>
      <c r="M8" s="369"/>
      <c r="N8" s="369"/>
      <c r="O8" s="369"/>
      <c r="P8" s="369"/>
      <c r="Q8" s="369"/>
      <c r="R8" s="369"/>
      <c r="S8" s="369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264</v>
      </c>
      <c r="C10" s="76" t="s">
        <v>263</v>
      </c>
      <c r="D10" s="76" t="s">
        <v>262</v>
      </c>
      <c r="E10" s="76" t="s">
        <v>261</v>
      </c>
      <c r="F10" s="76" t="s">
        <v>260</v>
      </c>
      <c r="G10" s="76" t="s">
        <v>259</v>
      </c>
      <c r="H10" s="370" t="s">
        <v>416</v>
      </c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77"/>
      <c r="S11" s="377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78" t="s">
        <v>258</v>
      </c>
      <c r="I12" s="392" t="s">
        <v>257</v>
      </c>
      <c r="J12" s="392" t="s">
        <v>256</v>
      </c>
      <c r="K12" s="378" t="s">
        <v>255</v>
      </c>
      <c r="L12" s="383" t="s">
        <v>254</v>
      </c>
      <c r="M12" s="384"/>
      <c r="N12" s="384"/>
      <c r="O12" s="385"/>
      <c r="P12" s="378" t="s">
        <v>253</v>
      </c>
      <c r="Q12" s="389" t="s">
        <v>309</v>
      </c>
      <c r="R12" s="390"/>
      <c r="S12" s="391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79"/>
      <c r="I13" s="393"/>
      <c r="J13" s="393"/>
      <c r="K13" s="379"/>
      <c r="L13" s="386"/>
      <c r="M13" s="387"/>
      <c r="N13" s="387"/>
      <c r="O13" s="388"/>
      <c r="P13" s="379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80">
        <v>5</v>
      </c>
      <c r="M14" s="381"/>
      <c r="N14" s="381"/>
      <c r="O14" s="382"/>
      <c r="P14" s="80">
        <v>6</v>
      </c>
      <c r="Q14" s="83">
        <v>7</v>
      </c>
      <c r="R14" s="272">
        <v>8</v>
      </c>
      <c r="S14" s="272">
        <v>9</v>
      </c>
    </row>
    <row r="15" spans="1:19" s="171" customFormat="1" ht="18.75" customHeight="1">
      <c r="A15" s="365">
        <v>100</v>
      </c>
      <c r="B15" s="365"/>
      <c r="C15" s="366"/>
      <c r="D15" s="366"/>
      <c r="E15" s="366"/>
      <c r="F15" s="366"/>
      <c r="G15" s="129">
        <v>120</v>
      </c>
      <c r="H15" s="130" t="s">
        <v>322</v>
      </c>
      <c r="I15" s="131">
        <v>27</v>
      </c>
      <c r="J15" s="132">
        <v>1</v>
      </c>
      <c r="K15" s="132" t="s">
        <v>393</v>
      </c>
      <c r="L15" s="133" t="s">
        <v>320</v>
      </c>
      <c r="M15" s="134" t="s">
        <v>320</v>
      </c>
      <c r="N15" s="134"/>
      <c r="O15" s="134" t="s">
        <v>320</v>
      </c>
      <c r="P15" s="131" t="s">
        <v>320</v>
      </c>
      <c r="Q15" s="194">
        <f>Q16+Q25+Q38+Q62+Q67+Q93+Q97</f>
        <v>99575.9</v>
      </c>
      <c r="R15" s="194">
        <f>R16+R25+R38+R62+R67+R93+R97</f>
        <v>92609.70000000001</v>
      </c>
      <c r="S15" s="194">
        <f>S16+S25+S38+S62+S67+S93+S97</f>
        <v>88847.7</v>
      </c>
    </row>
    <row r="16" spans="1:19" s="171" customFormat="1" ht="36" customHeight="1">
      <c r="A16" s="135"/>
      <c r="B16" s="136"/>
      <c r="C16" s="146"/>
      <c r="D16" s="143"/>
      <c r="E16" s="147"/>
      <c r="F16" s="147"/>
      <c r="G16" s="129"/>
      <c r="H16" s="130" t="s">
        <v>353</v>
      </c>
      <c r="I16" s="131">
        <v>28</v>
      </c>
      <c r="J16" s="132">
        <v>1</v>
      </c>
      <c r="K16" s="132">
        <v>2</v>
      </c>
      <c r="L16" s="177"/>
      <c r="M16" s="178"/>
      <c r="N16" s="178"/>
      <c r="O16" s="178"/>
      <c r="P16" s="131"/>
      <c r="Q16" s="285">
        <f>Q17</f>
        <v>2185.6</v>
      </c>
      <c r="R16" s="285">
        <f>R17</f>
        <v>1961.8</v>
      </c>
      <c r="S16" s="285">
        <f>S17</f>
        <v>1961.8</v>
      </c>
    </row>
    <row r="17" spans="1:19" s="171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355</v>
      </c>
      <c r="I17" s="9">
        <v>28</v>
      </c>
      <c r="J17" s="15">
        <v>1</v>
      </c>
      <c r="K17" s="15">
        <v>2</v>
      </c>
      <c r="L17" s="15" t="s">
        <v>356</v>
      </c>
      <c r="M17" s="92" t="s">
        <v>347</v>
      </c>
      <c r="N17" s="92" t="s">
        <v>357</v>
      </c>
      <c r="O17" s="92" t="s">
        <v>392</v>
      </c>
      <c r="P17" s="9" t="s">
        <v>320</v>
      </c>
      <c r="Q17" s="195">
        <f>Q18+Q23+Q21</f>
        <v>2185.6</v>
      </c>
      <c r="R17" s="195">
        <f>R18+R23</f>
        <v>1961.8</v>
      </c>
      <c r="S17" s="195">
        <f>S18+S23</f>
        <v>1961.8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501</v>
      </c>
      <c r="I18" s="9">
        <v>28</v>
      </c>
      <c r="J18" s="15">
        <v>1</v>
      </c>
      <c r="K18" s="15">
        <v>2</v>
      </c>
      <c r="L18" s="117" t="s">
        <v>356</v>
      </c>
      <c r="M18" s="118" t="s">
        <v>347</v>
      </c>
      <c r="N18" s="118" t="s">
        <v>357</v>
      </c>
      <c r="O18" s="118" t="s">
        <v>398</v>
      </c>
      <c r="P18" s="9"/>
      <c r="Q18" s="195">
        <f>SUM(Q19:Q20)</f>
        <v>1648.6</v>
      </c>
      <c r="R18" s="195">
        <f>SUM(R19:R20)</f>
        <v>1648.6</v>
      </c>
      <c r="S18" s="195">
        <f>SUM(S19:S20)</f>
        <v>1648.6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319</v>
      </c>
      <c r="I19" s="9">
        <v>28</v>
      </c>
      <c r="J19" s="15">
        <v>1</v>
      </c>
      <c r="K19" s="15">
        <v>2</v>
      </c>
      <c r="L19" s="117" t="s">
        <v>356</v>
      </c>
      <c r="M19" s="118" t="s">
        <v>347</v>
      </c>
      <c r="N19" s="118" t="s">
        <v>357</v>
      </c>
      <c r="O19" s="118" t="s">
        <v>398</v>
      </c>
      <c r="P19" s="9">
        <v>120</v>
      </c>
      <c r="Q19" s="195">
        <f>'Приложение 8'!Q406</f>
        <v>1648.6</v>
      </c>
      <c r="R19" s="195">
        <v>1648.6</v>
      </c>
      <c r="S19" s="195">
        <v>1648.6</v>
      </c>
    </row>
    <row r="20" spans="1:19" ht="24.75" customHeight="1">
      <c r="A20" s="93"/>
      <c r="B20" s="94"/>
      <c r="C20" s="99"/>
      <c r="D20" s="97"/>
      <c r="E20" s="109"/>
      <c r="F20" s="109"/>
      <c r="G20" s="85"/>
      <c r="H20" s="10" t="str">
        <f>'Приложение 8'!H407</f>
        <v>Иные закупки товаров, работ и услуг для обеспечения государственных (муниципальных) нужд</v>
      </c>
      <c r="I20" s="9">
        <f>'Приложение 8'!I407</f>
        <v>28</v>
      </c>
      <c r="J20" s="15">
        <f>'Приложение 8'!J407</f>
        <v>1</v>
      </c>
      <c r="K20" s="15">
        <f>'Приложение 8'!K407</f>
        <v>2</v>
      </c>
      <c r="L20" s="117" t="str">
        <f>'Приложение 8'!L407</f>
        <v>92</v>
      </c>
      <c r="M20" s="118" t="str">
        <f>'Приложение 8'!M407</f>
        <v>0</v>
      </c>
      <c r="N20" s="118" t="str">
        <f>'Приложение 8'!N407</f>
        <v>00</v>
      </c>
      <c r="O20" s="118" t="str">
        <f>'Приложение 8'!O407</f>
        <v>00190</v>
      </c>
      <c r="P20" s="9">
        <f>'Приложение 8'!P407</f>
        <v>240</v>
      </c>
      <c r="Q20" s="195">
        <f>'Приложение 8'!Q407</f>
        <v>0</v>
      </c>
      <c r="R20" s="195">
        <f>'Приложение 8'!R407</f>
        <v>0</v>
      </c>
      <c r="S20" s="195">
        <f>'Приложение 8'!S407</f>
        <v>0</v>
      </c>
    </row>
    <row r="21" spans="1:19" ht="33" customHeight="1">
      <c r="A21" s="93"/>
      <c r="B21" s="94"/>
      <c r="C21" s="99"/>
      <c r="D21" s="97"/>
      <c r="E21" s="109"/>
      <c r="F21" s="109"/>
      <c r="G21" s="85"/>
      <c r="H21" s="10" t="str">
        <f>'Приложение 8'!H408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8'!I408</f>
        <v>28</v>
      </c>
      <c r="J21" s="15">
        <f>'Приложение 8'!J408</f>
        <v>1</v>
      </c>
      <c r="K21" s="15">
        <f>'Приложение 8'!K408</f>
        <v>2</v>
      </c>
      <c r="L21" s="117" t="str">
        <f>'Приложение 8'!L408</f>
        <v>92</v>
      </c>
      <c r="M21" s="118" t="str">
        <f>'Приложение 8'!M408</f>
        <v>0</v>
      </c>
      <c r="N21" s="118" t="str">
        <f>'Приложение 8'!N408</f>
        <v>00</v>
      </c>
      <c r="O21" s="118" t="str">
        <f>'Приложение 8'!O408</f>
        <v>55490</v>
      </c>
      <c r="P21" s="9" t="s">
        <v>393</v>
      </c>
      <c r="Q21" s="195">
        <f>'Приложение 8'!Q408</f>
        <v>164.2</v>
      </c>
      <c r="R21" s="195">
        <f>'Приложение 8'!R408</f>
        <v>0</v>
      </c>
      <c r="S21" s="195">
        <f>'Приложение 8'!S408</f>
        <v>0</v>
      </c>
    </row>
    <row r="22" spans="1:19" ht="24.75" customHeight="1">
      <c r="A22" s="93"/>
      <c r="B22" s="94"/>
      <c r="C22" s="99"/>
      <c r="D22" s="97"/>
      <c r="E22" s="109"/>
      <c r="F22" s="109"/>
      <c r="G22" s="85"/>
      <c r="H22" s="10" t="str">
        <f>'Приложение 8'!H409</f>
        <v>Расходы на выплаты персоналу государственных (муниципальных) органов</v>
      </c>
      <c r="I22" s="9">
        <f>'Приложение 8'!I409</f>
        <v>28</v>
      </c>
      <c r="J22" s="15">
        <f>'Приложение 8'!J409</f>
        <v>1</v>
      </c>
      <c r="K22" s="15">
        <f>'Приложение 8'!K409</f>
        <v>2</v>
      </c>
      <c r="L22" s="117" t="str">
        <f>'Приложение 8'!L409</f>
        <v>92</v>
      </c>
      <c r="M22" s="118" t="str">
        <f>'Приложение 8'!M409</f>
        <v>0</v>
      </c>
      <c r="N22" s="118" t="str">
        <f>'Приложение 8'!N409</f>
        <v>00</v>
      </c>
      <c r="O22" s="118" t="str">
        <f>'Приложение 8'!O409</f>
        <v>55490</v>
      </c>
      <c r="P22" s="9">
        <f>'Приложение 8'!P409</f>
        <v>120</v>
      </c>
      <c r="Q22" s="195">
        <f>'Приложение 8'!Q409</f>
        <v>164.2</v>
      </c>
      <c r="R22" s="195">
        <f>'Приложение 8'!R409</f>
        <v>0</v>
      </c>
      <c r="S22" s="195">
        <f>'Приложение 8'!S409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595</v>
      </c>
      <c r="I23" s="9">
        <v>28</v>
      </c>
      <c r="J23" s="15">
        <v>1</v>
      </c>
      <c r="K23" s="15">
        <v>2</v>
      </c>
      <c r="L23" s="117" t="s">
        <v>356</v>
      </c>
      <c r="M23" s="118" t="s">
        <v>347</v>
      </c>
      <c r="N23" s="118" t="s">
        <v>357</v>
      </c>
      <c r="O23" s="118" t="s">
        <v>594</v>
      </c>
      <c r="P23" s="9"/>
      <c r="Q23" s="195">
        <f>Q24</f>
        <v>372.8</v>
      </c>
      <c r="R23" s="195">
        <f>R24</f>
        <v>313.2</v>
      </c>
      <c r="S23" s="195">
        <f>S24</f>
        <v>313.2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319</v>
      </c>
      <c r="I24" s="9">
        <v>28</v>
      </c>
      <c r="J24" s="15">
        <v>1</v>
      </c>
      <c r="K24" s="15">
        <v>2</v>
      </c>
      <c r="L24" s="117" t="s">
        <v>356</v>
      </c>
      <c r="M24" s="118" t="s">
        <v>347</v>
      </c>
      <c r="N24" s="118" t="s">
        <v>357</v>
      </c>
      <c r="O24" s="118" t="s">
        <v>594</v>
      </c>
      <c r="P24" s="9">
        <v>120</v>
      </c>
      <c r="Q24" s="195">
        <f>'Приложение 8'!Q411</f>
        <v>372.8</v>
      </c>
      <c r="R24" s="195">
        <v>313.2</v>
      </c>
      <c r="S24" s="195">
        <v>313.2</v>
      </c>
    </row>
    <row r="25" spans="1:19" s="171" customFormat="1" ht="36" customHeight="1">
      <c r="A25" s="135"/>
      <c r="B25" s="136"/>
      <c r="C25" s="146"/>
      <c r="D25" s="143"/>
      <c r="E25" s="147"/>
      <c r="F25" s="147"/>
      <c r="G25" s="129"/>
      <c r="H25" s="130" t="s">
        <v>251</v>
      </c>
      <c r="I25" s="131">
        <v>28</v>
      </c>
      <c r="J25" s="132">
        <v>1</v>
      </c>
      <c r="K25" s="132">
        <v>3</v>
      </c>
      <c r="L25" s="177"/>
      <c r="M25" s="178"/>
      <c r="N25" s="178"/>
      <c r="O25" s="178"/>
      <c r="P25" s="131"/>
      <c r="Q25" s="194">
        <f>Q26</f>
        <v>5379.7</v>
      </c>
      <c r="R25" s="194">
        <f>R26</f>
        <v>3642.4</v>
      </c>
      <c r="S25" s="194">
        <f>S26</f>
        <v>3642.4</v>
      </c>
    </row>
    <row r="26" spans="1:19" s="171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355</v>
      </c>
      <c r="I26" s="9">
        <v>28</v>
      </c>
      <c r="J26" s="15">
        <v>1</v>
      </c>
      <c r="K26" s="15">
        <v>3</v>
      </c>
      <c r="L26" s="15" t="s">
        <v>356</v>
      </c>
      <c r="M26" s="92" t="s">
        <v>347</v>
      </c>
      <c r="N26" s="92" t="s">
        <v>357</v>
      </c>
      <c r="O26" s="92" t="s">
        <v>392</v>
      </c>
      <c r="P26" s="131"/>
      <c r="Q26" s="194">
        <f>Q27+Q33+Q35+Q31</f>
        <v>5379.7</v>
      </c>
      <c r="R26" s="194">
        <f>R27+R33+R35</f>
        <v>3642.4</v>
      </c>
      <c r="S26" s="194">
        <f>S27+S33+S35</f>
        <v>3642.4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501</v>
      </c>
      <c r="I27" s="9">
        <v>28</v>
      </c>
      <c r="J27" s="15">
        <v>1</v>
      </c>
      <c r="K27" s="15">
        <v>3</v>
      </c>
      <c r="L27" s="117" t="s">
        <v>356</v>
      </c>
      <c r="M27" s="118" t="s">
        <v>347</v>
      </c>
      <c r="N27" s="118" t="s">
        <v>357</v>
      </c>
      <c r="O27" s="118" t="s">
        <v>398</v>
      </c>
      <c r="P27" s="9"/>
      <c r="Q27" s="195">
        <f>SUM(Q28:Q30)</f>
        <v>4565.3</v>
      </c>
      <c r="R27" s="195">
        <f>SUM(R28:R29)</f>
        <v>3233.5</v>
      </c>
      <c r="S27" s="195">
        <f>SUM(S28:S29)</f>
        <v>3233.5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319</v>
      </c>
      <c r="I28" s="9">
        <v>28</v>
      </c>
      <c r="J28" s="15">
        <v>1</v>
      </c>
      <c r="K28" s="15">
        <v>3</v>
      </c>
      <c r="L28" s="117" t="s">
        <v>356</v>
      </c>
      <c r="M28" s="118" t="s">
        <v>347</v>
      </c>
      <c r="N28" s="118" t="s">
        <v>357</v>
      </c>
      <c r="O28" s="118" t="s">
        <v>398</v>
      </c>
      <c r="P28" s="9">
        <v>120</v>
      </c>
      <c r="Q28" s="195">
        <f>'Приложение 8'!Q415</f>
        <v>3253.7</v>
      </c>
      <c r="R28" s="195">
        <v>2269</v>
      </c>
      <c r="S28" s="195">
        <v>2269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454</v>
      </c>
      <c r="I29" s="9">
        <v>28</v>
      </c>
      <c r="J29" s="15">
        <v>1</v>
      </c>
      <c r="K29" s="15">
        <v>3</v>
      </c>
      <c r="L29" s="117" t="s">
        <v>356</v>
      </c>
      <c r="M29" s="118" t="s">
        <v>347</v>
      </c>
      <c r="N29" s="118" t="s">
        <v>357</v>
      </c>
      <c r="O29" s="118" t="s">
        <v>398</v>
      </c>
      <c r="P29" s="9">
        <v>240</v>
      </c>
      <c r="Q29" s="195">
        <f>'Приложение 8'!Q416</f>
        <v>1311.5</v>
      </c>
      <c r="R29" s="195">
        <v>964.5</v>
      </c>
      <c r="S29" s="195">
        <v>964.5</v>
      </c>
    </row>
    <row r="30" spans="1:19" ht="23.25" customHeight="1">
      <c r="A30" s="93"/>
      <c r="B30" s="94"/>
      <c r="C30" s="99"/>
      <c r="D30" s="97"/>
      <c r="E30" s="109"/>
      <c r="F30" s="109"/>
      <c r="G30" s="85"/>
      <c r="H30" s="10" t="str">
        <f>'Приложение 8'!H417</f>
        <v>Уплата налогов, сборов и иных платежей</v>
      </c>
      <c r="I30" s="9">
        <f>'Приложение 8'!I417</f>
        <v>28</v>
      </c>
      <c r="J30" s="15">
        <f>'Приложение 8'!J417</f>
        <v>1</v>
      </c>
      <c r="K30" s="15">
        <f>'Приложение 8'!K417</f>
        <v>3</v>
      </c>
      <c r="L30" s="117" t="str">
        <f>'Приложение 8'!L417</f>
        <v>92</v>
      </c>
      <c r="M30" s="118" t="str">
        <f>'Приложение 8'!M417</f>
        <v>0</v>
      </c>
      <c r="N30" s="118" t="str">
        <f>'Приложение 8'!N417</f>
        <v>00</v>
      </c>
      <c r="O30" s="118" t="str">
        <f>'Приложение 8'!O417</f>
        <v>00190</v>
      </c>
      <c r="P30" s="9">
        <f>'Приложение 8'!P417</f>
        <v>850</v>
      </c>
      <c r="Q30" s="195">
        <f>'Приложение 8'!Q417</f>
        <v>0.1</v>
      </c>
      <c r="R30" s="197">
        <f>'Приложение 8'!R417</f>
        <v>0</v>
      </c>
      <c r="S30" s="197">
        <f>'Приложение 8'!S417</f>
        <v>0</v>
      </c>
    </row>
    <row r="31" spans="1:19" ht="35.25" customHeight="1">
      <c r="A31" s="93"/>
      <c r="B31" s="94"/>
      <c r="C31" s="99"/>
      <c r="D31" s="97"/>
      <c r="E31" s="109"/>
      <c r="F31" s="109"/>
      <c r="G31" s="85"/>
      <c r="H31" s="10" t="str">
        <f>'Приложение 8'!H418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8'!I418</f>
        <v>28</v>
      </c>
      <c r="J31" s="15">
        <f>'Приложение 8'!J418</f>
        <v>1</v>
      </c>
      <c r="K31" s="15">
        <f>'Приложение 8'!K418</f>
        <v>3</v>
      </c>
      <c r="L31" s="117" t="str">
        <f>'Приложение 8'!L418</f>
        <v>92</v>
      </c>
      <c r="M31" s="118" t="str">
        <f>'Приложение 8'!M418</f>
        <v>0</v>
      </c>
      <c r="N31" s="118" t="str">
        <f>'Приложение 8'!N418</f>
        <v>00</v>
      </c>
      <c r="O31" s="118" t="str">
        <f>'Приложение 8'!O418</f>
        <v>55490</v>
      </c>
      <c r="P31" s="9" t="s">
        <v>393</v>
      </c>
      <c r="Q31" s="195">
        <f>'Приложение 8'!Q418</f>
        <v>79.3</v>
      </c>
      <c r="R31" s="197">
        <f>'Приложение 8'!R418</f>
        <v>0</v>
      </c>
      <c r="S31" s="197">
        <f>'Приложение 8'!S418</f>
        <v>0</v>
      </c>
    </row>
    <row r="32" spans="1:19" ht="23.25" customHeight="1">
      <c r="A32" s="93"/>
      <c r="B32" s="94"/>
      <c r="C32" s="99"/>
      <c r="D32" s="97"/>
      <c r="E32" s="109"/>
      <c r="F32" s="109"/>
      <c r="G32" s="85"/>
      <c r="H32" s="10" t="str">
        <f>'Приложение 8'!H419</f>
        <v>Расходы на выплаты персоналу государственных (муниципальных) органов</v>
      </c>
      <c r="I32" s="9">
        <f>'Приложение 8'!I419</f>
        <v>28</v>
      </c>
      <c r="J32" s="15">
        <f>'Приложение 8'!J419</f>
        <v>1</v>
      </c>
      <c r="K32" s="15">
        <f>'Приложение 8'!K419</f>
        <v>3</v>
      </c>
      <c r="L32" s="117" t="str">
        <f>'Приложение 8'!L419</f>
        <v>92</v>
      </c>
      <c r="M32" s="118" t="str">
        <f>'Приложение 8'!M419</f>
        <v>0</v>
      </c>
      <c r="N32" s="118" t="str">
        <f>'Приложение 8'!N419</f>
        <v>00</v>
      </c>
      <c r="O32" s="118" t="str">
        <f>'Приложение 8'!O419</f>
        <v>55490</v>
      </c>
      <c r="P32" s="9">
        <f>'Приложение 8'!P419</f>
        <v>120</v>
      </c>
      <c r="Q32" s="195">
        <f>'Приложение 8'!Q419</f>
        <v>79.3</v>
      </c>
      <c r="R32" s="197">
        <f>'Приложение 8'!R419</f>
        <v>0</v>
      </c>
      <c r="S32" s="197">
        <f>'Приложение 8'!S419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595</v>
      </c>
      <c r="I33" s="9">
        <v>28</v>
      </c>
      <c r="J33" s="15">
        <v>1</v>
      </c>
      <c r="K33" s="15">
        <v>3</v>
      </c>
      <c r="L33" s="117" t="s">
        <v>356</v>
      </c>
      <c r="M33" s="118" t="s">
        <v>347</v>
      </c>
      <c r="N33" s="118" t="s">
        <v>357</v>
      </c>
      <c r="O33" s="118" t="s">
        <v>594</v>
      </c>
      <c r="P33" s="9"/>
      <c r="Q33" s="195">
        <f>Q34</f>
        <v>521.9</v>
      </c>
      <c r="R33" s="197">
        <f>R34</f>
        <v>408.9</v>
      </c>
      <c r="S33" s="197">
        <f>S34</f>
        <v>408.9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319</v>
      </c>
      <c r="I34" s="9">
        <v>28</v>
      </c>
      <c r="J34" s="15">
        <v>1</v>
      </c>
      <c r="K34" s="15">
        <v>3</v>
      </c>
      <c r="L34" s="117" t="s">
        <v>356</v>
      </c>
      <c r="M34" s="118" t="s">
        <v>347</v>
      </c>
      <c r="N34" s="118" t="s">
        <v>357</v>
      </c>
      <c r="O34" s="118" t="s">
        <v>594</v>
      </c>
      <c r="P34" s="9">
        <v>120</v>
      </c>
      <c r="Q34" s="195">
        <f>'Приложение 8'!Q421</f>
        <v>521.9</v>
      </c>
      <c r="R34" s="197">
        <v>408.9</v>
      </c>
      <c r="S34" s="197">
        <v>408.9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4" t="s">
        <v>551</v>
      </c>
      <c r="I35" s="9">
        <v>28</v>
      </c>
      <c r="J35" s="15">
        <v>1</v>
      </c>
      <c r="K35" s="15">
        <v>3</v>
      </c>
      <c r="L35" s="117" t="s">
        <v>356</v>
      </c>
      <c r="M35" s="118" t="s">
        <v>347</v>
      </c>
      <c r="N35" s="118" t="s">
        <v>357</v>
      </c>
      <c r="O35" s="118" t="s">
        <v>4</v>
      </c>
      <c r="P35" s="5"/>
      <c r="Q35" s="197">
        <f>SUM(Q36:Q37)</f>
        <v>213.2</v>
      </c>
      <c r="R35" s="197">
        <f>SUM(R36:R37)</f>
        <v>0</v>
      </c>
      <c r="S35" s="197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319</v>
      </c>
      <c r="I36" s="9">
        <v>28</v>
      </c>
      <c r="J36" s="15">
        <v>1</v>
      </c>
      <c r="K36" s="15">
        <v>3</v>
      </c>
      <c r="L36" s="117" t="s">
        <v>356</v>
      </c>
      <c r="M36" s="118" t="s">
        <v>347</v>
      </c>
      <c r="N36" s="118" t="s">
        <v>357</v>
      </c>
      <c r="O36" s="118" t="s">
        <v>4</v>
      </c>
      <c r="P36" s="5">
        <v>120</v>
      </c>
      <c r="Q36" s="197">
        <f>'Приложение 8'!Q423</f>
        <v>203</v>
      </c>
      <c r="R36" s="197">
        <v>0</v>
      </c>
      <c r="S36" s="197">
        <v>0</v>
      </c>
    </row>
    <row r="37" spans="1:19" ht="23.25" customHeight="1">
      <c r="A37" s="93"/>
      <c r="B37" s="94"/>
      <c r="C37" s="99"/>
      <c r="D37" s="97"/>
      <c r="E37" s="109"/>
      <c r="F37" s="109"/>
      <c r="G37" s="85"/>
      <c r="H37" s="10" t="s">
        <v>454</v>
      </c>
      <c r="I37" s="9">
        <v>28</v>
      </c>
      <c r="J37" s="15">
        <v>1</v>
      </c>
      <c r="K37" s="15">
        <v>3</v>
      </c>
      <c r="L37" s="117" t="s">
        <v>356</v>
      </c>
      <c r="M37" s="118" t="s">
        <v>347</v>
      </c>
      <c r="N37" s="118" t="s">
        <v>357</v>
      </c>
      <c r="O37" s="118" t="s">
        <v>4</v>
      </c>
      <c r="P37" s="5">
        <v>240</v>
      </c>
      <c r="Q37" s="197">
        <v>10.2</v>
      </c>
      <c r="R37" s="197">
        <v>0</v>
      </c>
      <c r="S37" s="197">
        <v>0</v>
      </c>
    </row>
    <row r="38" spans="1:19" s="171" customFormat="1" ht="45" customHeight="1">
      <c r="A38" s="135"/>
      <c r="B38" s="136"/>
      <c r="C38" s="365">
        <v>104</v>
      </c>
      <c r="D38" s="366"/>
      <c r="E38" s="366"/>
      <c r="F38" s="366"/>
      <c r="G38" s="129">
        <v>120</v>
      </c>
      <c r="H38" s="130" t="s">
        <v>250</v>
      </c>
      <c r="I38" s="131">
        <v>27</v>
      </c>
      <c r="J38" s="132">
        <v>1</v>
      </c>
      <c r="K38" s="132">
        <v>4</v>
      </c>
      <c r="L38" s="133" t="s">
        <v>320</v>
      </c>
      <c r="M38" s="134" t="s">
        <v>320</v>
      </c>
      <c r="N38" s="134" t="s">
        <v>393</v>
      </c>
      <c r="O38" s="134" t="s">
        <v>320</v>
      </c>
      <c r="P38" s="131" t="s">
        <v>320</v>
      </c>
      <c r="Q38" s="194">
        <f aca="true" t="shared" si="0" ref="Q38:S39">Q39</f>
        <v>23116.600000000002</v>
      </c>
      <c r="R38" s="194">
        <f t="shared" si="0"/>
        <v>22012.100000000002</v>
      </c>
      <c r="S38" s="194">
        <f t="shared" si="0"/>
        <v>22012.100000000002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53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357</v>
      </c>
      <c r="O39" s="92" t="s">
        <v>392</v>
      </c>
      <c r="P39" s="9"/>
      <c r="Q39" s="195">
        <f t="shared" si="0"/>
        <v>23116.600000000002</v>
      </c>
      <c r="R39" s="195">
        <f t="shared" si="0"/>
        <v>22012.100000000002</v>
      </c>
      <c r="S39" s="195">
        <f t="shared" si="0"/>
        <v>22012.100000000002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54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392</v>
      </c>
      <c r="P40" s="9"/>
      <c r="Q40" s="195">
        <f>Q41+Q48+Q50+Q53+Q55+Q58+Q60+Q46</f>
        <v>23116.600000000002</v>
      </c>
      <c r="R40" s="195">
        <f>R41+R48+R50+R53+R55+R58</f>
        <v>22012.100000000002</v>
      </c>
      <c r="S40" s="195">
        <f>S41+S48+S50+S53+S55+S58</f>
        <v>22012.100000000002</v>
      </c>
    </row>
    <row r="41" spans="1:19" ht="29.25" customHeight="1">
      <c r="A41" s="95"/>
      <c r="B41" s="94"/>
      <c r="C41" s="93"/>
      <c r="D41" s="371">
        <v>20000</v>
      </c>
      <c r="E41" s="372"/>
      <c r="F41" s="372"/>
      <c r="G41" s="85">
        <v>120</v>
      </c>
      <c r="H41" s="10" t="s">
        <v>100</v>
      </c>
      <c r="I41" s="9">
        <v>27</v>
      </c>
      <c r="J41" s="15">
        <v>1</v>
      </c>
      <c r="K41" s="15">
        <v>4</v>
      </c>
      <c r="L41" s="15">
        <v>50</v>
      </c>
      <c r="M41" s="92" t="s">
        <v>347</v>
      </c>
      <c r="N41" s="92" t="s">
        <v>348</v>
      </c>
      <c r="O41" s="92" t="s">
        <v>398</v>
      </c>
      <c r="P41" s="9" t="s">
        <v>320</v>
      </c>
      <c r="Q41" s="195">
        <f>SUM(Q42:Q45)</f>
        <v>17991.300000000003</v>
      </c>
      <c r="R41" s="195">
        <f>SUM(R42:R45)</f>
        <v>19338.600000000002</v>
      </c>
      <c r="S41" s="195">
        <f>SUM(S42:S45)</f>
        <v>19338.600000000002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319</v>
      </c>
      <c r="I42" s="5">
        <v>27</v>
      </c>
      <c r="J42" s="15">
        <v>1</v>
      </c>
      <c r="K42" s="15">
        <v>4</v>
      </c>
      <c r="L42" s="15">
        <v>50</v>
      </c>
      <c r="M42" s="92" t="s">
        <v>347</v>
      </c>
      <c r="N42" s="92" t="s">
        <v>348</v>
      </c>
      <c r="O42" s="92" t="s">
        <v>398</v>
      </c>
      <c r="P42" s="9">
        <v>120</v>
      </c>
      <c r="Q42" s="195">
        <f>'Приложение 8'!Q21</f>
        <v>15441.5</v>
      </c>
      <c r="R42" s="195">
        <v>14759.7</v>
      </c>
      <c r="S42" s="195">
        <v>14759.7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454</v>
      </c>
      <c r="I43" s="7">
        <v>27</v>
      </c>
      <c r="J43" s="15">
        <v>1</v>
      </c>
      <c r="K43" s="15">
        <v>4</v>
      </c>
      <c r="L43" s="15">
        <v>50</v>
      </c>
      <c r="M43" s="92" t="s">
        <v>347</v>
      </c>
      <c r="N43" s="92" t="s">
        <v>348</v>
      </c>
      <c r="O43" s="92" t="s">
        <v>398</v>
      </c>
      <c r="P43" s="5">
        <v>240</v>
      </c>
      <c r="Q43" s="195">
        <f>'Приложение 8'!Q22</f>
        <v>1695.0000000000002</v>
      </c>
      <c r="R43" s="195">
        <v>3725</v>
      </c>
      <c r="S43" s="195">
        <v>3725</v>
      </c>
    </row>
    <row r="44" spans="1:19" ht="26.25" customHeight="1">
      <c r="A44" s="95"/>
      <c r="B44" s="94"/>
      <c r="C44" s="102"/>
      <c r="D44" s="103"/>
      <c r="E44" s="100"/>
      <c r="F44" s="100"/>
      <c r="G44" s="85"/>
      <c r="H44" s="4" t="str">
        <f>'Приложение 8'!H23</f>
        <v>Социальные выплаты гражданам, кроме публичных нормативных социальных выплат</v>
      </c>
      <c r="I44" s="7">
        <f>'Приложение 8'!I23</f>
        <v>27</v>
      </c>
      <c r="J44" s="15">
        <f>'Приложение 8'!J23</f>
        <v>1</v>
      </c>
      <c r="K44" s="15">
        <f>'Приложение 8'!K23</f>
        <v>4</v>
      </c>
      <c r="L44" s="15">
        <f>'Приложение 8'!L23</f>
        <v>50</v>
      </c>
      <c r="M44" s="92" t="str">
        <f>'Приложение 8'!M23</f>
        <v>0</v>
      </c>
      <c r="N44" s="92" t="str">
        <f>'Приложение 8'!N23</f>
        <v>01</v>
      </c>
      <c r="O44" s="92" t="str">
        <f>'Приложение 8'!O23</f>
        <v>00190</v>
      </c>
      <c r="P44" s="5">
        <f>'Приложение 8'!P23</f>
        <v>320</v>
      </c>
      <c r="Q44" s="195">
        <f>'Приложение 8'!Q23</f>
        <v>0.9</v>
      </c>
      <c r="R44" s="195">
        <f>'Приложение 8'!R23</f>
        <v>0</v>
      </c>
      <c r="S44" s="195">
        <f>'Приложение 8'!S23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455</v>
      </c>
      <c r="I45" s="7">
        <v>27</v>
      </c>
      <c r="J45" s="15">
        <v>1</v>
      </c>
      <c r="K45" s="15">
        <v>4</v>
      </c>
      <c r="L45" s="15">
        <v>50</v>
      </c>
      <c r="M45" s="92" t="s">
        <v>347</v>
      </c>
      <c r="N45" s="92" t="s">
        <v>348</v>
      </c>
      <c r="O45" s="92" t="s">
        <v>398</v>
      </c>
      <c r="P45" s="5">
        <v>850</v>
      </c>
      <c r="Q45" s="195">
        <v>853.9</v>
      </c>
      <c r="R45" s="195">
        <v>853.9</v>
      </c>
      <c r="S45" s="195">
        <v>853.9</v>
      </c>
    </row>
    <row r="46" spans="1:19" ht="38.25" customHeight="1">
      <c r="A46" s="95"/>
      <c r="B46" s="94"/>
      <c r="C46" s="102"/>
      <c r="D46" s="103"/>
      <c r="E46" s="100"/>
      <c r="F46" s="100"/>
      <c r="G46" s="85"/>
      <c r="H46" s="104" t="str">
        <f>'Приложение 8'!H25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8'!I25</f>
        <v>27</v>
      </c>
      <c r="J46" s="15">
        <f>'Приложение 8'!J25</f>
        <v>1</v>
      </c>
      <c r="K46" s="15">
        <f>'Приложение 8'!K25</f>
        <v>4</v>
      </c>
      <c r="L46" s="15">
        <f>'Приложение 8'!L25</f>
        <v>50</v>
      </c>
      <c r="M46" s="92" t="str">
        <f>'Приложение 8'!M25</f>
        <v>0</v>
      </c>
      <c r="N46" s="92" t="str">
        <f>'Приложение 8'!N25</f>
        <v>01</v>
      </c>
      <c r="O46" s="92" t="str">
        <f>'Приложение 8'!O25</f>
        <v>55490</v>
      </c>
      <c r="P46" s="9" t="s">
        <v>393</v>
      </c>
      <c r="Q46" s="195">
        <f>'Приложение 8'!Q25</f>
        <v>419.9</v>
      </c>
      <c r="R46" s="195">
        <f>'Приложение 8'!R25</f>
        <v>0</v>
      </c>
      <c r="S46" s="195">
        <f>'Приложение 8'!S25</f>
        <v>0</v>
      </c>
    </row>
    <row r="47" spans="1:19" ht="20.25" customHeight="1">
      <c r="A47" s="95"/>
      <c r="B47" s="94"/>
      <c r="C47" s="102"/>
      <c r="D47" s="103"/>
      <c r="E47" s="100"/>
      <c r="F47" s="100"/>
      <c r="G47" s="85"/>
      <c r="H47" s="104" t="str">
        <f>'Приложение 8'!H26</f>
        <v>Расходы на выплаты персоналу государственных (муниципальных) органов</v>
      </c>
      <c r="I47" s="12">
        <f>'Приложение 8'!I26</f>
        <v>27</v>
      </c>
      <c r="J47" s="15">
        <f>'Приложение 8'!J26</f>
        <v>1</v>
      </c>
      <c r="K47" s="15">
        <f>'Приложение 8'!K26</f>
        <v>4</v>
      </c>
      <c r="L47" s="15">
        <f>'Приложение 8'!L26</f>
        <v>50</v>
      </c>
      <c r="M47" s="92" t="str">
        <f>'Приложение 8'!M26</f>
        <v>0</v>
      </c>
      <c r="N47" s="92" t="str">
        <f>'Приложение 8'!N26</f>
        <v>01</v>
      </c>
      <c r="O47" s="92" t="str">
        <f>'Приложение 8'!O26</f>
        <v>55490</v>
      </c>
      <c r="P47" s="9">
        <f>'Приложение 8'!P26</f>
        <v>120</v>
      </c>
      <c r="Q47" s="195">
        <f>'Приложение 8'!Q26</f>
        <v>419.9</v>
      </c>
      <c r="R47" s="195">
        <f>'Приложение 8'!R26</f>
        <v>0</v>
      </c>
      <c r="S47" s="195">
        <f>'Приложение 8'!S26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595</v>
      </c>
      <c r="I48" s="12">
        <v>27</v>
      </c>
      <c r="J48" s="15">
        <v>1</v>
      </c>
      <c r="K48" s="15">
        <v>4</v>
      </c>
      <c r="L48" s="15">
        <v>50</v>
      </c>
      <c r="M48" s="92" t="s">
        <v>347</v>
      </c>
      <c r="N48" s="92" t="s">
        <v>348</v>
      </c>
      <c r="O48" s="92" t="s">
        <v>594</v>
      </c>
      <c r="P48" s="9"/>
      <c r="Q48" s="195">
        <f>Q49</f>
        <v>3225.1</v>
      </c>
      <c r="R48" s="195">
        <f>R49</f>
        <v>2673.5</v>
      </c>
      <c r="S48" s="195">
        <f>S49</f>
        <v>2673.5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319</v>
      </c>
      <c r="I49" s="12">
        <v>27</v>
      </c>
      <c r="J49" s="15">
        <v>1</v>
      </c>
      <c r="K49" s="15">
        <v>4</v>
      </c>
      <c r="L49" s="15">
        <v>50</v>
      </c>
      <c r="M49" s="92" t="s">
        <v>347</v>
      </c>
      <c r="N49" s="92" t="s">
        <v>348</v>
      </c>
      <c r="O49" s="92" t="s">
        <v>594</v>
      </c>
      <c r="P49" s="9">
        <v>120</v>
      </c>
      <c r="Q49" s="195">
        <f>'Приложение 8'!Q28</f>
        <v>3225.1</v>
      </c>
      <c r="R49" s="195">
        <v>2673.5</v>
      </c>
      <c r="S49" s="195">
        <v>2673.5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592</v>
      </c>
      <c r="I50" s="9">
        <v>27</v>
      </c>
      <c r="J50" s="15">
        <v>1</v>
      </c>
      <c r="K50" s="15">
        <v>4</v>
      </c>
      <c r="L50" s="15">
        <v>50</v>
      </c>
      <c r="M50" s="92" t="s">
        <v>347</v>
      </c>
      <c r="N50" s="92" t="s">
        <v>348</v>
      </c>
      <c r="O50" s="92" t="s">
        <v>591</v>
      </c>
      <c r="P50" s="9"/>
      <c r="Q50" s="195">
        <f>SUM(Q51:Q52)</f>
        <v>818</v>
      </c>
      <c r="R50" s="195">
        <f>SUM(R51:R52)</f>
        <v>0</v>
      </c>
      <c r="S50" s="195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319</v>
      </c>
      <c r="I51" s="9">
        <v>27</v>
      </c>
      <c r="J51" s="15">
        <v>1</v>
      </c>
      <c r="K51" s="15">
        <v>4</v>
      </c>
      <c r="L51" s="15">
        <v>50</v>
      </c>
      <c r="M51" s="92" t="s">
        <v>347</v>
      </c>
      <c r="N51" s="92" t="s">
        <v>348</v>
      </c>
      <c r="O51" s="92" t="s">
        <v>591</v>
      </c>
      <c r="P51" s="9">
        <v>120</v>
      </c>
      <c r="Q51" s="195">
        <f>'Приложение 8'!Q30</f>
        <v>783</v>
      </c>
      <c r="R51" s="195">
        <v>0</v>
      </c>
      <c r="S51" s="195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454</v>
      </c>
      <c r="I52" s="9">
        <v>27</v>
      </c>
      <c r="J52" s="15">
        <v>1</v>
      </c>
      <c r="K52" s="15">
        <v>4</v>
      </c>
      <c r="L52" s="15">
        <v>50</v>
      </c>
      <c r="M52" s="92" t="s">
        <v>347</v>
      </c>
      <c r="N52" s="92" t="s">
        <v>348</v>
      </c>
      <c r="O52" s="92" t="s">
        <v>591</v>
      </c>
      <c r="P52" s="9">
        <v>240</v>
      </c>
      <c r="Q52" s="195">
        <v>35</v>
      </c>
      <c r="R52" s="195">
        <v>0</v>
      </c>
      <c r="S52" s="195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347</v>
      </c>
      <c r="N53" s="92" t="s">
        <v>348</v>
      </c>
      <c r="O53" s="92" t="s">
        <v>593</v>
      </c>
      <c r="P53" s="9"/>
      <c r="Q53" s="195">
        <f>Q54</f>
        <v>84.7</v>
      </c>
      <c r="R53" s="195">
        <v>0</v>
      </c>
      <c r="S53" s="195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319</v>
      </c>
      <c r="I54" s="9">
        <v>27</v>
      </c>
      <c r="J54" s="15">
        <v>1</v>
      </c>
      <c r="K54" s="15">
        <v>4</v>
      </c>
      <c r="L54" s="15">
        <v>50</v>
      </c>
      <c r="M54" s="92" t="s">
        <v>347</v>
      </c>
      <c r="N54" s="92" t="s">
        <v>348</v>
      </c>
      <c r="O54" s="92" t="s">
        <v>593</v>
      </c>
      <c r="P54" s="9">
        <v>120</v>
      </c>
      <c r="Q54" s="195">
        <f>'Приложение 8'!Q33</f>
        <v>84.7</v>
      </c>
      <c r="R54" s="195">
        <v>0</v>
      </c>
      <c r="S54" s="195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848</v>
      </c>
      <c r="I55" s="9">
        <v>27</v>
      </c>
      <c r="J55" s="15">
        <v>1</v>
      </c>
      <c r="K55" s="15">
        <v>4</v>
      </c>
      <c r="L55" s="15">
        <v>50</v>
      </c>
      <c r="M55" s="92" t="s">
        <v>347</v>
      </c>
      <c r="N55" s="92" t="s">
        <v>348</v>
      </c>
      <c r="O55" s="92" t="s">
        <v>476</v>
      </c>
      <c r="P55" s="9"/>
      <c r="Q55" s="195">
        <f>SUM(Q56:Q57)</f>
        <v>424.1</v>
      </c>
      <c r="R55" s="195">
        <f>SUM(R56:R57)</f>
        <v>0</v>
      </c>
      <c r="S55" s="195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319</v>
      </c>
      <c r="I56" s="9">
        <v>27</v>
      </c>
      <c r="J56" s="15">
        <v>1</v>
      </c>
      <c r="K56" s="15">
        <v>4</v>
      </c>
      <c r="L56" s="15">
        <v>50</v>
      </c>
      <c r="M56" s="92" t="s">
        <v>347</v>
      </c>
      <c r="N56" s="92" t="s">
        <v>348</v>
      </c>
      <c r="O56" s="92" t="s">
        <v>476</v>
      </c>
      <c r="P56" s="9">
        <v>120</v>
      </c>
      <c r="Q56" s="195">
        <f>'Приложение 8'!Q35</f>
        <v>419.1</v>
      </c>
      <c r="R56" s="195">
        <v>0</v>
      </c>
      <c r="S56" s="195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454</v>
      </c>
      <c r="I57" s="9">
        <v>27</v>
      </c>
      <c r="J57" s="15">
        <v>1</v>
      </c>
      <c r="K57" s="15">
        <v>4</v>
      </c>
      <c r="L57" s="15">
        <v>50</v>
      </c>
      <c r="M57" s="92" t="s">
        <v>347</v>
      </c>
      <c r="N57" s="92" t="s">
        <v>348</v>
      </c>
      <c r="O57" s="92" t="s">
        <v>476</v>
      </c>
      <c r="P57" s="9">
        <v>240</v>
      </c>
      <c r="Q57" s="195">
        <v>5</v>
      </c>
      <c r="R57" s="196">
        <v>0</v>
      </c>
      <c r="S57" s="196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491</v>
      </c>
      <c r="I58" s="9">
        <v>27</v>
      </c>
      <c r="J58" s="15">
        <v>1</v>
      </c>
      <c r="K58" s="15">
        <v>4</v>
      </c>
      <c r="L58" s="15">
        <v>50</v>
      </c>
      <c r="M58" s="92" t="s">
        <v>347</v>
      </c>
      <c r="N58" s="92" t="s">
        <v>348</v>
      </c>
      <c r="O58" s="92" t="s">
        <v>477</v>
      </c>
      <c r="P58" s="9"/>
      <c r="Q58" s="195">
        <f>Q59</f>
        <v>153</v>
      </c>
      <c r="R58" s="195">
        <f>R59</f>
        <v>0</v>
      </c>
      <c r="S58" s="195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319</v>
      </c>
      <c r="I59" s="9">
        <v>27</v>
      </c>
      <c r="J59" s="15">
        <v>1</v>
      </c>
      <c r="K59" s="15">
        <v>4</v>
      </c>
      <c r="L59" s="15">
        <v>50</v>
      </c>
      <c r="M59" s="92" t="s">
        <v>347</v>
      </c>
      <c r="N59" s="92" t="s">
        <v>348</v>
      </c>
      <c r="O59" s="92" t="s">
        <v>477</v>
      </c>
      <c r="P59" s="9">
        <v>120</v>
      </c>
      <c r="Q59" s="195">
        <v>153</v>
      </c>
      <c r="R59" s="195">
        <v>0</v>
      </c>
      <c r="S59" s="195">
        <v>0</v>
      </c>
    </row>
    <row r="60" spans="1:19" ht="49.5" customHeight="1">
      <c r="A60" s="95"/>
      <c r="B60" s="94"/>
      <c r="C60" s="102"/>
      <c r="D60" s="103"/>
      <c r="E60" s="100"/>
      <c r="F60" s="100"/>
      <c r="G60" s="85"/>
      <c r="H60" s="10" t="str">
        <f>'Приложение 8'!H39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8'!I39</f>
        <v>27</v>
      </c>
      <c r="J60" s="15">
        <f>'Приложение 8'!J39</f>
        <v>1</v>
      </c>
      <c r="K60" s="15">
        <f>'Приложение 8'!K39</f>
        <v>4</v>
      </c>
      <c r="L60" s="15">
        <f>'Приложение 8'!L39</f>
        <v>50</v>
      </c>
      <c r="M60" s="92" t="str">
        <f>'Приложение 8'!M39</f>
        <v>0</v>
      </c>
      <c r="N60" s="92" t="str">
        <f>'Приложение 8'!N39</f>
        <v>01</v>
      </c>
      <c r="O60" s="92" t="str">
        <f>'Приложение 8'!O39</f>
        <v>90270</v>
      </c>
      <c r="P60" s="9" t="s">
        <v>393</v>
      </c>
      <c r="Q60" s="195">
        <f>'Приложение 8'!Q39</f>
        <v>0.5</v>
      </c>
      <c r="R60" s="195">
        <f>'Приложение 8'!R39</f>
        <v>0</v>
      </c>
      <c r="S60" s="195">
        <f>'Приложение 8'!S39</f>
        <v>0</v>
      </c>
    </row>
    <row r="61" spans="1:19" ht="24" customHeight="1">
      <c r="A61" s="95"/>
      <c r="B61" s="94"/>
      <c r="C61" s="102"/>
      <c r="D61" s="103"/>
      <c r="E61" s="100"/>
      <c r="F61" s="100"/>
      <c r="G61" s="85"/>
      <c r="H61" s="10" t="str">
        <f>'Приложение 8'!H40</f>
        <v>Расходы на выплаты персоналу государственных (муниципальных) органов</v>
      </c>
      <c r="I61" s="9">
        <f>'Приложение 8'!I40</f>
        <v>27</v>
      </c>
      <c r="J61" s="15">
        <f>'Приложение 8'!J40</f>
        <v>1</v>
      </c>
      <c r="K61" s="15">
        <f>'Приложение 8'!K40</f>
        <v>4</v>
      </c>
      <c r="L61" s="15">
        <f>'Приложение 8'!L40</f>
        <v>50</v>
      </c>
      <c r="M61" s="92" t="str">
        <f>'Приложение 8'!M40</f>
        <v>0</v>
      </c>
      <c r="N61" s="92" t="str">
        <f>'Приложение 8'!N40</f>
        <v>01</v>
      </c>
      <c r="O61" s="92" t="str">
        <f>'Приложение 8'!O40</f>
        <v>90270</v>
      </c>
      <c r="P61" s="9">
        <f>'Приложение 8'!P40</f>
        <v>120</v>
      </c>
      <c r="Q61" s="195">
        <f>'Приложение 8'!Q40</f>
        <v>0.5</v>
      </c>
      <c r="R61" s="195">
        <f>'Приложение 8'!R40</f>
        <v>0</v>
      </c>
      <c r="S61" s="195">
        <f>'Приложение 8'!S40</f>
        <v>0</v>
      </c>
    </row>
    <row r="62" spans="1:19" s="171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389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4">
        <f>Q63</f>
        <v>9.1</v>
      </c>
      <c r="R62" s="194">
        <f aca="true" t="shared" si="1" ref="R62:S64">R63</f>
        <v>26.9</v>
      </c>
      <c r="S62" s="194">
        <f t="shared" si="1"/>
        <v>3.7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53</v>
      </c>
      <c r="I63" s="9">
        <v>27</v>
      </c>
      <c r="J63" s="15">
        <v>1</v>
      </c>
      <c r="K63" s="15">
        <v>5</v>
      </c>
      <c r="L63" s="15">
        <v>50</v>
      </c>
      <c r="M63" s="92" t="s">
        <v>347</v>
      </c>
      <c r="N63" s="92" t="s">
        <v>357</v>
      </c>
      <c r="O63" s="92" t="s">
        <v>392</v>
      </c>
      <c r="P63" s="9"/>
      <c r="Q63" s="195">
        <f>Q64</f>
        <v>9.1</v>
      </c>
      <c r="R63" s="195">
        <f t="shared" si="1"/>
        <v>26.9</v>
      </c>
      <c r="S63" s="195">
        <f t="shared" si="1"/>
        <v>3.7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55</v>
      </c>
      <c r="I64" s="9">
        <v>27</v>
      </c>
      <c r="J64" s="15">
        <v>1</v>
      </c>
      <c r="K64" s="15">
        <v>5</v>
      </c>
      <c r="L64" s="15">
        <v>50</v>
      </c>
      <c r="M64" s="92" t="s">
        <v>347</v>
      </c>
      <c r="N64" s="92" t="s">
        <v>365</v>
      </c>
      <c r="O64" s="92" t="s">
        <v>392</v>
      </c>
      <c r="P64" s="9"/>
      <c r="Q64" s="195">
        <f>Q65</f>
        <v>9.1</v>
      </c>
      <c r="R64" s="195">
        <f t="shared" si="1"/>
        <v>26.9</v>
      </c>
      <c r="S64" s="195">
        <f t="shared" si="1"/>
        <v>3.7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499</v>
      </c>
      <c r="I65" s="9">
        <v>27</v>
      </c>
      <c r="J65" s="15">
        <v>1</v>
      </c>
      <c r="K65" s="15">
        <v>5</v>
      </c>
      <c r="L65" s="15">
        <v>50</v>
      </c>
      <c r="M65" s="92" t="s">
        <v>347</v>
      </c>
      <c r="N65" s="92" t="s">
        <v>365</v>
      </c>
      <c r="O65" s="92" t="s">
        <v>498</v>
      </c>
      <c r="P65" s="9"/>
      <c r="Q65" s="195">
        <f>Q66</f>
        <v>9.1</v>
      </c>
      <c r="R65" s="195">
        <f>R66</f>
        <v>26.9</v>
      </c>
      <c r="S65" s="195">
        <f>S66</f>
        <v>3.7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454</v>
      </c>
      <c r="I66" s="9">
        <v>27</v>
      </c>
      <c r="J66" s="15">
        <v>1</v>
      </c>
      <c r="K66" s="15">
        <v>5</v>
      </c>
      <c r="L66" s="15">
        <v>50</v>
      </c>
      <c r="M66" s="92" t="s">
        <v>347</v>
      </c>
      <c r="N66" s="92" t="s">
        <v>365</v>
      </c>
      <c r="O66" s="92" t="s">
        <v>498</v>
      </c>
      <c r="P66" s="9">
        <v>240</v>
      </c>
      <c r="Q66" s="195">
        <v>9.1</v>
      </c>
      <c r="R66" s="195">
        <v>26.9</v>
      </c>
      <c r="S66" s="195">
        <v>3.7</v>
      </c>
    </row>
    <row r="67" spans="1:19" s="171" customFormat="1" ht="36.75" customHeight="1">
      <c r="A67" s="135"/>
      <c r="B67" s="136"/>
      <c r="C67" s="146"/>
      <c r="D67" s="143"/>
      <c r="E67" s="373">
        <v>5201000</v>
      </c>
      <c r="F67" s="373"/>
      <c r="G67" s="129">
        <v>530</v>
      </c>
      <c r="H67" s="130" t="s">
        <v>120</v>
      </c>
      <c r="I67" s="131">
        <v>661</v>
      </c>
      <c r="J67" s="132">
        <v>1</v>
      </c>
      <c r="K67" s="132">
        <v>6</v>
      </c>
      <c r="L67" s="133" t="s">
        <v>320</v>
      </c>
      <c r="M67" s="134" t="s">
        <v>320</v>
      </c>
      <c r="N67" s="134"/>
      <c r="O67" s="134" t="s">
        <v>320</v>
      </c>
      <c r="P67" s="139" t="s">
        <v>320</v>
      </c>
      <c r="Q67" s="198">
        <f>Q68</f>
        <v>8665</v>
      </c>
      <c r="R67" s="198">
        <f>R68</f>
        <v>5863</v>
      </c>
      <c r="S67" s="198">
        <f>S68</f>
        <v>5863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446</v>
      </c>
      <c r="I68" s="9">
        <v>661</v>
      </c>
      <c r="J68" s="15">
        <v>1</v>
      </c>
      <c r="K68" s="15">
        <v>6</v>
      </c>
      <c r="L68" s="91" t="s">
        <v>447</v>
      </c>
      <c r="M68" s="92" t="s">
        <v>347</v>
      </c>
      <c r="N68" s="92" t="s">
        <v>357</v>
      </c>
      <c r="O68" s="92" t="s">
        <v>392</v>
      </c>
      <c r="P68" s="5"/>
      <c r="Q68" s="197">
        <f>Q69+Q73+Q89</f>
        <v>8665</v>
      </c>
      <c r="R68" s="197">
        <f>R69+R73+R89</f>
        <v>5863</v>
      </c>
      <c r="S68" s="197">
        <f>S69+S73+S89</f>
        <v>5863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626</v>
      </c>
      <c r="I69" s="9">
        <v>661</v>
      </c>
      <c r="J69" s="15">
        <v>1</v>
      </c>
      <c r="K69" s="15">
        <v>6</v>
      </c>
      <c r="L69" s="91" t="s">
        <v>447</v>
      </c>
      <c r="M69" s="92" t="s">
        <v>349</v>
      </c>
      <c r="N69" s="92" t="s">
        <v>357</v>
      </c>
      <c r="O69" s="92" t="s">
        <v>392</v>
      </c>
      <c r="P69" s="5"/>
      <c r="Q69" s="197">
        <f>Q70</f>
        <v>50</v>
      </c>
      <c r="R69" s="197">
        <f aca="true" t="shared" si="2" ref="R69:S71">R70</f>
        <v>50</v>
      </c>
      <c r="S69" s="197">
        <f t="shared" si="2"/>
        <v>50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830</v>
      </c>
      <c r="I70" s="9">
        <v>661</v>
      </c>
      <c r="J70" s="15">
        <v>1</v>
      </c>
      <c r="K70" s="15">
        <v>6</v>
      </c>
      <c r="L70" s="91" t="s">
        <v>447</v>
      </c>
      <c r="M70" s="92" t="s">
        <v>349</v>
      </c>
      <c r="N70" s="92" t="s">
        <v>366</v>
      </c>
      <c r="O70" s="92" t="s">
        <v>392</v>
      </c>
      <c r="P70" s="5"/>
      <c r="Q70" s="197">
        <f>Q71</f>
        <v>50</v>
      </c>
      <c r="R70" s="197">
        <f t="shared" si="2"/>
        <v>50</v>
      </c>
      <c r="S70" s="197">
        <f t="shared" si="2"/>
        <v>50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100</v>
      </c>
      <c r="I71" s="9">
        <v>661</v>
      </c>
      <c r="J71" s="15">
        <v>1</v>
      </c>
      <c r="K71" s="15">
        <v>6</v>
      </c>
      <c r="L71" s="91" t="s">
        <v>447</v>
      </c>
      <c r="M71" s="92" t="s">
        <v>349</v>
      </c>
      <c r="N71" s="92" t="s">
        <v>366</v>
      </c>
      <c r="O71" s="92" t="s">
        <v>398</v>
      </c>
      <c r="P71" s="5"/>
      <c r="Q71" s="197">
        <f>Q72</f>
        <v>50</v>
      </c>
      <c r="R71" s="197">
        <f t="shared" si="2"/>
        <v>50</v>
      </c>
      <c r="S71" s="197">
        <f t="shared" si="2"/>
        <v>50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454</v>
      </c>
      <c r="I72" s="9">
        <v>661</v>
      </c>
      <c r="J72" s="15">
        <v>1</v>
      </c>
      <c r="K72" s="15">
        <v>6</v>
      </c>
      <c r="L72" s="91" t="s">
        <v>447</v>
      </c>
      <c r="M72" s="92" t="s">
        <v>349</v>
      </c>
      <c r="N72" s="92" t="s">
        <v>366</v>
      </c>
      <c r="O72" s="92" t="s">
        <v>398</v>
      </c>
      <c r="P72" s="5">
        <v>240</v>
      </c>
      <c r="Q72" s="197">
        <v>50</v>
      </c>
      <c r="R72" s="197">
        <v>50</v>
      </c>
      <c r="S72" s="197">
        <v>50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450</v>
      </c>
      <c r="I73" s="9">
        <v>661</v>
      </c>
      <c r="J73" s="15">
        <v>1</v>
      </c>
      <c r="K73" s="15">
        <v>6</v>
      </c>
      <c r="L73" s="91" t="s">
        <v>447</v>
      </c>
      <c r="M73" s="92" t="s">
        <v>344</v>
      </c>
      <c r="N73" s="92" t="s">
        <v>357</v>
      </c>
      <c r="O73" s="92" t="s">
        <v>392</v>
      </c>
      <c r="P73" s="9"/>
      <c r="Q73" s="195">
        <f>Q74</f>
        <v>8595</v>
      </c>
      <c r="R73" s="195">
        <f>R74</f>
        <v>5793</v>
      </c>
      <c r="S73" s="195">
        <f>S74</f>
        <v>5793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579</v>
      </c>
      <c r="I74" s="9">
        <v>661</v>
      </c>
      <c r="J74" s="6">
        <v>1</v>
      </c>
      <c r="K74" s="15">
        <v>6</v>
      </c>
      <c r="L74" s="91" t="s">
        <v>447</v>
      </c>
      <c r="M74" s="92" t="s">
        <v>344</v>
      </c>
      <c r="N74" s="92" t="s">
        <v>348</v>
      </c>
      <c r="O74" s="92" t="s">
        <v>392</v>
      </c>
      <c r="P74" s="5"/>
      <c r="Q74" s="197">
        <f>Q75+Q83+Q86+Q81+Q79</f>
        <v>8595</v>
      </c>
      <c r="R74" s="197">
        <f>R75+R83+R86+R81</f>
        <v>5793</v>
      </c>
      <c r="S74" s="197">
        <f>S75+S83+S86+S81</f>
        <v>5793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100</v>
      </c>
      <c r="I75" s="9">
        <v>661</v>
      </c>
      <c r="J75" s="6">
        <v>1</v>
      </c>
      <c r="K75" s="15">
        <v>6</v>
      </c>
      <c r="L75" s="15">
        <v>33</v>
      </c>
      <c r="M75" s="92" t="s">
        <v>344</v>
      </c>
      <c r="N75" s="92" t="s">
        <v>348</v>
      </c>
      <c r="O75" s="92" t="s">
        <v>398</v>
      </c>
      <c r="P75" s="5" t="s">
        <v>320</v>
      </c>
      <c r="Q75" s="197">
        <f>SUM(Q76:Q78)</f>
        <v>6244.1</v>
      </c>
      <c r="R75" s="197">
        <f>SUM(R76:R78)</f>
        <v>5229</v>
      </c>
      <c r="S75" s="197">
        <f>SUM(S76:S78)</f>
        <v>5229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319</v>
      </c>
      <c r="I76" s="5">
        <v>661</v>
      </c>
      <c r="J76" s="6">
        <v>1</v>
      </c>
      <c r="K76" s="15">
        <v>6</v>
      </c>
      <c r="L76" s="15">
        <v>33</v>
      </c>
      <c r="M76" s="92" t="s">
        <v>344</v>
      </c>
      <c r="N76" s="92" t="s">
        <v>348</v>
      </c>
      <c r="O76" s="92" t="s">
        <v>398</v>
      </c>
      <c r="P76" s="5">
        <v>120</v>
      </c>
      <c r="Q76" s="197">
        <f>'Приложение 8'!Q469</f>
        <v>4363.1</v>
      </c>
      <c r="R76" s="197">
        <v>4318.5</v>
      </c>
      <c r="S76" s="197">
        <v>4318.5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454</v>
      </c>
      <c r="I77" s="5">
        <v>661</v>
      </c>
      <c r="J77" s="6">
        <v>1</v>
      </c>
      <c r="K77" s="15">
        <v>6</v>
      </c>
      <c r="L77" s="15">
        <v>33</v>
      </c>
      <c r="M77" s="92" t="s">
        <v>344</v>
      </c>
      <c r="N77" s="92" t="s">
        <v>348</v>
      </c>
      <c r="O77" s="92" t="s">
        <v>398</v>
      </c>
      <c r="P77" s="5">
        <v>240</v>
      </c>
      <c r="Q77" s="195">
        <f>'Приложение 8'!Q470</f>
        <v>1861</v>
      </c>
      <c r="R77" s="195">
        <f>'Приложение 8'!R470</f>
        <v>885.5</v>
      </c>
      <c r="S77" s="195">
        <f>'Приложение 8'!S470</f>
        <v>885.5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455</v>
      </c>
      <c r="I78" s="9">
        <v>661</v>
      </c>
      <c r="J78" s="6">
        <v>1</v>
      </c>
      <c r="K78" s="15">
        <v>6</v>
      </c>
      <c r="L78" s="91" t="s">
        <v>447</v>
      </c>
      <c r="M78" s="92" t="s">
        <v>344</v>
      </c>
      <c r="N78" s="92" t="s">
        <v>348</v>
      </c>
      <c r="O78" s="92" t="s">
        <v>398</v>
      </c>
      <c r="P78" s="9">
        <v>850</v>
      </c>
      <c r="Q78" s="195">
        <v>20</v>
      </c>
      <c r="R78" s="195">
        <v>25</v>
      </c>
      <c r="S78" s="195">
        <v>25</v>
      </c>
    </row>
    <row r="79" spans="1:19" ht="41.25" customHeight="1">
      <c r="A79" s="93"/>
      <c r="B79" s="94"/>
      <c r="C79" s="90"/>
      <c r="D79" s="90"/>
      <c r="E79" s="90"/>
      <c r="F79" s="90"/>
      <c r="G79" s="85"/>
      <c r="H79" s="10" t="str">
        <f>'Приложение 8'!H472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8'!I472</f>
        <v>661</v>
      </c>
      <c r="J79" s="6">
        <f>'Приложение 8'!J472</f>
        <v>1</v>
      </c>
      <c r="K79" s="15">
        <f>'Приложение 8'!K472</f>
        <v>6</v>
      </c>
      <c r="L79" s="91" t="str">
        <f>'Приложение 8'!L472</f>
        <v>33</v>
      </c>
      <c r="M79" s="92" t="str">
        <f>'Приложение 8'!M472</f>
        <v>4</v>
      </c>
      <c r="N79" s="92" t="str">
        <f>'Приложение 8'!N472</f>
        <v>01</v>
      </c>
      <c r="O79" s="92" t="str">
        <f>'Приложение 8'!O472</f>
        <v>55490</v>
      </c>
      <c r="P79" s="9" t="s">
        <v>393</v>
      </c>
      <c r="Q79" s="195">
        <f>'Приложение 8'!Q472</f>
        <v>163</v>
      </c>
      <c r="R79" s="195">
        <f>'Приложение 8'!R472</f>
        <v>0</v>
      </c>
      <c r="S79" s="195">
        <f>'Приложение 8'!S472</f>
        <v>0</v>
      </c>
    </row>
    <row r="80" spans="1:19" ht="21.75" customHeight="1">
      <c r="A80" s="93"/>
      <c r="B80" s="94"/>
      <c r="C80" s="90"/>
      <c r="D80" s="90"/>
      <c r="E80" s="90"/>
      <c r="F80" s="90"/>
      <c r="G80" s="85"/>
      <c r="H80" s="10" t="str">
        <f>'Приложение 8'!H473</f>
        <v>Расходы на выплаты персоналу государственных (муниципальных) органов</v>
      </c>
      <c r="I80" s="9">
        <f>'Приложение 8'!I473</f>
        <v>661</v>
      </c>
      <c r="J80" s="6">
        <f>'Приложение 8'!J473</f>
        <v>1</v>
      </c>
      <c r="K80" s="15">
        <f>'Приложение 8'!K473</f>
        <v>6</v>
      </c>
      <c r="L80" s="91" t="str">
        <f>'Приложение 8'!L473</f>
        <v>33</v>
      </c>
      <c r="M80" s="92" t="str">
        <f>'Приложение 8'!M473</f>
        <v>4</v>
      </c>
      <c r="N80" s="92" t="str">
        <f>'Приложение 8'!N473</f>
        <v>01</v>
      </c>
      <c r="O80" s="92" t="str">
        <f>'Приложение 8'!O473</f>
        <v>55490</v>
      </c>
      <c r="P80" s="9">
        <f>'Приложение 8'!P473</f>
        <v>120</v>
      </c>
      <c r="Q80" s="195">
        <f>'Приложение 8'!Q473</f>
        <v>163</v>
      </c>
      <c r="R80" s="195">
        <f>'Приложение 8'!R473</f>
        <v>0</v>
      </c>
      <c r="S80" s="195">
        <f>'Приложение 8'!S473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595</v>
      </c>
      <c r="I81" s="9">
        <v>661</v>
      </c>
      <c r="J81" s="6">
        <v>1</v>
      </c>
      <c r="K81" s="15">
        <v>6</v>
      </c>
      <c r="L81" s="91" t="s">
        <v>447</v>
      </c>
      <c r="M81" s="92" t="s">
        <v>344</v>
      </c>
      <c r="N81" s="92" t="s">
        <v>348</v>
      </c>
      <c r="O81" s="92" t="s">
        <v>594</v>
      </c>
      <c r="P81" s="9"/>
      <c r="Q81" s="195">
        <f>Q82</f>
        <v>711</v>
      </c>
      <c r="R81" s="195">
        <f>R82</f>
        <v>564</v>
      </c>
      <c r="S81" s="195">
        <f>S82</f>
        <v>564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319</v>
      </c>
      <c r="I82" s="9">
        <v>661</v>
      </c>
      <c r="J82" s="6">
        <v>1</v>
      </c>
      <c r="K82" s="15">
        <v>6</v>
      </c>
      <c r="L82" s="91" t="s">
        <v>447</v>
      </c>
      <c r="M82" s="92" t="s">
        <v>344</v>
      </c>
      <c r="N82" s="92" t="s">
        <v>348</v>
      </c>
      <c r="O82" s="92" t="s">
        <v>594</v>
      </c>
      <c r="P82" s="9">
        <v>120</v>
      </c>
      <c r="Q82" s="195">
        <f>'Приложение 8'!Q475</f>
        <v>711</v>
      </c>
      <c r="R82" s="195">
        <v>564</v>
      </c>
      <c r="S82" s="195">
        <v>564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447</v>
      </c>
      <c r="M83" s="92" t="s">
        <v>344</v>
      </c>
      <c r="N83" s="92" t="s">
        <v>348</v>
      </c>
      <c r="O83" s="92" t="s">
        <v>7</v>
      </c>
      <c r="P83" s="9"/>
      <c r="Q83" s="202">
        <f>SUM(Q84:Q85)</f>
        <v>372.9</v>
      </c>
      <c r="R83" s="202">
        <f>SUM(R84:R85)</f>
        <v>0</v>
      </c>
      <c r="S83" s="202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319</v>
      </c>
      <c r="I84" s="9">
        <v>661</v>
      </c>
      <c r="J84" s="6">
        <v>1</v>
      </c>
      <c r="K84" s="15">
        <v>6</v>
      </c>
      <c r="L84" s="91" t="s">
        <v>447</v>
      </c>
      <c r="M84" s="92" t="s">
        <v>344</v>
      </c>
      <c r="N84" s="92" t="s">
        <v>348</v>
      </c>
      <c r="O84" s="92" t="s">
        <v>7</v>
      </c>
      <c r="P84" s="9">
        <v>120</v>
      </c>
      <c r="Q84" s="202">
        <v>371.9</v>
      </c>
      <c r="R84" s="202">
        <v>0</v>
      </c>
      <c r="S84" s="202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454</v>
      </c>
      <c r="I85" s="9">
        <v>661</v>
      </c>
      <c r="J85" s="6">
        <v>1</v>
      </c>
      <c r="K85" s="15">
        <v>6</v>
      </c>
      <c r="L85" s="91" t="s">
        <v>447</v>
      </c>
      <c r="M85" s="92" t="s">
        <v>344</v>
      </c>
      <c r="N85" s="92" t="s">
        <v>348</v>
      </c>
      <c r="O85" s="92" t="s">
        <v>7</v>
      </c>
      <c r="P85" s="9">
        <v>240</v>
      </c>
      <c r="Q85" s="195">
        <v>1</v>
      </c>
      <c r="R85" s="195">
        <v>0</v>
      </c>
      <c r="S85" s="195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447</v>
      </c>
      <c r="M86" s="92" t="s">
        <v>344</v>
      </c>
      <c r="N86" s="92" t="s">
        <v>348</v>
      </c>
      <c r="O86" s="92" t="s">
        <v>8</v>
      </c>
      <c r="P86" s="9"/>
      <c r="Q86" s="202">
        <f>SUM(Q87:Q88)</f>
        <v>1104</v>
      </c>
      <c r="R86" s="202">
        <f>SUM(R87:R88)</f>
        <v>0</v>
      </c>
      <c r="S86" s="202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319</v>
      </c>
      <c r="I87" s="9">
        <v>661</v>
      </c>
      <c r="J87" s="15">
        <v>1</v>
      </c>
      <c r="K87" s="15">
        <v>6</v>
      </c>
      <c r="L87" s="91" t="s">
        <v>447</v>
      </c>
      <c r="M87" s="92" t="s">
        <v>344</v>
      </c>
      <c r="N87" s="92" t="s">
        <v>348</v>
      </c>
      <c r="O87" s="92" t="s">
        <v>8</v>
      </c>
      <c r="P87" s="9">
        <v>120</v>
      </c>
      <c r="Q87" s="202">
        <v>1042</v>
      </c>
      <c r="R87" s="202">
        <v>0</v>
      </c>
      <c r="S87" s="202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454</v>
      </c>
      <c r="I88" s="5">
        <v>661</v>
      </c>
      <c r="J88" s="15">
        <v>1</v>
      </c>
      <c r="K88" s="15">
        <v>6</v>
      </c>
      <c r="L88" s="91" t="s">
        <v>447</v>
      </c>
      <c r="M88" s="92" t="s">
        <v>344</v>
      </c>
      <c r="N88" s="92" t="s">
        <v>348</v>
      </c>
      <c r="O88" s="92" t="s">
        <v>8</v>
      </c>
      <c r="P88" s="9">
        <v>240</v>
      </c>
      <c r="Q88" s="195">
        <v>62</v>
      </c>
      <c r="R88" s="195">
        <v>0</v>
      </c>
      <c r="S88" s="195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8'!H482</f>
        <v>Подпрограмма "Повышение финансовой грамотности населения района"</v>
      </c>
      <c r="I89" s="9">
        <f>'Приложение 8'!I482</f>
        <v>661</v>
      </c>
      <c r="J89" s="15">
        <f>'Приложение 8'!J482</f>
        <v>1</v>
      </c>
      <c r="K89" s="15">
        <f>'Приложение 8'!K482</f>
        <v>6</v>
      </c>
      <c r="L89" s="91" t="str">
        <f>'Приложение 8'!L482</f>
        <v>33</v>
      </c>
      <c r="M89" s="92" t="str">
        <f>'Приложение 8'!M482</f>
        <v>5</v>
      </c>
      <c r="N89" s="92" t="str">
        <f>'Приложение 8'!N482</f>
        <v>00</v>
      </c>
      <c r="O89" s="92" t="str">
        <f>'Приложение 8'!O482</f>
        <v>00000</v>
      </c>
      <c r="P89" s="9" t="s">
        <v>393</v>
      </c>
      <c r="Q89" s="195">
        <f>Q90</f>
        <v>20</v>
      </c>
      <c r="R89" s="195">
        <f aca="true" t="shared" si="3" ref="R89:S91">R90</f>
        <v>20</v>
      </c>
      <c r="S89" s="195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8'!H483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8'!I483</f>
        <v>661</v>
      </c>
      <c r="J90" s="15">
        <f>'Приложение 8'!J483</f>
        <v>1</v>
      </c>
      <c r="K90" s="15">
        <f>'Приложение 8'!K483</f>
        <v>6</v>
      </c>
      <c r="L90" s="91" t="str">
        <f>'Приложение 8'!L483</f>
        <v>33</v>
      </c>
      <c r="M90" s="92" t="str">
        <f>'Приложение 8'!M483</f>
        <v>5</v>
      </c>
      <c r="N90" s="92" t="str">
        <f>'Приложение 8'!N483</f>
        <v>01</v>
      </c>
      <c r="O90" s="92" t="str">
        <f>'Приложение 8'!O483</f>
        <v>00000</v>
      </c>
      <c r="P90" s="9" t="s">
        <v>393</v>
      </c>
      <c r="Q90" s="195">
        <f>Q91</f>
        <v>20</v>
      </c>
      <c r="R90" s="195">
        <f t="shared" si="3"/>
        <v>20</v>
      </c>
      <c r="S90" s="195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8'!H484</f>
        <v>Мероприятия, направленные на повышение уровня финансовой грамотности</v>
      </c>
      <c r="I91" s="9">
        <f>'Приложение 8'!I484</f>
        <v>661</v>
      </c>
      <c r="J91" s="15">
        <f>'Приложение 8'!J484</f>
        <v>1</v>
      </c>
      <c r="K91" s="15">
        <f>'Приложение 8'!K484</f>
        <v>6</v>
      </c>
      <c r="L91" s="91" t="str">
        <f>'Приложение 8'!L484</f>
        <v>33</v>
      </c>
      <c r="M91" s="92" t="str">
        <f>'Приложение 8'!M484</f>
        <v>5</v>
      </c>
      <c r="N91" s="92" t="str">
        <f>'Приложение 8'!N484</f>
        <v>01</v>
      </c>
      <c r="O91" s="92" t="str">
        <f>'Приложение 8'!O484</f>
        <v>20580</v>
      </c>
      <c r="P91" s="9" t="s">
        <v>393</v>
      </c>
      <c r="Q91" s="195">
        <f>Q92</f>
        <v>20</v>
      </c>
      <c r="R91" s="195">
        <f t="shared" si="3"/>
        <v>20</v>
      </c>
      <c r="S91" s="195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8'!H485</f>
        <v>Иные закупки товаров, работ и услуг для обеспечения государственных (муниципальных) нужд</v>
      </c>
      <c r="I92" s="9">
        <f>'Приложение 8'!I485</f>
        <v>661</v>
      </c>
      <c r="J92" s="15">
        <f>'Приложение 8'!J485</f>
        <v>1</v>
      </c>
      <c r="K92" s="15">
        <f>'Приложение 8'!K485</f>
        <v>6</v>
      </c>
      <c r="L92" s="91" t="str">
        <f>'Приложение 8'!L485</f>
        <v>33</v>
      </c>
      <c r="M92" s="92" t="str">
        <f>'Приложение 8'!M485</f>
        <v>5</v>
      </c>
      <c r="N92" s="92" t="str">
        <f>'Приложение 8'!N485</f>
        <v>01</v>
      </c>
      <c r="O92" s="92" t="str">
        <f>'Приложение 8'!O485</f>
        <v>20580</v>
      </c>
      <c r="P92" s="9">
        <f>'Приложение 8'!P485</f>
        <v>240</v>
      </c>
      <c r="Q92" s="195">
        <f>'Приложение 8'!Q485</f>
        <v>20</v>
      </c>
      <c r="R92" s="195">
        <f>'Приложение 8'!R485</f>
        <v>20</v>
      </c>
      <c r="S92" s="195">
        <f>'Приложение 8'!S485</f>
        <v>20</v>
      </c>
    </row>
    <row r="93" spans="1:19" s="171" customFormat="1" ht="18.75" customHeight="1">
      <c r="A93" s="365">
        <v>1200</v>
      </c>
      <c r="B93" s="365"/>
      <c r="C93" s="366"/>
      <c r="D93" s="366"/>
      <c r="E93" s="366"/>
      <c r="F93" s="366"/>
      <c r="G93" s="129">
        <v>622</v>
      </c>
      <c r="H93" s="130" t="s">
        <v>119</v>
      </c>
      <c r="I93" s="131">
        <v>27</v>
      </c>
      <c r="J93" s="132">
        <v>1</v>
      </c>
      <c r="K93" s="132">
        <v>11</v>
      </c>
      <c r="L93" s="133" t="s">
        <v>320</v>
      </c>
      <c r="M93" s="134" t="s">
        <v>320</v>
      </c>
      <c r="N93" s="134"/>
      <c r="O93" s="134" t="s">
        <v>320</v>
      </c>
      <c r="P93" s="131" t="s">
        <v>320</v>
      </c>
      <c r="Q93" s="194">
        <f aca="true" t="shared" si="4" ref="Q93:S95">Q94</f>
        <v>0</v>
      </c>
      <c r="R93" s="194">
        <f t="shared" si="4"/>
        <v>500</v>
      </c>
      <c r="S93" s="194">
        <f t="shared" si="4"/>
        <v>500</v>
      </c>
    </row>
    <row r="94" spans="1:19" ht="23.25" customHeight="1">
      <c r="A94" s="95"/>
      <c r="B94" s="94"/>
      <c r="C94" s="374">
        <v>1204</v>
      </c>
      <c r="D94" s="375"/>
      <c r="E94" s="375"/>
      <c r="F94" s="375"/>
      <c r="G94" s="85">
        <v>622</v>
      </c>
      <c r="H94" s="10" t="s">
        <v>119</v>
      </c>
      <c r="I94" s="9">
        <v>27</v>
      </c>
      <c r="J94" s="15">
        <v>1</v>
      </c>
      <c r="K94" s="15">
        <v>11</v>
      </c>
      <c r="L94" s="91">
        <v>70</v>
      </c>
      <c r="M94" s="92">
        <v>0</v>
      </c>
      <c r="N94" s="92" t="s">
        <v>357</v>
      </c>
      <c r="O94" s="92" t="s">
        <v>392</v>
      </c>
      <c r="P94" s="9" t="s">
        <v>320</v>
      </c>
      <c r="Q94" s="195">
        <f t="shared" si="4"/>
        <v>0</v>
      </c>
      <c r="R94" s="195">
        <f t="shared" si="4"/>
        <v>500</v>
      </c>
      <c r="S94" s="195">
        <f t="shared" si="4"/>
        <v>500</v>
      </c>
    </row>
    <row r="95" spans="1:19" ht="21" customHeight="1">
      <c r="A95" s="95"/>
      <c r="B95" s="94"/>
      <c r="C95" s="93"/>
      <c r="D95" s="371">
        <v>4440000</v>
      </c>
      <c r="E95" s="371"/>
      <c r="F95" s="371"/>
      <c r="G95" s="85">
        <v>621</v>
      </c>
      <c r="H95" s="10" t="s">
        <v>111</v>
      </c>
      <c r="I95" s="9">
        <v>27</v>
      </c>
      <c r="J95" s="15">
        <v>1</v>
      </c>
      <c r="K95" s="15">
        <v>11</v>
      </c>
      <c r="L95" s="91" t="s">
        <v>101</v>
      </c>
      <c r="M95" s="92" t="s">
        <v>359</v>
      </c>
      <c r="N95" s="92" t="s">
        <v>357</v>
      </c>
      <c r="O95" s="92" t="s">
        <v>392</v>
      </c>
      <c r="P95" s="9" t="s">
        <v>320</v>
      </c>
      <c r="Q95" s="195">
        <f t="shared" si="4"/>
        <v>0</v>
      </c>
      <c r="R95" s="195">
        <f t="shared" si="4"/>
        <v>500</v>
      </c>
      <c r="S95" s="195">
        <f t="shared" si="4"/>
        <v>500</v>
      </c>
    </row>
    <row r="96" spans="1:19" ht="23.25" customHeight="1">
      <c r="A96" s="95"/>
      <c r="B96" s="94"/>
      <c r="C96" s="99"/>
      <c r="D96" s="105"/>
      <c r="E96" s="100"/>
      <c r="F96" s="100"/>
      <c r="G96" s="101">
        <v>621</v>
      </c>
      <c r="H96" s="4" t="s">
        <v>337</v>
      </c>
      <c r="I96" s="7">
        <v>27</v>
      </c>
      <c r="J96" s="20">
        <v>1</v>
      </c>
      <c r="K96" s="15">
        <v>11</v>
      </c>
      <c r="L96" s="91" t="s">
        <v>101</v>
      </c>
      <c r="M96" s="92" t="s">
        <v>359</v>
      </c>
      <c r="N96" s="92" t="s">
        <v>357</v>
      </c>
      <c r="O96" s="92" t="s">
        <v>392</v>
      </c>
      <c r="P96" s="5">
        <v>870</v>
      </c>
      <c r="Q96" s="197">
        <f>'Приложение 8'!Q49</f>
        <v>0</v>
      </c>
      <c r="R96" s="197">
        <v>500</v>
      </c>
      <c r="S96" s="197">
        <v>500</v>
      </c>
    </row>
    <row r="97" spans="1:19" s="171" customFormat="1" ht="23.25" customHeight="1">
      <c r="A97" s="135"/>
      <c r="B97" s="136"/>
      <c r="C97" s="135"/>
      <c r="D97" s="137"/>
      <c r="E97" s="138"/>
      <c r="F97" s="138"/>
      <c r="G97" s="129"/>
      <c r="H97" s="130" t="s">
        <v>321</v>
      </c>
      <c r="I97" s="139">
        <v>27</v>
      </c>
      <c r="J97" s="141">
        <v>1</v>
      </c>
      <c r="K97" s="132">
        <v>13</v>
      </c>
      <c r="L97" s="133"/>
      <c r="M97" s="134"/>
      <c r="N97" s="134"/>
      <c r="O97" s="134"/>
      <c r="P97" s="139"/>
      <c r="Q97" s="198">
        <f>Q98+Q109+Q121+Q129+Q159+Q192</f>
        <v>60219.9</v>
      </c>
      <c r="R97" s="198">
        <f>R98+R109+R121+R129+R159+R192</f>
        <v>58603.50000000001</v>
      </c>
      <c r="S97" s="198">
        <f>S98+S109+S121+S129+S159+S192</f>
        <v>54864.7</v>
      </c>
    </row>
    <row r="98" spans="1:19" ht="33.75" customHeight="1">
      <c r="A98" s="95"/>
      <c r="B98" s="94"/>
      <c r="C98" s="99"/>
      <c r="D98" s="97"/>
      <c r="E98" s="109"/>
      <c r="F98" s="109"/>
      <c r="G98" s="101"/>
      <c r="H98" s="2" t="s">
        <v>619</v>
      </c>
      <c r="I98" s="5">
        <v>28</v>
      </c>
      <c r="J98" s="6">
        <v>1</v>
      </c>
      <c r="K98" s="15">
        <v>13</v>
      </c>
      <c r="L98" s="91" t="s">
        <v>618</v>
      </c>
      <c r="M98" s="92" t="s">
        <v>347</v>
      </c>
      <c r="N98" s="92" t="s">
        <v>357</v>
      </c>
      <c r="O98" s="92" t="s">
        <v>392</v>
      </c>
      <c r="P98" s="5"/>
      <c r="Q98" s="197">
        <f>Q99+Q102+Q106</f>
        <v>233</v>
      </c>
      <c r="R98" s="197">
        <f>R99+R102+R106</f>
        <v>248</v>
      </c>
      <c r="S98" s="197">
        <f>S99+S102+S106</f>
        <v>248</v>
      </c>
    </row>
    <row r="99" spans="1:19" ht="19.5" customHeight="1">
      <c r="A99" s="95"/>
      <c r="B99" s="94"/>
      <c r="C99" s="99"/>
      <c r="D99" s="97"/>
      <c r="E99" s="109"/>
      <c r="F99" s="109"/>
      <c r="G99" s="101"/>
      <c r="H99" s="2" t="s">
        <v>575</v>
      </c>
      <c r="I99" s="7">
        <v>28</v>
      </c>
      <c r="J99" s="6">
        <v>1</v>
      </c>
      <c r="K99" s="15">
        <v>13</v>
      </c>
      <c r="L99" s="91" t="s">
        <v>618</v>
      </c>
      <c r="M99" s="92" t="s">
        <v>347</v>
      </c>
      <c r="N99" s="92" t="s">
        <v>348</v>
      </c>
      <c r="O99" s="92" t="s">
        <v>392</v>
      </c>
      <c r="P99" s="5"/>
      <c r="Q99" s="197">
        <f aca="true" t="shared" si="5" ref="Q99:S100">Q100</f>
        <v>140</v>
      </c>
      <c r="R99" s="197">
        <f t="shared" si="5"/>
        <v>155</v>
      </c>
      <c r="S99" s="197">
        <f t="shared" si="5"/>
        <v>155</v>
      </c>
    </row>
    <row r="100" spans="1:19" ht="36.75" customHeight="1">
      <c r="A100" s="95"/>
      <c r="B100" s="94"/>
      <c r="C100" s="99"/>
      <c r="D100" s="97"/>
      <c r="E100" s="109"/>
      <c r="F100" s="109"/>
      <c r="G100" s="101">
        <v>240</v>
      </c>
      <c r="H100" s="17" t="s">
        <v>11</v>
      </c>
      <c r="I100" s="7">
        <v>28</v>
      </c>
      <c r="J100" s="6">
        <v>1</v>
      </c>
      <c r="K100" s="15">
        <v>13</v>
      </c>
      <c r="L100" s="91" t="s">
        <v>618</v>
      </c>
      <c r="M100" s="92" t="s">
        <v>347</v>
      </c>
      <c r="N100" s="92" t="s">
        <v>348</v>
      </c>
      <c r="O100" s="92" t="s">
        <v>12</v>
      </c>
      <c r="P100" s="5"/>
      <c r="Q100" s="197">
        <f t="shared" si="5"/>
        <v>140</v>
      </c>
      <c r="R100" s="197">
        <f t="shared" si="5"/>
        <v>155</v>
      </c>
      <c r="S100" s="197">
        <f t="shared" si="5"/>
        <v>155</v>
      </c>
    </row>
    <row r="101" spans="1:19" ht="24.75" customHeight="1">
      <c r="A101" s="106"/>
      <c r="B101" s="107"/>
      <c r="C101" s="102"/>
      <c r="D101" s="103"/>
      <c r="E101" s="100"/>
      <c r="F101" s="100"/>
      <c r="G101" s="101"/>
      <c r="H101" s="4" t="s">
        <v>386</v>
      </c>
      <c r="I101" s="5">
        <v>28</v>
      </c>
      <c r="J101" s="6">
        <v>1</v>
      </c>
      <c r="K101" s="15">
        <v>13</v>
      </c>
      <c r="L101" s="91" t="s">
        <v>618</v>
      </c>
      <c r="M101" s="92" t="s">
        <v>347</v>
      </c>
      <c r="N101" s="92" t="s">
        <v>348</v>
      </c>
      <c r="O101" s="92" t="s">
        <v>12</v>
      </c>
      <c r="P101" s="5">
        <v>340</v>
      </c>
      <c r="Q101" s="195">
        <f>'Приложение 8'!Q429</f>
        <v>140</v>
      </c>
      <c r="R101" s="195">
        <f>'Приложение 8'!R429</f>
        <v>155</v>
      </c>
      <c r="S101" s="195">
        <f>'Приложение 8'!S429</f>
        <v>155</v>
      </c>
    </row>
    <row r="102" spans="1:19" ht="24.75" customHeight="1">
      <c r="A102" s="106"/>
      <c r="B102" s="107"/>
      <c r="C102" s="102"/>
      <c r="D102" s="103"/>
      <c r="E102" s="100"/>
      <c r="F102" s="100"/>
      <c r="G102" s="101"/>
      <c r="H102" s="4" t="s">
        <v>576</v>
      </c>
      <c r="I102" s="5">
        <v>28</v>
      </c>
      <c r="J102" s="6">
        <v>1</v>
      </c>
      <c r="K102" s="15">
        <v>13</v>
      </c>
      <c r="L102" s="91" t="s">
        <v>618</v>
      </c>
      <c r="M102" s="92" t="s">
        <v>347</v>
      </c>
      <c r="N102" s="92" t="s">
        <v>365</v>
      </c>
      <c r="O102" s="92" t="s">
        <v>392</v>
      </c>
      <c r="P102" s="5"/>
      <c r="Q102" s="195">
        <f>Q103</f>
        <v>68</v>
      </c>
      <c r="R102" s="195">
        <f>R103</f>
        <v>68</v>
      </c>
      <c r="S102" s="195">
        <f>S103</f>
        <v>68</v>
      </c>
    </row>
    <row r="103" spans="1:19" ht="36.75" customHeight="1">
      <c r="A103" s="106"/>
      <c r="B103" s="107"/>
      <c r="C103" s="102"/>
      <c r="D103" s="103"/>
      <c r="E103" s="100"/>
      <c r="F103" s="100"/>
      <c r="G103" s="101"/>
      <c r="H103" s="4" t="s">
        <v>11</v>
      </c>
      <c r="I103" s="5">
        <v>28</v>
      </c>
      <c r="J103" s="6">
        <v>1</v>
      </c>
      <c r="K103" s="15">
        <v>13</v>
      </c>
      <c r="L103" s="91" t="s">
        <v>618</v>
      </c>
      <c r="M103" s="92" t="s">
        <v>347</v>
      </c>
      <c r="N103" s="92" t="s">
        <v>365</v>
      </c>
      <c r="O103" s="92" t="s">
        <v>12</v>
      </c>
      <c r="P103" s="5"/>
      <c r="Q103" s="195">
        <f>Q105+Q104</f>
        <v>68</v>
      </c>
      <c r="R103" s="195">
        <f>R105</f>
        <v>68</v>
      </c>
      <c r="S103" s="195">
        <f>S105</f>
        <v>68</v>
      </c>
    </row>
    <row r="104" spans="1:19" ht="36.75" customHeight="1">
      <c r="A104" s="106"/>
      <c r="B104" s="107"/>
      <c r="C104" s="102"/>
      <c r="D104" s="103"/>
      <c r="E104" s="100"/>
      <c r="F104" s="100"/>
      <c r="G104" s="101"/>
      <c r="H104" s="4" t="str">
        <f>'Приложение 8'!H432</f>
        <v>Расходы на выплаты персоналу государственных (муниципальных) органов</v>
      </c>
      <c r="I104" s="5">
        <f>'Приложение 8'!I432</f>
        <v>28</v>
      </c>
      <c r="J104" s="6">
        <f>'Приложение 8'!J432</f>
        <v>1</v>
      </c>
      <c r="K104" s="15">
        <f>'Приложение 8'!K432</f>
        <v>13</v>
      </c>
      <c r="L104" s="91" t="str">
        <f>'Приложение 8'!L432</f>
        <v>28</v>
      </c>
      <c r="M104" s="92" t="str">
        <f>'Приложение 8'!M432</f>
        <v>0</v>
      </c>
      <c r="N104" s="92" t="str">
        <f>'Приложение 8'!N432</f>
        <v>02</v>
      </c>
      <c r="O104" s="92" t="str">
        <f>'Приложение 8'!O432</f>
        <v>20210</v>
      </c>
      <c r="P104" s="5">
        <f>'Приложение 8'!P432</f>
        <v>120</v>
      </c>
      <c r="Q104" s="195">
        <f>'Приложение 8'!Q432</f>
        <v>20.3</v>
      </c>
      <c r="R104" s="195">
        <f>'Приложение 8'!R432</f>
        <v>0</v>
      </c>
      <c r="S104" s="195">
        <f>'Приложение 8'!S432</f>
        <v>0</v>
      </c>
    </row>
    <row r="105" spans="1:19" ht="24.75" customHeight="1">
      <c r="A105" s="106"/>
      <c r="B105" s="107"/>
      <c r="C105" s="102"/>
      <c r="D105" s="103"/>
      <c r="E105" s="100"/>
      <c r="F105" s="100"/>
      <c r="G105" s="101"/>
      <c r="H105" s="4" t="s">
        <v>454</v>
      </c>
      <c r="I105" s="5">
        <v>28</v>
      </c>
      <c r="J105" s="6">
        <v>1</v>
      </c>
      <c r="K105" s="15">
        <v>13</v>
      </c>
      <c r="L105" s="91" t="s">
        <v>618</v>
      </c>
      <c r="M105" s="92" t="s">
        <v>347</v>
      </c>
      <c r="N105" s="92" t="s">
        <v>365</v>
      </c>
      <c r="O105" s="92" t="s">
        <v>12</v>
      </c>
      <c r="P105" s="5">
        <v>240</v>
      </c>
      <c r="Q105" s="195">
        <f>'Приложение 8'!Q433</f>
        <v>47.7</v>
      </c>
      <c r="R105" s="195">
        <v>68</v>
      </c>
      <c r="S105" s="195">
        <v>68</v>
      </c>
    </row>
    <row r="106" spans="1:19" ht="24.75" customHeight="1">
      <c r="A106" s="106"/>
      <c r="B106" s="107"/>
      <c r="C106" s="102"/>
      <c r="D106" s="103"/>
      <c r="E106" s="100"/>
      <c r="F106" s="100"/>
      <c r="G106" s="85"/>
      <c r="H106" s="10" t="str">
        <f>'Приложение 8'!H434</f>
        <v>Основное мероприятие «Комплекс стимулирующих мер по закреплению кадров в районе»</v>
      </c>
      <c r="I106" s="9">
        <f>'Приложение 8'!I434</f>
        <v>28</v>
      </c>
      <c r="J106" s="15">
        <f>'Приложение 8'!J434</f>
        <v>1</v>
      </c>
      <c r="K106" s="15">
        <f>'Приложение 8'!K434</f>
        <v>13</v>
      </c>
      <c r="L106" s="91" t="str">
        <f>'Приложение 8'!L434</f>
        <v>28</v>
      </c>
      <c r="M106" s="92" t="str">
        <f>'Приложение 8'!M434</f>
        <v>0</v>
      </c>
      <c r="N106" s="92" t="str">
        <f>'Приложение 8'!N434</f>
        <v>03</v>
      </c>
      <c r="O106" s="92" t="str">
        <f>'Приложение 8'!O434</f>
        <v>00000</v>
      </c>
      <c r="P106" s="5" t="s">
        <v>393</v>
      </c>
      <c r="Q106" s="197">
        <f>'Приложение 8'!Q434</f>
        <v>25</v>
      </c>
      <c r="R106" s="197">
        <f>'Приложение 8'!R434</f>
        <v>25</v>
      </c>
      <c r="S106" s="197">
        <f>'Приложение 8'!S434</f>
        <v>25</v>
      </c>
    </row>
    <row r="107" spans="1:19" ht="30" customHeight="1">
      <c r="A107" s="106"/>
      <c r="B107" s="107"/>
      <c r="C107" s="102"/>
      <c r="D107" s="103"/>
      <c r="E107" s="100"/>
      <c r="F107" s="100"/>
      <c r="G107" s="85"/>
      <c r="H107" s="10" t="str">
        <f>'Приложение 8'!H435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07" s="9">
        <f>'Приложение 8'!I435</f>
        <v>28</v>
      </c>
      <c r="J107" s="15">
        <f>'Приложение 8'!J435</f>
        <v>1</v>
      </c>
      <c r="K107" s="15">
        <f>'Приложение 8'!K435</f>
        <v>13</v>
      </c>
      <c r="L107" s="91" t="str">
        <f>'Приложение 8'!L435</f>
        <v>28</v>
      </c>
      <c r="M107" s="92" t="str">
        <f>'Приложение 8'!M435</f>
        <v>0</v>
      </c>
      <c r="N107" s="92" t="str">
        <f>'Приложение 8'!N435</f>
        <v>03</v>
      </c>
      <c r="O107" s="92" t="str">
        <f>'Приложение 8'!O435</f>
        <v>20210</v>
      </c>
      <c r="P107" s="5" t="s">
        <v>393</v>
      </c>
      <c r="Q107" s="197">
        <f>'Приложение 8'!Q435</f>
        <v>25</v>
      </c>
      <c r="R107" s="197">
        <f>'Приложение 8'!R435</f>
        <v>25</v>
      </c>
      <c r="S107" s="197">
        <f>'Приложение 8'!S435</f>
        <v>25</v>
      </c>
    </row>
    <row r="108" spans="1:19" ht="24.75" customHeight="1">
      <c r="A108" s="106"/>
      <c r="B108" s="107"/>
      <c r="C108" s="102"/>
      <c r="D108" s="103"/>
      <c r="E108" s="100"/>
      <c r="F108" s="100"/>
      <c r="G108" s="85"/>
      <c r="H108" s="10" t="str">
        <f>'Приложение 8'!H436</f>
        <v>Иные закупки товаров, работ и услуг для обеспечения государственных (муниципальных) нужд</v>
      </c>
      <c r="I108" s="9">
        <f>'Приложение 8'!I436</f>
        <v>28</v>
      </c>
      <c r="J108" s="15">
        <f>'Приложение 8'!J436</f>
        <v>1</v>
      </c>
      <c r="K108" s="15">
        <f>'Приложение 8'!K436</f>
        <v>13</v>
      </c>
      <c r="L108" s="91" t="str">
        <f>'Приложение 8'!L436</f>
        <v>28</v>
      </c>
      <c r="M108" s="92" t="str">
        <f>'Приложение 8'!M436</f>
        <v>0</v>
      </c>
      <c r="N108" s="92" t="str">
        <f>'Приложение 8'!N436</f>
        <v>03</v>
      </c>
      <c r="O108" s="92" t="str">
        <f>'Приложение 8'!O436</f>
        <v>20210</v>
      </c>
      <c r="P108" s="5">
        <f>'Приложение 8'!P436</f>
        <v>240</v>
      </c>
      <c r="Q108" s="197">
        <f>'Приложение 8'!Q436</f>
        <v>25</v>
      </c>
      <c r="R108" s="197">
        <f>'Приложение 8'!R436</f>
        <v>25</v>
      </c>
      <c r="S108" s="197">
        <f>'Приложение 8'!S436</f>
        <v>25</v>
      </c>
    </row>
    <row r="109" spans="1:19" ht="36.75" customHeight="1">
      <c r="A109" s="93"/>
      <c r="B109" s="94"/>
      <c r="C109" s="99"/>
      <c r="D109" s="97"/>
      <c r="E109" s="100"/>
      <c r="F109" s="100"/>
      <c r="G109" s="85"/>
      <c r="H109" s="10" t="s">
        <v>446</v>
      </c>
      <c r="I109" s="9">
        <v>661</v>
      </c>
      <c r="J109" s="15">
        <v>1</v>
      </c>
      <c r="K109" s="15">
        <v>13</v>
      </c>
      <c r="L109" s="91" t="s">
        <v>447</v>
      </c>
      <c r="M109" s="92" t="s">
        <v>347</v>
      </c>
      <c r="N109" s="92" t="s">
        <v>357</v>
      </c>
      <c r="O109" s="92" t="s">
        <v>392</v>
      </c>
      <c r="P109" s="5"/>
      <c r="Q109" s="197">
        <f aca="true" t="shared" si="6" ref="Q109:S110">Q110</f>
        <v>17113.3</v>
      </c>
      <c r="R109" s="197">
        <f t="shared" si="6"/>
        <v>14666.5</v>
      </c>
      <c r="S109" s="197">
        <f t="shared" si="6"/>
        <v>14666.5</v>
      </c>
    </row>
    <row r="110" spans="1:19" ht="38.25" customHeight="1">
      <c r="A110" s="93"/>
      <c r="B110" s="94"/>
      <c r="C110" s="110"/>
      <c r="D110" s="90"/>
      <c r="E110" s="90"/>
      <c r="F110" s="90"/>
      <c r="G110" s="85"/>
      <c r="H110" s="10" t="s">
        <v>450</v>
      </c>
      <c r="I110" s="9">
        <v>661</v>
      </c>
      <c r="J110" s="15">
        <v>1</v>
      </c>
      <c r="K110" s="15">
        <v>13</v>
      </c>
      <c r="L110" s="91" t="s">
        <v>447</v>
      </c>
      <c r="M110" s="92" t="s">
        <v>344</v>
      </c>
      <c r="N110" s="92" t="s">
        <v>357</v>
      </c>
      <c r="O110" s="92" t="s">
        <v>392</v>
      </c>
      <c r="P110" s="9"/>
      <c r="Q110" s="195">
        <f t="shared" si="6"/>
        <v>17113.3</v>
      </c>
      <c r="R110" s="195">
        <f t="shared" si="6"/>
        <v>14666.5</v>
      </c>
      <c r="S110" s="195">
        <f t="shared" si="6"/>
        <v>14666.5</v>
      </c>
    </row>
    <row r="111" spans="1:19" ht="36" customHeight="1">
      <c r="A111" s="93"/>
      <c r="B111" s="94"/>
      <c r="C111" s="102"/>
      <c r="D111" s="107"/>
      <c r="E111" s="110"/>
      <c r="F111" s="110"/>
      <c r="G111" s="85"/>
      <c r="H111" s="10" t="s">
        <v>451</v>
      </c>
      <c r="I111" s="9">
        <v>661</v>
      </c>
      <c r="J111" s="15">
        <v>1</v>
      </c>
      <c r="K111" s="15">
        <v>13</v>
      </c>
      <c r="L111" s="91" t="s">
        <v>447</v>
      </c>
      <c r="M111" s="92" t="s">
        <v>344</v>
      </c>
      <c r="N111" s="92" t="s">
        <v>365</v>
      </c>
      <c r="O111" s="92" t="s">
        <v>392</v>
      </c>
      <c r="P111" s="9"/>
      <c r="Q111" s="195">
        <f>Q112+Q118+Q116</f>
        <v>17113.3</v>
      </c>
      <c r="R111" s="195">
        <f>R112+R118+R116</f>
        <v>14666.5</v>
      </c>
      <c r="S111" s="195">
        <f>S112+S118+S116</f>
        <v>14666.5</v>
      </c>
    </row>
    <row r="112" spans="1:19" ht="33.75" customHeight="1">
      <c r="A112" s="93"/>
      <c r="B112" s="94"/>
      <c r="C112" s="102"/>
      <c r="D112" s="107"/>
      <c r="E112" s="110"/>
      <c r="F112" s="110"/>
      <c r="G112" s="85"/>
      <c r="H112" s="10" t="s">
        <v>102</v>
      </c>
      <c r="I112" s="9">
        <v>661</v>
      </c>
      <c r="J112" s="15">
        <v>1</v>
      </c>
      <c r="K112" s="15">
        <v>13</v>
      </c>
      <c r="L112" s="91" t="s">
        <v>447</v>
      </c>
      <c r="M112" s="92" t="s">
        <v>344</v>
      </c>
      <c r="N112" s="92" t="s">
        <v>365</v>
      </c>
      <c r="O112" s="92" t="s">
        <v>103</v>
      </c>
      <c r="P112" s="9"/>
      <c r="Q112" s="202">
        <f>SUM(Q113:Q115)</f>
        <v>12009.199999999999</v>
      </c>
      <c r="R112" s="202">
        <f>SUM(R113:R115)</f>
        <v>12431.199999999999</v>
      </c>
      <c r="S112" s="202">
        <f>SUM(S113:S115)</f>
        <v>12431.199999999999</v>
      </c>
    </row>
    <row r="113" spans="1:19" ht="30" customHeight="1">
      <c r="A113" s="93"/>
      <c r="B113" s="94"/>
      <c r="C113" s="102"/>
      <c r="D113" s="107"/>
      <c r="E113" s="110"/>
      <c r="F113" s="110"/>
      <c r="G113" s="85"/>
      <c r="H113" s="10" t="s">
        <v>517</v>
      </c>
      <c r="I113" s="9">
        <v>661</v>
      </c>
      <c r="J113" s="15">
        <v>1</v>
      </c>
      <c r="K113" s="15">
        <v>13</v>
      </c>
      <c r="L113" s="91" t="s">
        <v>447</v>
      </c>
      <c r="M113" s="92" t="s">
        <v>344</v>
      </c>
      <c r="N113" s="92" t="s">
        <v>365</v>
      </c>
      <c r="O113" s="92" t="s">
        <v>103</v>
      </c>
      <c r="P113" s="9">
        <v>110</v>
      </c>
      <c r="Q113" s="195">
        <v>10890.4</v>
      </c>
      <c r="R113" s="212">
        <v>10890.4</v>
      </c>
      <c r="S113" s="212">
        <v>10890.4</v>
      </c>
    </row>
    <row r="114" spans="1:19" ht="30" customHeight="1">
      <c r="A114" s="93"/>
      <c r="B114" s="94"/>
      <c r="C114" s="102"/>
      <c r="D114" s="107"/>
      <c r="E114" s="110"/>
      <c r="F114" s="110"/>
      <c r="G114" s="85"/>
      <c r="H114" s="10" t="s">
        <v>454</v>
      </c>
      <c r="I114" s="9">
        <v>661</v>
      </c>
      <c r="J114" s="15">
        <v>1</v>
      </c>
      <c r="K114" s="15">
        <v>13</v>
      </c>
      <c r="L114" s="91" t="s">
        <v>447</v>
      </c>
      <c r="M114" s="92" t="s">
        <v>344</v>
      </c>
      <c r="N114" s="92" t="s">
        <v>365</v>
      </c>
      <c r="O114" s="92" t="s">
        <v>103</v>
      </c>
      <c r="P114" s="9">
        <v>240</v>
      </c>
      <c r="Q114" s="195">
        <f>'Приложение 8'!Q493</f>
        <v>1118.4</v>
      </c>
      <c r="R114" s="212">
        <v>1540.4</v>
      </c>
      <c r="S114" s="212">
        <v>1540.4</v>
      </c>
    </row>
    <row r="115" spans="1:19" ht="30" customHeight="1">
      <c r="A115" s="93"/>
      <c r="B115" s="94"/>
      <c r="C115" s="102"/>
      <c r="D115" s="107"/>
      <c r="E115" s="110"/>
      <c r="F115" s="110"/>
      <c r="G115" s="85"/>
      <c r="H115" s="10" t="s">
        <v>455</v>
      </c>
      <c r="I115" s="9">
        <v>661</v>
      </c>
      <c r="J115" s="15">
        <v>1</v>
      </c>
      <c r="K115" s="15">
        <v>13</v>
      </c>
      <c r="L115" s="91" t="s">
        <v>447</v>
      </c>
      <c r="M115" s="92" t="s">
        <v>344</v>
      </c>
      <c r="N115" s="92" t="s">
        <v>365</v>
      </c>
      <c r="O115" s="92" t="s">
        <v>103</v>
      </c>
      <c r="P115" s="9">
        <v>850</v>
      </c>
      <c r="Q115" s="195">
        <v>0.4</v>
      </c>
      <c r="R115" s="212">
        <v>0.4</v>
      </c>
      <c r="S115" s="212">
        <v>0.4</v>
      </c>
    </row>
    <row r="116" spans="1:19" ht="30" customHeight="1">
      <c r="A116" s="93"/>
      <c r="B116" s="94"/>
      <c r="C116" s="102"/>
      <c r="D116" s="107"/>
      <c r="E116" s="110"/>
      <c r="F116" s="110"/>
      <c r="G116" s="85"/>
      <c r="H116" s="10" t="s">
        <v>595</v>
      </c>
      <c r="I116" s="9">
        <v>661</v>
      </c>
      <c r="J116" s="15">
        <v>1</v>
      </c>
      <c r="K116" s="15">
        <v>13</v>
      </c>
      <c r="L116" s="91" t="s">
        <v>447</v>
      </c>
      <c r="M116" s="92" t="s">
        <v>344</v>
      </c>
      <c r="N116" s="92" t="s">
        <v>365</v>
      </c>
      <c r="O116" s="92" t="s">
        <v>594</v>
      </c>
      <c r="P116" s="9"/>
      <c r="Q116" s="195">
        <f>Q117</f>
        <v>2628.4</v>
      </c>
      <c r="R116" s="195">
        <f>R117</f>
        <v>2235.3</v>
      </c>
      <c r="S116" s="195">
        <f>S117</f>
        <v>2235.3</v>
      </c>
    </row>
    <row r="117" spans="1:19" ht="30" customHeight="1">
      <c r="A117" s="93"/>
      <c r="B117" s="94"/>
      <c r="C117" s="102"/>
      <c r="D117" s="107"/>
      <c r="E117" s="110"/>
      <c r="F117" s="110"/>
      <c r="G117" s="85"/>
      <c r="H117" s="10" t="s">
        <v>517</v>
      </c>
      <c r="I117" s="9">
        <v>661</v>
      </c>
      <c r="J117" s="15">
        <v>1</v>
      </c>
      <c r="K117" s="15">
        <v>13</v>
      </c>
      <c r="L117" s="91" t="s">
        <v>447</v>
      </c>
      <c r="M117" s="92" t="s">
        <v>344</v>
      </c>
      <c r="N117" s="92" t="s">
        <v>365</v>
      </c>
      <c r="O117" s="92" t="s">
        <v>594</v>
      </c>
      <c r="P117" s="9">
        <v>110</v>
      </c>
      <c r="Q117" s="195">
        <f>'Приложение 8'!Q496</f>
        <v>2628.4</v>
      </c>
      <c r="R117" s="212">
        <v>2235.3</v>
      </c>
      <c r="S117" s="212">
        <v>2235.3</v>
      </c>
    </row>
    <row r="118" spans="1:19" ht="33.75" customHeight="1">
      <c r="A118" s="93"/>
      <c r="B118" s="94"/>
      <c r="C118" s="102"/>
      <c r="D118" s="107"/>
      <c r="E118" s="110"/>
      <c r="F118" s="110"/>
      <c r="G118" s="85"/>
      <c r="H118" s="10" t="s">
        <v>495</v>
      </c>
      <c r="I118" s="9">
        <v>661</v>
      </c>
      <c r="J118" s="15">
        <v>1</v>
      </c>
      <c r="K118" s="15">
        <v>13</v>
      </c>
      <c r="L118" s="91" t="s">
        <v>447</v>
      </c>
      <c r="M118" s="92" t="s">
        <v>344</v>
      </c>
      <c r="N118" s="92" t="s">
        <v>365</v>
      </c>
      <c r="O118" s="92" t="s">
        <v>494</v>
      </c>
      <c r="P118" s="9"/>
      <c r="Q118" s="195">
        <f>SUM(Q119:Q120)</f>
        <v>2475.7</v>
      </c>
      <c r="R118" s="195">
        <f>SUM(R119:R120)</f>
        <v>0</v>
      </c>
      <c r="S118" s="195">
        <f>SUM(S119:S120)</f>
        <v>0</v>
      </c>
    </row>
    <row r="119" spans="1:19" ht="33.75" customHeight="1">
      <c r="A119" s="93"/>
      <c r="B119" s="94"/>
      <c r="C119" s="102"/>
      <c r="D119" s="107"/>
      <c r="E119" s="110"/>
      <c r="F119" s="110"/>
      <c r="G119" s="85"/>
      <c r="H119" s="10" t="s">
        <v>457</v>
      </c>
      <c r="I119" s="9">
        <v>661</v>
      </c>
      <c r="J119" s="15">
        <v>1</v>
      </c>
      <c r="K119" s="15">
        <v>13</v>
      </c>
      <c r="L119" s="91" t="s">
        <v>447</v>
      </c>
      <c r="M119" s="92" t="s">
        <v>344</v>
      </c>
      <c r="N119" s="92" t="s">
        <v>365</v>
      </c>
      <c r="O119" s="92" t="s">
        <v>494</v>
      </c>
      <c r="P119" s="9">
        <v>110</v>
      </c>
      <c r="Q119" s="195">
        <v>2410.7</v>
      </c>
      <c r="R119" s="195">
        <v>0</v>
      </c>
      <c r="S119" s="195">
        <v>0</v>
      </c>
    </row>
    <row r="120" spans="1:19" ht="33.75" customHeight="1">
      <c r="A120" s="93"/>
      <c r="B120" s="94"/>
      <c r="C120" s="102"/>
      <c r="D120" s="107"/>
      <c r="E120" s="110"/>
      <c r="F120" s="110"/>
      <c r="G120" s="85"/>
      <c r="H120" s="10" t="s">
        <v>454</v>
      </c>
      <c r="I120" s="9">
        <v>661</v>
      </c>
      <c r="J120" s="15">
        <v>1</v>
      </c>
      <c r="K120" s="15">
        <v>13</v>
      </c>
      <c r="L120" s="91" t="s">
        <v>447</v>
      </c>
      <c r="M120" s="92" t="s">
        <v>344</v>
      </c>
      <c r="N120" s="92" t="s">
        <v>365</v>
      </c>
      <c r="O120" s="92" t="s">
        <v>494</v>
      </c>
      <c r="P120" s="9">
        <v>240</v>
      </c>
      <c r="Q120" s="195">
        <v>65</v>
      </c>
      <c r="R120" s="195">
        <v>0</v>
      </c>
      <c r="S120" s="195">
        <v>0</v>
      </c>
    </row>
    <row r="121" spans="1:19" ht="33.75" customHeight="1">
      <c r="A121" s="93"/>
      <c r="B121" s="94"/>
      <c r="C121" s="93"/>
      <c r="D121" s="105"/>
      <c r="E121" s="100"/>
      <c r="F121" s="100"/>
      <c r="G121" s="85"/>
      <c r="H121" s="10" t="s">
        <v>629</v>
      </c>
      <c r="I121" s="5">
        <v>27</v>
      </c>
      <c r="J121" s="6">
        <v>1</v>
      </c>
      <c r="K121" s="15">
        <v>13</v>
      </c>
      <c r="L121" s="91" t="s">
        <v>560</v>
      </c>
      <c r="M121" s="92" t="s">
        <v>347</v>
      </c>
      <c r="N121" s="92" t="s">
        <v>357</v>
      </c>
      <c r="O121" s="92" t="s">
        <v>392</v>
      </c>
      <c r="P121" s="5"/>
      <c r="Q121" s="197">
        <f>Q122</f>
        <v>50</v>
      </c>
      <c r="R121" s="197">
        <f>R122</f>
        <v>35</v>
      </c>
      <c r="S121" s="197">
        <f>S122</f>
        <v>35</v>
      </c>
    </row>
    <row r="122" spans="1:19" ht="23.25" customHeight="1">
      <c r="A122" s="93"/>
      <c r="B122" s="94"/>
      <c r="C122" s="93"/>
      <c r="D122" s="105"/>
      <c r="E122" s="100"/>
      <c r="F122" s="100"/>
      <c r="G122" s="85"/>
      <c r="H122" s="10" t="s">
        <v>640</v>
      </c>
      <c r="I122" s="5">
        <v>27</v>
      </c>
      <c r="J122" s="6">
        <v>1</v>
      </c>
      <c r="K122" s="15">
        <v>13</v>
      </c>
      <c r="L122" s="91" t="s">
        <v>560</v>
      </c>
      <c r="M122" s="92" t="s">
        <v>343</v>
      </c>
      <c r="N122" s="92" t="s">
        <v>357</v>
      </c>
      <c r="O122" s="92" t="s">
        <v>392</v>
      </c>
      <c r="P122" s="5"/>
      <c r="Q122" s="197">
        <f>Q123+Q126</f>
        <v>50</v>
      </c>
      <c r="R122" s="197">
        <f>R123+R126</f>
        <v>35</v>
      </c>
      <c r="S122" s="197">
        <f>S123+S126</f>
        <v>35</v>
      </c>
    </row>
    <row r="123" spans="1:19" ht="39" customHeight="1">
      <c r="A123" s="93"/>
      <c r="B123" s="94"/>
      <c r="C123" s="93"/>
      <c r="D123" s="105"/>
      <c r="E123" s="100"/>
      <c r="F123" s="100"/>
      <c r="G123" s="85"/>
      <c r="H123" s="10" t="s">
        <v>641</v>
      </c>
      <c r="I123" s="5">
        <v>27</v>
      </c>
      <c r="J123" s="6">
        <v>1</v>
      </c>
      <c r="K123" s="15">
        <v>13</v>
      </c>
      <c r="L123" s="91" t="s">
        <v>560</v>
      </c>
      <c r="M123" s="92" t="s">
        <v>343</v>
      </c>
      <c r="N123" s="92" t="s">
        <v>348</v>
      </c>
      <c r="O123" s="92" t="s">
        <v>392</v>
      </c>
      <c r="P123" s="5"/>
      <c r="Q123" s="197">
        <f aca="true" t="shared" si="7" ref="Q123:S124">Q124</f>
        <v>50</v>
      </c>
      <c r="R123" s="197">
        <f t="shared" si="7"/>
        <v>20</v>
      </c>
      <c r="S123" s="197">
        <f t="shared" si="7"/>
        <v>20</v>
      </c>
    </row>
    <row r="124" spans="1:19" ht="56.25" customHeight="1">
      <c r="A124" s="93"/>
      <c r="B124" s="94"/>
      <c r="C124" s="93"/>
      <c r="D124" s="105"/>
      <c r="E124" s="100"/>
      <c r="F124" s="100"/>
      <c r="G124" s="85"/>
      <c r="H124" s="10" t="s">
        <v>642</v>
      </c>
      <c r="I124" s="5">
        <v>27</v>
      </c>
      <c r="J124" s="6">
        <v>1</v>
      </c>
      <c r="K124" s="15">
        <v>13</v>
      </c>
      <c r="L124" s="91" t="s">
        <v>560</v>
      </c>
      <c r="M124" s="92" t="s">
        <v>343</v>
      </c>
      <c r="N124" s="92" t="s">
        <v>348</v>
      </c>
      <c r="O124" s="92" t="s">
        <v>537</v>
      </c>
      <c r="P124" s="5"/>
      <c r="Q124" s="197">
        <f t="shared" si="7"/>
        <v>50</v>
      </c>
      <c r="R124" s="197">
        <f t="shared" si="7"/>
        <v>20</v>
      </c>
      <c r="S124" s="197">
        <f t="shared" si="7"/>
        <v>20</v>
      </c>
    </row>
    <row r="125" spans="1:19" ht="23.25" customHeight="1">
      <c r="A125" s="93"/>
      <c r="B125" s="94"/>
      <c r="C125" s="93"/>
      <c r="D125" s="105"/>
      <c r="E125" s="100"/>
      <c r="F125" s="100"/>
      <c r="G125" s="85"/>
      <c r="H125" s="10" t="s">
        <v>454</v>
      </c>
      <c r="I125" s="5">
        <v>27</v>
      </c>
      <c r="J125" s="6">
        <v>1</v>
      </c>
      <c r="K125" s="15">
        <v>13</v>
      </c>
      <c r="L125" s="91" t="s">
        <v>560</v>
      </c>
      <c r="M125" s="92" t="s">
        <v>343</v>
      </c>
      <c r="N125" s="92" t="s">
        <v>348</v>
      </c>
      <c r="O125" s="92" t="s">
        <v>537</v>
      </c>
      <c r="P125" s="5">
        <v>240</v>
      </c>
      <c r="Q125" s="197">
        <f>'Приложение 8'!Q55</f>
        <v>50</v>
      </c>
      <c r="R125" s="197">
        <v>20</v>
      </c>
      <c r="S125" s="197">
        <v>20</v>
      </c>
    </row>
    <row r="126" spans="1:19" ht="54" customHeight="1">
      <c r="A126" s="93"/>
      <c r="B126" s="94"/>
      <c r="C126" s="93"/>
      <c r="D126" s="105"/>
      <c r="E126" s="100"/>
      <c r="F126" s="100"/>
      <c r="G126" s="85"/>
      <c r="H126" s="10" t="s">
        <v>643</v>
      </c>
      <c r="I126" s="5">
        <v>27</v>
      </c>
      <c r="J126" s="6">
        <v>1</v>
      </c>
      <c r="K126" s="15">
        <v>13</v>
      </c>
      <c r="L126" s="91" t="s">
        <v>560</v>
      </c>
      <c r="M126" s="92" t="s">
        <v>343</v>
      </c>
      <c r="N126" s="92" t="s">
        <v>365</v>
      </c>
      <c r="O126" s="92" t="s">
        <v>392</v>
      </c>
      <c r="P126" s="5"/>
      <c r="Q126" s="197">
        <f aca="true" t="shared" si="8" ref="Q126:S127">Q127</f>
        <v>0</v>
      </c>
      <c r="R126" s="197">
        <f t="shared" si="8"/>
        <v>15</v>
      </c>
      <c r="S126" s="197">
        <f t="shared" si="8"/>
        <v>15</v>
      </c>
    </row>
    <row r="127" spans="1:19" ht="51.75" customHeight="1">
      <c r="A127" s="93"/>
      <c r="B127" s="94"/>
      <c r="C127" s="93"/>
      <c r="D127" s="105"/>
      <c r="E127" s="100"/>
      <c r="F127" s="100"/>
      <c r="G127" s="85"/>
      <c r="H127" s="10" t="s">
        <v>642</v>
      </c>
      <c r="I127" s="5">
        <v>27</v>
      </c>
      <c r="J127" s="6">
        <v>1</v>
      </c>
      <c r="K127" s="15">
        <v>13</v>
      </c>
      <c r="L127" s="91" t="s">
        <v>560</v>
      </c>
      <c r="M127" s="92" t="s">
        <v>343</v>
      </c>
      <c r="N127" s="92" t="s">
        <v>365</v>
      </c>
      <c r="O127" s="92" t="s">
        <v>537</v>
      </c>
      <c r="P127" s="5"/>
      <c r="Q127" s="197">
        <f t="shared" si="8"/>
        <v>0</v>
      </c>
      <c r="R127" s="197">
        <f t="shared" si="8"/>
        <v>15</v>
      </c>
      <c r="S127" s="197">
        <f t="shared" si="8"/>
        <v>15</v>
      </c>
    </row>
    <row r="128" spans="1:19" ht="23.25" customHeight="1">
      <c r="A128" s="93"/>
      <c r="B128" s="94"/>
      <c r="C128" s="93"/>
      <c r="D128" s="105"/>
      <c r="E128" s="100"/>
      <c r="F128" s="100"/>
      <c r="G128" s="85"/>
      <c r="H128" s="10" t="s">
        <v>454</v>
      </c>
      <c r="I128" s="5">
        <v>27</v>
      </c>
      <c r="J128" s="6">
        <v>1</v>
      </c>
      <c r="K128" s="15">
        <v>13</v>
      </c>
      <c r="L128" s="91" t="s">
        <v>560</v>
      </c>
      <c r="M128" s="92" t="s">
        <v>343</v>
      </c>
      <c r="N128" s="92" t="s">
        <v>365</v>
      </c>
      <c r="O128" s="92" t="s">
        <v>537</v>
      </c>
      <c r="P128" s="5">
        <v>240</v>
      </c>
      <c r="Q128" s="197">
        <f>'Приложение 8'!Q58</f>
        <v>0</v>
      </c>
      <c r="R128" s="197">
        <v>15</v>
      </c>
      <c r="S128" s="197">
        <v>15</v>
      </c>
    </row>
    <row r="129" spans="1:19" ht="33.75" customHeight="1">
      <c r="A129" s="93"/>
      <c r="B129" s="94"/>
      <c r="C129" s="93"/>
      <c r="D129" s="107"/>
      <c r="E129" s="110"/>
      <c r="F129" s="110"/>
      <c r="G129" s="85"/>
      <c r="H129" s="10" t="s">
        <v>746</v>
      </c>
      <c r="I129" s="9">
        <v>664</v>
      </c>
      <c r="J129" s="15">
        <v>1</v>
      </c>
      <c r="K129" s="15">
        <v>13</v>
      </c>
      <c r="L129" s="91" t="s">
        <v>744</v>
      </c>
      <c r="M129" s="92" t="s">
        <v>347</v>
      </c>
      <c r="N129" s="92" t="s">
        <v>357</v>
      </c>
      <c r="O129" s="92" t="s">
        <v>392</v>
      </c>
      <c r="P129" s="9"/>
      <c r="Q129" s="195">
        <f>Q130+Q133+Q136+Q140+Q156</f>
        <v>6033.000000000001</v>
      </c>
      <c r="R129" s="195">
        <f>R130+R133+R136+R140+R156</f>
        <v>4948.400000000001</v>
      </c>
      <c r="S129" s="195">
        <f>S130+S133+S136+S140+S156</f>
        <v>4948.400000000001</v>
      </c>
    </row>
    <row r="130" spans="1:19" ht="24.75" customHeight="1">
      <c r="A130" s="95"/>
      <c r="B130" s="94"/>
      <c r="C130" s="93"/>
      <c r="D130" s="105"/>
      <c r="E130" s="100"/>
      <c r="F130" s="100"/>
      <c r="G130" s="85"/>
      <c r="H130" s="10" t="s">
        <v>748</v>
      </c>
      <c r="I130" s="9">
        <v>664</v>
      </c>
      <c r="J130" s="15">
        <v>1</v>
      </c>
      <c r="K130" s="15">
        <v>13</v>
      </c>
      <c r="L130" s="15">
        <v>48</v>
      </c>
      <c r="M130" s="92" t="s">
        <v>347</v>
      </c>
      <c r="N130" s="92" t="s">
        <v>348</v>
      </c>
      <c r="O130" s="92" t="s">
        <v>392</v>
      </c>
      <c r="P130" s="9"/>
      <c r="Q130" s="195">
        <f aca="true" t="shared" si="9" ref="Q130:S131">Q131</f>
        <v>520</v>
      </c>
      <c r="R130" s="195">
        <f t="shared" si="9"/>
        <v>470</v>
      </c>
      <c r="S130" s="195">
        <f t="shared" si="9"/>
        <v>470</v>
      </c>
    </row>
    <row r="131" spans="1:19" ht="24.75" customHeight="1">
      <c r="A131" s="95"/>
      <c r="B131" s="94"/>
      <c r="C131" s="93"/>
      <c r="D131" s="105"/>
      <c r="E131" s="100"/>
      <c r="F131" s="100"/>
      <c r="G131" s="85"/>
      <c r="H131" s="10" t="s">
        <v>118</v>
      </c>
      <c r="I131" s="9">
        <v>664</v>
      </c>
      <c r="J131" s="15">
        <v>1</v>
      </c>
      <c r="K131" s="15">
        <v>13</v>
      </c>
      <c r="L131" s="15">
        <v>48</v>
      </c>
      <c r="M131" s="92" t="s">
        <v>347</v>
      </c>
      <c r="N131" s="92" t="s">
        <v>348</v>
      </c>
      <c r="O131" s="92" t="s">
        <v>79</v>
      </c>
      <c r="P131" s="9"/>
      <c r="Q131" s="195">
        <f t="shared" si="9"/>
        <v>520</v>
      </c>
      <c r="R131" s="195">
        <f t="shared" si="9"/>
        <v>470</v>
      </c>
      <c r="S131" s="195">
        <f t="shared" si="9"/>
        <v>470</v>
      </c>
    </row>
    <row r="132" spans="1:19" ht="24.75" customHeight="1">
      <c r="A132" s="95"/>
      <c r="B132" s="94"/>
      <c r="C132" s="93"/>
      <c r="D132" s="105"/>
      <c r="E132" s="100"/>
      <c r="F132" s="100"/>
      <c r="G132" s="85"/>
      <c r="H132" s="10" t="s">
        <v>454</v>
      </c>
      <c r="I132" s="9">
        <v>664</v>
      </c>
      <c r="J132" s="15">
        <v>1</v>
      </c>
      <c r="K132" s="15">
        <v>13</v>
      </c>
      <c r="L132" s="15">
        <v>48</v>
      </c>
      <c r="M132" s="92" t="s">
        <v>347</v>
      </c>
      <c r="N132" s="92" t="s">
        <v>348</v>
      </c>
      <c r="O132" s="92" t="s">
        <v>79</v>
      </c>
      <c r="P132" s="9">
        <v>240</v>
      </c>
      <c r="Q132" s="195">
        <f>'Приложение 8'!Q683</f>
        <v>520</v>
      </c>
      <c r="R132" s="195">
        <v>470</v>
      </c>
      <c r="S132" s="195">
        <v>470</v>
      </c>
    </row>
    <row r="133" spans="1:19" ht="39" customHeight="1">
      <c r="A133" s="95"/>
      <c r="B133" s="94"/>
      <c r="C133" s="93"/>
      <c r="D133" s="105"/>
      <c r="E133" s="100"/>
      <c r="F133" s="100"/>
      <c r="G133" s="85"/>
      <c r="H133" s="10" t="s">
        <v>749</v>
      </c>
      <c r="I133" s="9">
        <v>664</v>
      </c>
      <c r="J133" s="15">
        <v>1</v>
      </c>
      <c r="K133" s="15">
        <v>13</v>
      </c>
      <c r="L133" s="15">
        <v>48</v>
      </c>
      <c r="M133" s="92" t="s">
        <v>347</v>
      </c>
      <c r="N133" s="92" t="s">
        <v>365</v>
      </c>
      <c r="O133" s="92" t="s">
        <v>392</v>
      </c>
      <c r="P133" s="9"/>
      <c r="Q133" s="195">
        <f aca="true" t="shared" si="10" ref="Q133:S134">Q134</f>
        <v>100</v>
      </c>
      <c r="R133" s="195">
        <f t="shared" si="10"/>
        <v>100</v>
      </c>
      <c r="S133" s="195">
        <f t="shared" si="10"/>
        <v>100</v>
      </c>
    </row>
    <row r="134" spans="1:19" ht="33" customHeight="1">
      <c r="A134" s="95"/>
      <c r="B134" s="94"/>
      <c r="C134" s="93"/>
      <c r="D134" s="105"/>
      <c r="E134" s="100"/>
      <c r="F134" s="100"/>
      <c r="G134" s="85"/>
      <c r="H134" s="10" t="s">
        <v>750</v>
      </c>
      <c r="I134" s="9">
        <v>664</v>
      </c>
      <c r="J134" s="15">
        <v>1</v>
      </c>
      <c r="K134" s="15">
        <v>13</v>
      </c>
      <c r="L134" s="15">
        <v>48</v>
      </c>
      <c r="M134" s="92" t="s">
        <v>347</v>
      </c>
      <c r="N134" s="92" t="s">
        <v>365</v>
      </c>
      <c r="O134" s="92" t="s">
        <v>78</v>
      </c>
      <c r="P134" s="9"/>
      <c r="Q134" s="195">
        <f t="shared" si="10"/>
        <v>100</v>
      </c>
      <c r="R134" s="195">
        <f t="shared" si="10"/>
        <v>100</v>
      </c>
      <c r="S134" s="195">
        <f t="shared" si="10"/>
        <v>100</v>
      </c>
    </row>
    <row r="135" spans="1:19" ht="24.75" customHeight="1">
      <c r="A135" s="95"/>
      <c r="B135" s="94"/>
      <c r="C135" s="93"/>
      <c r="D135" s="105"/>
      <c r="E135" s="100"/>
      <c r="F135" s="100"/>
      <c r="G135" s="85"/>
      <c r="H135" s="10" t="s">
        <v>454</v>
      </c>
      <c r="I135" s="9">
        <v>664</v>
      </c>
      <c r="J135" s="15">
        <v>1</v>
      </c>
      <c r="K135" s="15">
        <v>13</v>
      </c>
      <c r="L135" s="15">
        <v>48</v>
      </c>
      <c r="M135" s="92" t="s">
        <v>347</v>
      </c>
      <c r="N135" s="92" t="s">
        <v>365</v>
      </c>
      <c r="O135" s="92" t="s">
        <v>78</v>
      </c>
      <c r="P135" s="9">
        <v>240</v>
      </c>
      <c r="Q135" s="195">
        <v>100</v>
      </c>
      <c r="R135" s="195">
        <v>100</v>
      </c>
      <c r="S135" s="195">
        <v>100</v>
      </c>
    </row>
    <row r="136" spans="1:19" ht="39.75" customHeight="1">
      <c r="A136" s="95"/>
      <c r="B136" s="94"/>
      <c r="C136" s="93"/>
      <c r="D136" s="105"/>
      <c r="E136" s="100"/>
      <c r="F136" s="100"/>
      <c r="G136" s="85"/>
      <c r="H136" s="10" t="s">
        <v>751</v>
      </c>
      <c r="I136" s="9">
        <v>664</v>
      </c>
      <c r="J136" s="15">
        <v>1</v>
      </c>
      <c r="K136" s="15">
        <v>13</v>
      </c>
      <c r="L136" s="15">
        <v>48</v>
      </c>
      <c r="M136" s="92" t="s">
        <v>347</v>
      </c>
      <c r="N136" s="92" t="s">
        <v>366</v>
      </c>
      <c r="O136" s="92" t="s">
        <v>392</v>
      </c>
      <c r="P136" s="9"/>
      <c r="Q136" s="195">
        <f>Q137</f>
        <v>93.6</v>
      </c>
      <c r="R136" s="195">
        <f>R137</f>
        <v>143.6</v>
      </c>
      <c r="S136" s="195">
        <f>S137</f>
        <v>143.6</v>
      </c>
    </row>
    <row r="137" spans="1:19" ht="28.5" customHeight="1">
      <c r="A137" s="95"/>
      <c r="B137" s="94"/>
      <c r="C137" s="93"/>
      <c r="D137" s="105"/>
      <c r="E137" s="100"/>
      <c r="F137" s="100"/>
      <c r="G137" s="85"/>
      <c r="H137" s="10" t="s">
        <v>37</v>
      </c>
      <c r="I137" s="9">
        <v>664</v>
      </c>
      <c r="J137" s="15">
        <v>1</v>
      </c>
      <c r="K137" s="15">
        <v>13</v>
      </c>
      <c r="L137" s="15">
        <v>48</v>
      </c>
      <c r="M137" s="92" t="s">
        <v>347</v>
      </c>
      <c r="N137" s="92" t="s">
        <v>366</v>
      </c>
      <c r="O137" s="92" t="s">
        <v>36</v>
      </c>
      <c r="P137" s="9"/>
      <c r="Q137" s="195">
        <f>SUM(Q138:Q139)</f>
        <v>93.6</v>
      </c>
      <c r="R137" s="195">
        <f>SUM(R138:R139)</f>
        <v>143.6</v>
      </c>
      <c r="S137" s="195">
        <f>SUM(S138:S139)</f>
        <v>143.6</v>
      </c>
    </row>
    <row r="138" spans="1:19" ht="24.75" customHeight="1">
      <c r="A138" s="95"/>
      <c r="B138" s="94"/>
      <c r="C138" s="93"/>
      <c r="D138" s="105"/>
      <c r="E138" s="100"/>
      <c r="F138" s="100"/>
      <c r="G138" s="85"/>
      <c r="H138" s="10" t="s">
        <v>454</v>
      </c>
      <c r="I138" s="9">
        <v>664</v>
      </c>
      <c r="J138" s="15">
        <v>1</v>
      </c>
      <c r="K138" s="15">
        <v>13</v>
      </c>
      <c r="L138" s="15">
        <v>48</v>
      </c>
      <c r="M138" s="92" t="s">
        <v>347</v>
      </c>
      <c r="N138" s="92" t="s">
        <v>366</v>
      </c>
      <c r="O138" s="92" t="s">
        <v>36</v>
      </c>
      <c r="P138" s="9">
        <v>240</v>
      </c>
      <c r="Q138" s="195">
        <f>'Приложение 8'!Q689</f>
        <v>58</v>
      </c>
      <c r="R138" s="195">
        <v>108</v>
      </c>
      <c r="S138" s="195">
        <v>108</v>
      </c>
    </row>
    <row r="139" spans="1:19" ht="24.75" customHeight="1">
      <c r="A139" s="95"/>
      <c r="B139" s="94"/>
      <c r="C139" s="93"/>
      <c r="D139" s="105"/>
      <c r="E139" s="100"/>
      <c r="F139" s="100"/>
      <c r="G139" s="85"/>
      <c r="H139" s="4" t="s">
        <v>455</v>
      </c>
      <c r="I139" s="9">
        <v>664</v>
      </c>
      <c r="J139" s="15">
        <v>1</v>
      </c>
      <c r="K139" s="15">
        <v>13</v>
      </c>
      <c r="L139" s="15">
        <v>48</v>
      </c>
      <c r="M139" s="92" t="s">
        <v>347</v>
      </c>
      <c r="N139" s="92" t="s">
        <v>366</v>
      </c>
      <c r="O139" s="92" t="s">
        <v>36</v>
      </c>
      <c r="P139" s="9">
        <v>850</v>
      </c>
      <c r="Q139" s="195">
        <v>35.6</v>
      </c>
      <c r="R139" s="195">
        <v>35.6</v>
      </c>
      <c r="S139" s="195">
        <v>35.6</v>
      </c>
    </row>
    <row r="140" spans="1:19" ht="24.75" customHeight="1">
      <c r="A140" s="95"/>
      <c r="B140" s="94"/>
      <c r="C140" s="93"/>
      <c r="D140" s="105"/>
      <c r="E140" s="100"/>
      <c r="F140" s="100"/>
      <c r="G140" s="85"/>
      <c r="H140" s="10" t="s">
        <v>752</v>
      </c>
      <c r="I140" s="9">
        <v>664</v>
      </c>
      <c r="J140" s="15">
        <v>1</v>
      </c>
      <c r="K140" s="15">
        <v>13</v>
      </c>
      <c r="L140" s="15">
        <v>48</v>
      </c>
      <c r="M140" s="92" t="s">
        <v>347</v>
      </c>
      <c r="N140" s="92" t="s">
        <v>361</v>
      </c>
      <c r="O140" s="92" t="s">
        <v>392</v>
      </c>
      <c r="P140" s="9"/>
      <c r="Q140" s="195">
        <f>Q141+Q148+Q150+Q153+Q146</f>
        <v>5208.8</v>
      </c>
      <c r="R140" s="195">
        <f>R141+R148+R150+R153</f>
        <v>4161.1</v>
      </c>
      <c r="S140" s="195">
        <f>S141+S148+S150+S153</f>
        <v>4161.1</v>
      </c>
    </row>
    <row r="141" spans="1:19" ht="24.75" customHeight="1">
      <c r="A141" s="95"/>
      <c r="B141" s="94"/>
      <c r="C141" s="93"/>
      <c r="D141" s="105"/>
      <c r="E141" s="100"/>
      <c r="F141" s="100"/>
      <c r="G141" s="85"/>
      <c r="H141" s="10" t="s">
        <v>100</v>
      </c>
      <c r="I141" s="9">
        <v>664</v>
      </c>
      <c r="J141" s="15">
        <v>1</v>
      </c>
      <c r="K141" s="15">
        <v>13</v>
      </c>
      <c r="L141" s="15">
        <v>48</v>
      </c>
      <c r="M141" s="92" t="s">
        <v>347</v>
      </c>
      <c r="N141" s="92" t="s">
        <v>361</v>
      </c>
      <c r="O141" s="92" t="s">
        <v>398</v>
      </c>
      <c r="P141" s="9"/>
      <c r="Q141" s="195">
        <f>Q142+Q143+Q144+Q145</f>
        <v>3585.8</v>
      </c>
      <c r="R141" s="195">
        <f>R142+R143+R144+R145</f>
        <v>3564.9</v>
      </c>
      <c r="S141" s="195">
        <f>S142+S143+S144+S145</f>
        <v>3564.9</v>
      </c>
    </row>
    <row r="142" spans="1:19" ht="24.75" customHeight="1">
      <c r="A142" s="95"/>
      <c r="B142" s="94"/>
      <c r="C142" s="93"/>
      <c r="D142" s="105"/>
      <c r="E142" s="100"/>
      <c r="F142" s="100"/>
      <c r="G142" s="85"/>
      <c r="H142" s="10" t="s">
        <v>319</v>
      </c>
      <c r="I142" s="9">
        <v>664</v>
      </c>
      <c r="J142" s="15">
        <v>1</v>
      </c>
      <c r="K142" s="15">
        <v>13</v>
      </c>
      <c r="L142" s="15">
        <v>48</v>
      </c>
      <c r="M142" s="92" t="s">
        <v>347</v>
      </c>
      <c r="N142" s="92" t="s">
        <v>361</v>
      </c>
      <c r="O142" s="92" t="s">
        <v>398</v>
      </c>
      <c r="P142" s="9">
        <v>120</v>
      </c>
      <c r="Q142" s="195">
        <f>'Приложение 8'!Q693</f>
        <v>3056.2000000000003</v>
      </c>
      <c r="R142" s="195">
        <v>3035.3</v>
      </c>
      <c r="S142" s="195">
        <v>3035.3</v>
      </c>
    </row>
    <row r="143" spans="1:19" ht="24.75" customHeight="1">
      <c r="A143" s="95"/>
      <c r="B143" s="94"/>
      <c r="C143" s="93"/>
      <c r="D143" s="105"/>
      <c r="E143" s="100"/>
      <c r="F143" s="100"/>
      <c r="G143" s="85"/>
      <c r="H143" s="10" t="s">
        <v>454</v>
      </c>
      <c r="I143" s="9">
        <v>664</v>
      </c>
      <c r="J143" s="15">
        <v>1</v>
      </c>
      <c r="K143" s="15">
        <v>13</v>
      </c>
      <c r="L143" s="15">
        <v>48</v>
      </c>
      <c r="M143" s="92" t="s">
        <v>347</v>
      </c>
      <c r="N143" s="92" t="s">
        <v>361</v>
      </c>
      <c r="O143" s="92" t="s">
        <v>398</v>
      </c>
      <c r="P143" s="9">
        <v>240</v>
      </c>
      <c r="Q143" s="195">
        <v>499.5</v>
      </c>
      <c r="R143" s="195">
        <v>499.6</v>
      </c>
      <c r="S143" s="195">
        <v>499.6</v>
      </c>
    </row>
    <row r="144" spans="1:19" ht="16.5" customHeight="1">
      <c r="A144" s="95"/>
      <c r="B144" s="94"/>
      <c r="C144" s="93"/>
      <c r="D144" s="105"/>
      <c r="E144" s="100"/>
      <c r="F144" s="100"/>
      <c r="G144" s="85"/>
      <c r="H144" s="4" t="s">
        <v>461</v>
      </c>
      <c r="I144" s="9">
        <v>664</v>
      </c>
      <c r="J144" s="15">
        <v>1</v>
      </c>
      <c r="K144" s="15">
        <v>13</v>
      </c>
      <c r="L144" s="15">
        <v>48</v>
      </c>
      <c r="M144" s="92" t="s">
        <v>347</v>
      </c>
      <c r="N144" s="92" t="s">
        <v>361</v>
      </c>
      <c r="O144" s="92" t="s">
        <v>398</v>
      </c>
      <c r="P144" s="9">
        <v>830</v>
      </c>
      <c r="Q144" s="195">
        <v>10</v>
      </c>
      <c r="R144" s="195">
        <v>10</v>
      </c>
      <c r="S144" s="195">
        <v>10</v>
      </c>
    </row>
    <row r="145" spans="1:19" ht="18.75" customHeight="1">
      <c r="A145" s="95"/>
      <c r="B145" s="94"/>
      <c r="C145" s="93"/>
      <c r="D145" s="105"/>
      <c r="E145" s="100"/>
      <c r="F145" s="100"/>
      <c r="G145" s="85"/>
      <c r="H145" s="4" t="s">
        <v>455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347</v>
      </c>
      <c r="N145" s="92" t="s">
        <v>361</v>
      </c>
      <c r="O145" s="92" t="s">
        <v>398</v>
      </c>
      <c r="P145" s="9">
        <v>850</v>
      </c>
      <c r="Q145" s="195">
        <f>'Приложение 8'!Q696</f>
        <v>20.1</v>
      </c>
      <c r="R145" s="195">
        <v>20</v>
      </c>
      <c r="S145" s="195">
        <v>20</v>
      </c>
    </row>
    <row r="146" spans="1:19" ht="33" customHeight="1">
      <c r="A146" s="95"/>
      <c r="B146" s="94"/>
      <c r="C146" s="93"/>
      <c r="D146" s="105"/>
      <c r="E146" s="100"/>
      <c r="F146" s="100"/>
      <c r="G146" s="85"/>
      <c r="H146" s="10" t="str">
        <f>'Приложение 8'!H697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46" s="9">
        <f>'Приложение 8'!I697</f>
        <v>664</v>
      </c>
      <c r="J146" s="15">
        <f>'Приложение 8'!J697</f>
        <v>1</v>
      </c>
      <c r="K146" s="15">
        <f>'Приложение 8'!K697</f>
        <v>13</v>
      </c>
      <c r="L146" s="15">
        <f>'Приложение 8'!L697</f>
        <v>48</v>
      </c>
      <c r="M146" s="92" t="str">
        <f>'Приложение 8'!M697</f>
        <v>0</v>
      </c>
      <c r="N146" s="92" t="str">
        <f>'Приложение 8'!N697</f>
        <v>04</v>
      </c>
      <c r="O146" s="92" t="str">
        <f>'Приложение 8'!O697</f>
        <v>55490</v>
      </c>
      <c r="P146" s="9" t="s">
        <v>393</v>
      </c>
      <c r="Q146" s="195">
        <f>'Приложение 8'!Q697</f>
        <v>135.8</v>
      </c>
      <c r="R146" s="195">
        <f>'Приложение 8'!R697</f>
        <v>0</v>
      </c>
      <c r="S146" s="195">
        <f>'Приложение 8'!S697</f>
        <v>0</v>
      </c>
    </row>
    <row r="147" spans="1:19" ht="18.75" customHeight="1">
      <c r="A147" s="95"/>
      <c r="B147" s="94"/>
      <c r="C147" s="93"/>
      <c r="D147" s="105"/>
      <c r="E147" s="100"/>
      <c r="F147" s="100"/>
      <c r="G147" s="85"/>
      <c r="H147" s="10" t="str">
        <f>'Приложение 8'!H698</f>
        <v>Расходы на выплаты персоналу государственных (муниципальных) органов</v>
      </c>
      <c r="I147" s="9">
        <f>'Приложение 8'!I698</f>
        <v>664</v>
      </c>
      <c r="J147" s="15">
        <f>'Приложение 8'!J698</f>
        <v>1</v>
      </c>
      <c r="K147" s="15">
        <f>'Приложение 8'!K698</f>
        <v>13</v>
      </c>
      <c r="L147" s="15">
        <f>'Приложение 8'!L698</f>
        <v>48</v>
      </c>
      <c r="M147" s="92" t="str">
        <f>'Приложение 8'!M698</f>
        <v>0</v>
      </c>
      <c r="N147" s="92" t="str">
        <f>'Приложение 8'!N698</f>
        <v>04</v>
      </c>
      <c r="O147" s="92" t="str">
        <f>'Приложение 8'!O698</f>
        <v>55490</v>
      </c>
      <c r="P147" s="9">
        <f>'Приложение 8'!P698</f>
        <v>120</v>
      </c>
      <c r="Q147" s="195">
        <f>'Приложение 8'!Q698</f>
        <v>135.8</v>
      </c>
      <c r="R147" s="195">
        <f>'Приложение 8'!R698</f>
        <v>0</v>
      </c>
      <c r="S147" s="195">
        <f>'Приложение 8'!S698</f>
        <v>0</v>
      </c>
    </row>
    <row r="148" spans="1:19" ht="36" customHeight="1">
      <c r="A148" s="95"/>
      <c r="B148" s="94"/>
      <c r="C148" s="93"/>
      <c r="D148" s="105"/>
      <c r="E148" s="100"/>
      <c r="F148" s="100"/>
      <c r="G148" s="85"/>
      <c r="H148" s="10" t="s">
        <v>595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347</v>
      </c>
      <c r="N148" s="92" t="s">
        <v>361</v>
      </c>
      <c r="O148" s="92" t="s">
        <v>594</v>
      </c>
      <c r="P148" s="9"/>
      <c r="Q148" s="195">
        <f>Q149</f>
        <v>707.6</v>
      </c>
      <c r="R148" s="195">
        <f>R149</f>
        <v>596.2</v>
      </c>
      <c r="S148" s="195">
        <f>S149</f>
        <v>596.2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10" t="s">
        <v>319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347</v>
      </c>
      <c r="N149" s="92" t="s">
        <v>361</v>
      </c>
      <c r="O149" s="92" t="s">
        <v>594</v>
      </c>
      <c r="P149" s="9">
        <v>120</v>
      </c>
      <c r="Q149" s="195">
        <f>'Приложение 8'!Q700</f>
        <v>707.6</v>
      </c>
      <c r="R149" s="195">
        <v>596.2</v>
      </c>
      <c r="S149" s="195">
        <v>596.2</v>
      </c>
    </row>
    <row r="150" spans="1:19" ht="51.75" customHeight="1">
      <c r="A150" s="95"/>
      <c r="B150" s="94"/>
      <c r="C150" s="93"/>
      <c r="D150" s="105"/>
      <c r="E150" s="100"/>
      <c r="F150" s="100"/>
      <c r="G150" s="85"/>
      <c r="H150" s="10" t="s">
        <v>753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347</v>
      </c>
      <c r="N150" s="92" t="s">
        <v>361</v>
      </c>
      <c r="O150" s="92" t="s">
        <v>474</v>
      </c>
      <c r="P150" s="9"/>
      <c r="Q150" s="195">
        <f>Q151+Q152</f>
        <v>344.2</v>
      </c>
      <c r="R150" s="195">
        <f>R151+R152</f>
        <v>0</v>
      </c>
      <c r="S150" s="195">
        <f>S151+S152</f>
        <v>0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319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347</v>
      </c>
      <c r="N151" s="92" t="s">
        <v>361</v>
      </c>
      <c r="O151" s="92" t="s">
        <v>474</v>
      </c>
      <c r="P151" s="9">
        <v>120</v>
      </c>
      <c r="Q151" s="195">
        <f>'Приложение 8'!Q702</f>
        <v>335.7</v>
      </c>
      <c r="R151" s="195">
        <v>0</v>
      </c>
      <c r="S151" s="195">
        <v>0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454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347</v>
      </c>
      <c r="N152" s="92" t="s">
        <v>361</v>
      </c>
      <c r="O152" s="92" t="s">
        <v>474</v>
      </c>
      <c r="P152" s="9">
        <v>240</v>
      </c>
      <c r="Q152" s="195">
        <v>8.5</v>
      </c>
      <c r="R152" s="195">
        <v>0</v>
      </c>
      <c r="S152" s="195">
        <v>0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754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347</v>
      </c>
      <c r="N153" s="92" t="s">
        <v>361</v>
      </c>
      <c r="O153" s="92" t="s">
        <v>475</v>
      </c>
      <c r="P153" s="9"/>
      <c r="Q153" s="195">
        <f>Q154+Q155</f>
        <v>435.4</v>
      </c>
      <c r="R153" s="195">
        <f>R154+R155</f>
        <v>0</v>
      </c>
      <c r="S153" s="195">
        <f>S154+S155</f>
        <v>0</v>
      </c>
    </row>
    <row r="154" spans="1:19" ht="24.75" customHeight="1">
      <c r="A154" s="95"/>
      <c r="B154" s="94"/>
      <c r="C154" s="93"/>
      <c r="D154" s="105"/>
      <c r="E154" s="100"/>
      <c r="F154" s="100"/>
      <c r="G154" s="85"/>
      <c r="H154" s="10" t="s">
        <v>319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347</v>
      </c>
      <c r="N154" s="92" t="s">
        <v>361</v>
      </c>
      <c r="O154" s="92" t="s">
        <v>475</v>
      </c>
      <c r="P154" s="9">
        <v>120</v>
      </c>
      <c r="Q154" s="195">
        <f>'Приложение 8'!Q705</f>
        <v>426.9</v>
      </c>
      <c r="R154" s="195">
        <v>0</v>
      </c>
      <c r="S154" s="195">
        <v>0</v>
      </c>
    </row>
    <row r="155" spans="1:19" ht="24.75" customHeight="1">
      <c r="A155" s="95"/>
      <c r="B155" s="94"/>
      <c r="C155" s="93"/>
      <c r="D155" s="105"/>
      <c r="E155" s="100"/>
      <c r="F155" s="100"/>
      <c r="G155" s="85"/>
      <c r="H155" s="10" t="s">
        <v>454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347</v>
      </c>
      <c r="N155" s="92" t="s">
        <v>361</v>
      </c>
      <c r="O155" s="92" t="s">
        <v>475</v>
      </c>
      <c r="P155" s="9">
        <v>240</v>
      </c>
      <c r="Q155" s="195">
        <f>'Приложение 8'!Q706</f>
        <v>8.5</v>
      </c>
      <c r="R155" s="195">
        <v>0</v>
      </c>
      <c r="S155" s="195">
        <v>0</v>
      </c>
    </row>
    <row r="156" spans="1:19" ht="51.75" customHeight="1">
      <c r="A156" s="95"/>
      <c r="B156" s="94"/>
      <c r="C156" s="93"/>
      <c r="D156" s="105"/>
      <c r="E156" s="100"/>
      <c r="F156" s="100"/>
      <c r="G156" s="85"/>
      <c r="H156" s="10" t="s">
        <v>745</v>
      </c>
      <c r="I156" s="9">
        <v>664</v>
      </c>
      <c r="J156" s="15">
        <v>1</v>
      </c>
      <c r="K156" s="15">
        <v>13</v>
      </c>
      <c r="L156" s="91" t="s">
        <v>744</v>
      </c>
      <c r="M156" s="92" t="s">
        <v>347</v>
      </c>
      <c r="N156" s="92" t="s">
        <v>743</v>
      </c>
      <c r="O156" s="92" t="s">
        <v>392</v>
      </c>
      <c r="P156" s="9"/>
      <c r="Q156" s="195">
        <f aca="true" t="shared" si="11" ref="Q156:S157">Q157</f>
        <v>110.60000000000001</v>
      </c>
      <c r="R156" s="195">
        <f t="shared" si="11"/>
        <v>73.7</v>
      </c>
      <c r="S156" s="195">
        <f t="shared" si="11"/>
        <v>73.7</v>
      </c>
    </row>
    <row r="157" spans="1:19" ht="50.25" customHeight="1">
      <c r="A157" s="95"/>
      <c r="B157" s="94"/>
      <c r="C157" s="93"/>
      <c r="D157" s="105"/>
      <c r="E157" s="100"/>
      <c r="F157" s="100"/>
      <c r="G157" s="85"/>
      <c r="H157" s="10" t="s">
        <v>61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347</v>
      </c>
      <c r="N157" s="92" t="s">
        <v>743</v>
      </c>
      <c r="O157" s="92" t="s">
        <v>518</v>
      </c>
      <c r="P157" s="9"/>
      <c r="Q157" s="195">
        <f t="shared" si="11"/>
        <v>110.60000000000001</v>
      </c>
      <c r="R157" s="195">
        <f t="shared" si="11"/>
        <v>73.7</v>
      </c>
      <c r="S157" s="195">
        <f t="shared" si="11"/>
        <v>73.7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454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347</v>
      </c>
      <c r="N158" s="92" t="s">
        <v>743</v>
      </c>
      <c r="O158" s="92" t="s">
        <v>518</v>
      </c>
      <c r="P158" s="9">
        <v>240</v>
      </c>
      <c r="Q158" s="195">
        <f>'Приложение 8'!Q709</f>
        <v>110.60000000000001</v>
      </c>
      <c r="R158" s="195">
        <v>73.7</v>
      </c>
      <c r="S158" s="195">
        <v>73.7</v>
      </c>
    </row>
    <row r="159" spans="1:19" ht="23.25" customHeight="1">
      <c r="A159" s="93"/>
      <c r="B159" s="94"/>
      <c r="C159" s="93"/>
      <c r="D159" s="105"/>
      <c r="E159" s="100"/>
      <c r="F159" s="100"/>
      <c r="G159" s="85"/>
      <c r="H159" s="10" t="s">
        <v>53</v>
      </c>
      <c r="I159" s="5">
        <v>27</v>
      </c>
      <c r="J159" s="6">
        <v>1</v>
      </c>
      <c r="K159" s="15">
        <v>13</v>
      </c>
      <c r="L159" s="91" t="s">
        <v>559</v>
      </c>
      <c r="M159" s="92" t="s">
        <v>347</v>
      </c>
      <c r="N159" s="92" t="s">
        <v>357</v>
      </c>
      <c r="O159" s="92" t="s">
        <v>392</v>
      </c>
      <c r="P159" s="5"/>
      <c r="Q159" s="197">
        <f>Q160+Q170+Q181+Q189</f>
        <v>35270.200000000004</v>
      </c>
      <c r="R159" s="197">
        <f>R160+R170+R181</f>
        <v>37582.100000000006</v>
      </c>
      <c r="S159" s="197">
        <f>S160+S170+S181</f>
        <v>33843.299999999996</v>
      </c>
    </row>
    <row r="160" spans="1:19" s="171" customFormat="1" ht="37.5" customHeight="1">
      <c r="A160" s="135"/>
      <c r="B160" s="136"/>
      <c r="C160" s="135"/>
      <c r="D160" s="137"/>
      <c r="E160" s="138"/>
      <c r="F160" s="138"/>
      <c r="G160" s="129"/>
      <c r="H160" s="10" t="s">
        <v>54</v>
      </c>
      <c r="I160" s="5">
        <v>27</v>
      </c>
      <c r="J160" s="6">
        <v>1</v>
      </c>
      <c r="K160" s="15">
        <v>13</v>
      </c>
      <c r="L160" s="91" t="s">
        <v>559</v>
      </c>
      <c r="M160" s="92" t="s">
        <v>347</v>
      </c>
      <c r="N160" s="92" t="s">
        <v>348</v>
      </c>
      <c r="O160" s="92" t="s">
        <v>392</v>
      </c>
      <c r="P160" s="5"/>
      <c r="Q160" s="197">
        <f>Q161+Q164+Q166+Q168</f>
        <v>1537.6999999999998</v>
      </c>
      <c r="R160" s="197">
        <f>R161+R164+R166+R168</f>
        <v>1072.6</v>
      </c>
      <c r="S160" s="197">
        <f>S161+S164+S166+S168</f>
        <v>1069</v>
      </c>
    </row>
    <row r="161" spans="1:19" ht="25.5" customHeight="1">
      <c r="A161" s="95"/>
      <c r="B161" s="94"/>
      <c r="C161" s="99"/>
      <c r="D161" s="97"/>
      <c r="E161" s="362">
        <v>5203500</v>
      </c>
      <c r="F161" s="362"/>
      <c r="G161" s="85">
        <v>521</v>
      </c>
      <c r="H161" s="10" t="s">
        <v>100</v>
      </c>
      <c r="I161" s="9">
        <v>27</v>
      </c>
      <c r="J161" s="6">
        <v>1</v>
      </c>
      <c r="K161" s="15">
        <v>13</v>
      </c>
      <c r="L161" s="91" t="s">
        <v>559</v>
      </c>
      <c r="M161" s="92" t="s">
        <v>347</v>
      </c>
      <c r="N161" s="92" t="s">
        <v>348</v>
      </c>
      <c r="O161" s="92" t="s">
        <v>398</v>
      </c>
      <c r="P161" s="9" t="s">
        <v>320</v>
      </c>
      <c r="Q161" s="195">
        <f>SUM(Q162:Q163)</f>
        <v>1031.8</v>
      </c>
      <c r="R161" s="195">
        <f>SUM(R162:R163)</f>
        <v>1072.6</v>
      </c>
      <c r="S161" s="195">
        <f>SUM(S162:S163)</f>
        <v>1069</v>
      </c>
    </row>
    <row r="162" spans="1:19" ht="26.25" customHeight="1">
      <c r="A162" s="106"/>
      <c r="B162" s="107"/>
      <c r="C162" s="102"/>
      <c r="D162" s="103"/>
      <c r="E162" s="100"/>
      <c r="F162" s="100"/>
      <c r="G162" s="85"/>
      <c r="H162" s="10" t="s">
        <v>454</v>
      </c>
      <c r="I162" s="5">
        <v>27</v>
      </c>
      <c r="J162" s="6">
        <v>1</v>
      </c>
      <c r="K162" s="15">
        <v>13</v>
      </c>
      <c r="L162" s="91" t="s">
        <v>559</v>
      </c>
      <c r="M162" s="92" t="s">
        <v>347</v>
      </c>
      <c r="N162" s="92" t="s">
        <v>348</v>
      </c>
      <c r="O162" s="92" t="s">
        <v>398</v>
      </c>
      <c r="P162" s="5">
        <v>240</v>
      </c>
      <c r="Q162" s="197">
        <f>'Приложение 8'!Q62</f>
        <v>849.3</v>
      </c>
      <c r="R162" s="197">
        <f>'Приложение 8'!R62</f>
        <v>990.0999999999999</v>
      </c>
      <c r="S162" s="197">
        <f>'Приложение 8'!S62</f>
        <v>986.5</v>
      </c>
    </row>
    <row r="163" spans="1:19" ht="20.25" customHeight="1">
      <c r="A163" s="106"/>
      <c r="B163" s="108"/>
      <c r="C163" s="102"/>
      <c r="D163" s="105"/>
      <c r="E163" s="100"/>
      <c r="F163" s="100"/>
      <c r="G163" s="85"/>
      <c r="H163" s="10" t="s">
        <v>455</v>
      </c>
      <c r="I163" s="5">
        <v>27</v>
      </c>
      <c r="J163" s="6">
        <v>1</v>
      </c>
      <c r="K163" s="15">
        <v>13</v>
      </c>
      <c r="L163" s="91" t="s">
        <v>559</v>
      </c>
      <c r="M163" s="92" t="s">
        <v>347</v>
      </c>
      <c r="N163" s="92" t="s">
        <v>348</v>
      </c>
      <c r="O163" s="92" t="s">
        <v>398</v>
      </c>
      <c r="P163" s="5">
        <v>850</v>
      </c>
      <c r="Q163" s="197">
        <f>'Приложение 8'!Q63</f>
        <v>182.5</v>
      </c>
      <c r="R163" s="197">
        <v>82.5</v>
      </c>
      <c r="S163" s="197">
        <v>82.5</v>
      </c>
    </row>
    <row r="164" spans="1:19" ht="21" customHeight="1">
      <c r="A164" s="106"/>
      <c r="B164" s="107"/>
      <c r="C164" s="102"/>
      <c r="D164" s="103"/>
      <c r="E164" s="100"/>
      <c r="F164" s="100"/>
      <c r="G164" s="85"/>
      <c r="H164" s="10" t="s">
        <v>58</v>
      </c>
      <c r="I164" s="9">
        <v>27</v>
      </c>
      <c r="J164" s="6">
        <v>1</v>
      </c>
      <c r="K164" s="15">
        <v>13</v>
      </c>
      <c r="L164" s="91" t="s">
        <v>559</v>
      </c>
      <c r="M164" s="92" t="s">
        <v>347</v>
      </c>
      <c r="N164" s="92" t="s">
        <v>348</v>
      </c>
      <c r="O164" s="92" t="s">
        <v>697</v>
      </c>
      <c r="P164" s="9"/>
      <c r="Q164" s="195">
        <f>Q165</f>
        <v>389.9</v>
      </c>
      <c r="R164" s="197">
        <f>R165</f>
        <v>0</v>
      </c>
      <c r="S164" s="197">
        <f>S165</f>
        <v>0</v>
      </c>
    </row>
    <row r="165" spans="1:19" ht="21" customHeight="1">
      <c r="A165" s="106"/>
      <c r="B165" s="107"/>
      <c r="C165" s="102"/>
      <c r="D165" s="103"/>
      <c r="E165" s="100"/>
      <c r="F165" s="100"/>
      <c r="G165" s="85"/>
      <c r="H165" s="10" t="s">
        <v>454</v>
      </c>
      <c r="I165" s="9">
        <v>27</v>
      </c>
      <c r="J165" s="6">
        <v>1</v>
      </c>
      <c r="K165" s="15">
        <v>13</v>
      </c>
      <c r="L165" s="91" t="s">
        <v>559</v>
      </c>
      <c r="M165" s="92" t="s">
        <v>347</v>
      </c>
      <c r="N165" s="92" t="s">
        <v>348</v>
      </c>
      <c r="O165" s="92" t="s">
        <v>697</v>
      </c>
      <c r="P165" s="9">
        <v>240</v>
      </c>
      <c r="Q165" s="195">
        <f>'Приложение 8'!Q65</f>
        <v>389.9</v>
      </c>
      <c r="R165" s="197">
        <v>0</v>
      </c>
      <c r="S165" s="197">
        <v>0</v>
      </c>
    </row>
    <row r="166" spans="1:19" ht="38.25" customHeight="1">
      <c r="A166" s="93"/>
      <c r="B166" s="94"/>
      <c r="C166" s="102"/>
      <c r="D166" s="107"/>
      <c r="E166" s="110"/>
      <c r="F166" s="110"/>
      <c r="G166" s="85"/>
      <c r="H166" s="2" t="s">
        <v>312</v>
      </c>
      <c r="I166" s="9">
        <v>27</v>
      </c>
      <c r="J166" s="6">
        <v>1</v>
      </c>
      <c r="K166" s="15">
        <v>13</v>
      </c>
      <c r="L166" s="91" t="s">
        <v>559</v>
      </c>
      <c r="M166" s="92" t="s">
        <v>347</v>
      </c>
      <c r="N166" s="92" t="s">
        <v>348</v>
      </c>
      <c r="O166" s="92" t="s">
        <v>313</v>
      </c>
      <c r="P166" s="9" t="s">
        <v>393</v>
      </c>
      <c r="Q166" s="195">
        <f>Q167</f>
        <v>4.7</v>
      </c>
      <c r="R166" s="195">
        <f>R167</f>
        <v>0</v>
      </c>
      <c r="S166" s="195">
        <f>S167</f>
        <v>0</v>
      </c>
    </row>
    <row r="167" spans="1:19" ht="28.5" customHeight="1">
      <c r="A167" s="93"/>
      <c r="B167" s="94"/>
      <c r="C167" s="102"/>
      <c r="D167" s="107"/>
      <c r="E167" s="110"/>
      <c r="F167" s="110"/>
      <c r="G167" s="85"/>
      <c r="H167" s="2" t="s">
        <v>454</v>
      </c>
      <c r="I167" s="9">
        <v>27</v>
      </c>
      <c r="J167" s="15">
        <v>1</v>
      </c>
      <c r="K167" s="15">
        <v>13</v>
      </c>
      <c r="L167" s="91" t="s">
        <v>559</v>
      </c>
      <c r="M167" s="92" t="s">
        <v>347</v>
      </c>
      <c r="N167" s="92" t="s">
        <v>348</v>
      </c>
      <c r="O167" s="92" t="s">
        <v>313</v>
      </c>
      <c r="P167" s="9">
        <v>240</v>
      </c>
      <c r="Q167" s="195">
        <f>'Приложение 8'!Q67</f>
        <v>4.7</v>
      </c>
      <c r="R167" s="195">
        <v>0</v>
      </c>
      <c r="S167" s="195">
        <v>0</v>
      </c>
    </row>
    <row r="168" spans="1:19" ht="33.75" customHeight="1">
      <c r="A168" s="110"/>
      <c r="B168" s="107"/>
      <c r="C168" s="102"/>
      <c r="D168" s="107"/>
      <c r="E168" s="110"/>
      <c r="F168" s="110"/>
      <c r="G168" s="85"/>
      <c r="H168" s="274" t="s">
        <v>604</v>
      </c>
      <c r="I168" s="9">
        <v>27</v>
      </c>
      <c r="J168" s="15">
        <v>1</v>
      </c>
      <c r="K168" s="15">
        <v>13</v>
      </c>
      <c r="L168" s="91" t="s">
        <v>559</v>
      </c>
      <c r="M168" s="92" t="s">
        <v>347</v>
      </c>
      <c r="N168" s="92" t="s">
        <v>348</v>
      </c>
      <c r="O168" s="92" t="s">
        <v>605</v>
      </c>
      <c r="P168" s="5"/>
      <c r="Q168" s="197">
        <f>Q169</f>
        <v>111.3</v>
      </c>
      <c r="R168" s="211">
        <f>R169</f>
        <v>0</v>
      </c>
      <c r="S168" s="211">
        <f>S169</f>
        <v>0</v>
      </c>
    </row>
    <row r="169" spans="1:19" ht="33.75" customHeight="1">
      <c r="A169" s="110"/>
      <c r="B169" s="107"/>
      <c r="C169" s="102"/>
      <c r="D169" s="107"/>
      <c r="E169" s="110"/>
      <c r="F169" s="110"/>
      <c r="G169" s="85"/>
      <c r="H169" s="2" t="s">
        <v>454</v>
      </c>
      <c r="I169" s="9">
        <v>27</v>
      </c>
      <c r="J169" s="15">
        <v>1</v>
      </c>
      <c r="K169" s="15">
        <v>13</v>
      </c>
      <c r="L169" s="91" t="s">
        <v>559</v>
      </c>
      <c r="M169" s="92" t="s">
        <v>347</v>
      </c>
      <c r="N169" s="92" t="s">
        <v>348</v>
      </c>
      <c r="O169" s="92" t="s">
        <v>605</v>
      </c>
      <c r="P169" s="5">
        <v>240</v>
      </c>
      <c r="Q169" s="197">
        <v>111.3</v>
      </c>
      <c r="R169" s="211">
        <v>0</v>
      </c>
      <c r="S169" s="211">
        <v>0</v>
      </c>
    </row>
    <row r="170" spans="1:19" ht="21" customHeight="1">
      <c r="A170" s="106"/>
      <c r="B170" s="107"/>
      <c r="C170" s="102"/>
      <c r="D170" s="103"/>
      <c r="E170" s="100"/>
      <c r="F170" s="100"/>
      <c r="G170" s="85"/>
      <c r="H170" s="10" t="s">
        <v>55</v>
      </c>
      <c r="I170" s="9">
        <v>27</v>
      </c>
      <c r="J170" s="15">
        <v>1</v>
      </c>
      <c r="K170" s="15">
        <v>13</v>
      </c>
      <c r="L170" s="91" t="s">
        <v>559</v>
      </c>
      <c r="M170" s="92" t="s">
        <v>347</v>
      </c>
      <c r="N170" s="92" t="s">
        <v>365</v>
      </c>
      <c r="O170" s="92" t="s">
        <v>392</v>
      </c>
      <c r="P170" s="5"/>
      <c r="Q170" s="197">
        <f>Q173+Q176+Q179+Q171</f>
        <v>2380.7000000000003</v>
      </c>
      <c r="R170" s="197">
        <f>R173+R176+R179+R171</f>
        <v>1553.2</v>
      </c>
      <c r="S170" s="197">
        <f>S173+S176+S179+S171</f>
        <v>1603.2</v>
      </c>
    </row>
    <row r="171" spans="1:19" ht="51" customHeight="1">
      <c r="A171" s="106"/>
      <c r="B171" s="107"/>
      <c r="C171" s="102"/>
      <c r="D171" s="103"/>
      <c r="E171" s="100"/>
      <c r="F171" s="100"/>
      <c r="G171" s="85"/>
      <c r="H171" s="10" t="str">
        <f>'Приложение 8'!H71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71" s="9">
        <f>'Приложение 8'!I71</f>
        <v>27</v>
      </c>
      <c r="J171" s="15">
        <f>'Приложение 8'!J71</f>
        <v>1</v>
      </c>
      <c r="K171" s="15">
        <f>'Приложение 8'!K71</f>
        <v>13</v>
      </c>
      <c r="L171" s="91" t="str">
        <f>'Приложение 8'!L71</f>
        <v>50</v>
      </c>
      <c r="M171" s="92" t="str">
        <f>'Приложение 8'!M71</f>
        <v>0</v>
      </c>
      <c r="N171" s="92" t="str">
        <f>'Приложение 8'!N71</f>
        <v>02</v>
      </c>
      <c r="O171" s="92" t="str">
        <f>'Приложение 8'!O71</f>
        <v>54690</v>
      </c>
      <c r="P171" s="5" t="s">
        <v>393</v>
      </c>
      <c r="Q171" s="197">
        <f>'Приложение 8'!Q71</f>
        <v>298.8</v>
      </c>
      <c r="R171" s="197">
        <f>'Приложение 8'!R71</f>
        <v>0</v>
      </c>
      <c r="S171" s="197">
        <f>'Приложение 8'!S71</f>
        <v>0</v>
      </c>
    </row>
    <row r="172" spans="1:19" ht="21" customHeight="1">
      <c r="A172" s="106"/>
      <c r="B172" s="107"/>
      <c r="C172" s="102"/>
      <c r="D172" s="103"/>
      <c r="E172" s="100"/>
      <c r="F172" s="100"/>
      <c r="G172" s="85"/>
      <c r="H172" s="10" t="str">
        <f>'Приложение 8'!H72</f>
        <v>Иные закупки товаров, работ и услуг для обеспечения государственных (муниципальных) нужд</v>
      </c>
      <c r="I172" s="9">
        <f>'Приложение 8'!I72</f>
        <v>27</v>
      </c>
      <c r="J172" s="15">
        <v>1</v>
      </c>
      <c r="K172" s="15">
        <v>13</v>
      </c>
      <c r="L172" s="91" t="s">
        <v>559</v>
      </c>
      <c r="M172" s="92" t="s">
        <v>347</v>
      </c>
      <c r="N172" s="92" t="s">
        <v>365</v>
      </c>
      <c r="O172" s="92" t="s">
        <v>806</v>
      </c>
      <c r="P172" s="5">
        <f>'Приложение 8'!P72</f>
        <v>240</v>
      </c>
      <c r="Q172" s="197">
        <f>'Приложение 8'!Q72</f>
        <v>298.8</v>
      </c>
      <c r="R172" s="197">
        <f>'Приложение 8'!R72</f>
        <v>0</v>
      </c>
      <c r="S172" s="197">
        <f>'Приложение 8'!S72</f>
        <v>0</v>
      </c>
    </row>
    <row r="173" spans="1:19" ht="51" customHeight="1">
      <c r="A173" s="106"/>
      <c r="B173" s="108"/>
      <c r="C173" s="102"/>
      <c r="D173" s="105"/>
      <c r="E173" s="100"/>
      <c r="F173" s="100"/>
      <c r="G173" s="85"/>
      <c r="H173" s="32" t="s">
        <v>410</v>
      </c>
      <c r="I173" s="9">
        <v>27</v>
      </c>
      <c r="J173" s="15">
        <v>1</v>
      </c>
      <c r="K173" s="15">
        <v>13</v>
      </c>
      <c r="L173" s="91" t="s">
        <v>559</v>
      </c>
      <c r="M173" s="92" t="s">
        <v>347</v>
      </c>
      <c r="N173" s="92" t="s">
        <v>365</v>
      </c>
      <c r="O173" s="92" t="s">
        <v>405</v>
      </c>
      <c r="P173" s="5"/>
      <c r="Q173" s="197">
        <f>SUM(Q174:Q175)</f>
        <v>405.2</v>
      </c>
      <c r="R173" s="197">
        <f>SUM(R174:R175)</f>
        <v>405.2</v>
      </c>
      <c r="S173" s="197">
        <f>SUM(S174:S175)</f>
        <v>405.2</v>
      </c>
    </row>
    <row r="174" spans="1:19" ht="30" customHeight="1">
      <c r="A174" s="106"/>
      <c r="B174" s="108"/>
      <c r="C174" s="102"/>
      <c r="D174" s="105"/>
      <c r="E174" s="100"/>
      <c r="F174" s="100"/>
      <c r="G174" s="85"/>
      <c r="H174" s="32" t="s">
        <v>319</v>
      </c>
      <c r="I174" s="9">
        <v>27</v>
      </c>
      <c r="J174" s="15">
        <v>1</v>
      </c>
      <c r="K174" s="15">
        <v>13</v>
      </c>
      <c r="L174" s="91" t="s">
        <v>559</v>
      </c>
      <c r="M174" s="92" t="s">
        <v>347</v>
      </c>
      <c r="N174" s="92" t="s">
        <v>365</v>
      </c>
      <c r="O174" s="92" t="s">
        <v>405</v>
      </c>
      <c r="P174" s="9">
        <v>120</v>
      </c>
      <c r="Q174" s="195">
        <v>268.9</v>
      </c>
      <c r="R174" s="195">
        <v>268.9</v>
      </c>
      <c r="S174" s="195">
        <v>268.9</v>
      </c>
    </row>
    <row r="175" spans="1:19" ht="27" customHeight="1">
      <c r="A175" s="106"/>
      <c r="B175" s="108"/>
      <c r="C175" s="102"/>
      <c r="D175" s="105"/>
      <c r="E175" s="100"/>
      <c r="F175" s="100"/>
      <c r="G175" s="85"/>
      <c r="H175" s="32" t="s">
        <v>454</v>
      </c>
      <c r="I175" s="9">
        <v>27</v>
      </c>
      <c r="J175" s="15">
        <v>1</v>
      </c>
      <c r="K175" s="15">
        <v>13</v>
      </c>
      <c r="L175" s="91" t="s">
        <v>559</v>
      </c>
      <c r="M175" s="92" t="s">
        <v>347</v>
      </c>
      <c r="N175" s="92" t="s">
        <v>365</v>
      </c>
      <c r="O175" s="92" t="s">
        <v>405</v>
      </c>
      <c r="P175" s="9">
        <v>240</v>
      </c>
      <c r="Q175" s="195">
        <v>136.3</v>
      </c>
      <c r="R175" s="195">
        <v>136.3</v>
      </c>
      <c r="S175" s="195">
        <v>136.3</v>
      </c>
    </row>
    <row r="176" spans="1:19" ht="21" customHeight="1">
      <c r="A176" s="93"/>
      <c r="B176" s="94"/>
      <c r="C176" s="102"/>
      <c r="D176" s="107"/>
      <c r="E176" s="110"/>
      <c r="F176" s="110"/>
      <c r="G176" s="85"/>
      <c r="H176" s="2" t="s">
        <v>538</v>
      </c>
      <c r="I176" s="9">
        <v>27</v>
      </c>
      <c r="J176" s="15">
        <v>1</v>
      </c>
      <c r="K176" s="15">
        <v>13</v>
      </c>
      <c r="L176" s="91" t="s">
        <v>559</v>
      </c>
      <c r="M176" s="92" t="s">
        <v>347</v>
      </c>
      <c r="N176" s="92" t="s">
        <v>365</v>
      </c>
      <c r="O176" s="92" t="s">
        <v>537</v>
      </c>
      <c r="P176" s="9"/>
      <c r="Q176" s="195">
        <f>SUM(Q177:Q178)</f>
        <v>852.7</v>
      </c>
      <c r="R176" s="195">
        <f>SUM(R177:R178)</f>
        <v>848</v>
      </c>
      <c r="S176" s="195">
        <f>SUM(S177:S178)</f>
        <v>848</v>
      </c>
    </row>
    <row r="177" spans="1:19" ht="26.25" customHeight="1">
      <c r="A177" s="93"/>
      <c r="B177" s="94"/>
      <c r="C177" s="102"/>
      <c r="D177" s="107"/>
      <c r="E177" s="110"/>
      <c r="F177" s="110"/>
      <c r="G177" s="85"/>
      <c r="H177" s="32" t="s">
        <v>319</v>
      </c>
      <c r="I177" s="9">
        <v>27</v>
      </c>
      <c r="J177" s="15">
        <v>1</v>
      </c>
      <c r="K177" s="15">
        <v>13</v>
      </c>
      <c r="L177" s="91" t="s">
        <v>559</v>
      </c>
      <c r="M177" s="92" t="s">
        <v>347</v>
      </c>
      <c r="N177" s="92" t="s">
        <v>365</v>
      </c>
      <c r="O177" s="92" t="s">
        <v>537</v>
      </c>
      <c r="P177" s="9">
        <v>120</v>
      </c>
      <c r="Q177" s="195">
        <f>'Приложение 8'!Q77</f>
        <v>498.9</v>
      </c>
      <c r="R177" s="196">
        <v>479.2</v>
      </c>
      <c r="S177" s="196">
        <v>479.2</v>
      </c>
    </row>
    <row r="178" spans="1:19" ht="30" customHeight="1">
      <c r="A178" s="93"/>
      <c r="B178" s="94"/>
      <c r="C178" s="102"/>
      <c r="D178" s="107"/>
      <c r="E178" s="110"/>
      <c r="F178" s="110"/>
      <c r="G178" s="85"/>
      <c r="H178" s="4" t="s">
        <v>454</v>
      </c>
      <c r="I178" s="9">
        <v>27</v>
      </c>
      <c r="J178" s="15">
        <v>1</v>
      </c>
      <c r="K178" s="15">
        <v>13</v>
      </c>
      <c r="L178" s="91" t="s">
        <v>559</v>
      </c>
      <c r="M178" s="92" t="s">
        <v>347</v>
      </c>
      <c r="N178" s="92" t="s">
        <v>365</v>
      </c>
      <c r="O178" s="92" t="s">
        <v>537</v>
      </c>
      <c r="P178" s="9">
        <v>240</v>
      </c>
      <c r="Q178" s="195">
        <f>'Приложение 8'!Q78</f>
        <v>353.8</v>
      </c>
      <c r="R178" s="196">
        <v>368.8</v>
      </c>
      <c r="S178" s="196">
        <v>368.8</v>
      </c>
    </row>
    <row r="179" spans="1:19" ht="27.75" customHeight="1">
      <c r="A179" s="93"/>
      <c r="B179" s="94"/>
      <c r="C179" s="102"/>
      <c r="D179" s="107"/>
      <c r="E179" s="110"/>
      <c r="F179" s="110"/>
      <c r="G179" s="85"/>
      <c r="H179" s="2" t="s">
        <v>42</v>
      </c>
      <c r="I179" s="9">
        <v>27</v>
      </c>
      <c r="J179" s="6">
        <v>1</v>
      </c>
      <c r="K179" s="15">
        <v>13</v>
      </c>
      <c r="L179" s="91" t="s">
        <v>559</v>
      </c>
      <c r="M179" s="92" t="s">
        <v>347</v>
      </c>
      <c r="N179" s="92" t="s">
        <v>365</v>
      </c>
      <c r="O179" s="92" t="s">
        <v>819</v>
      </c>
      <c r="P179" s="9"/>
      <c r="Q179" s="195">
        <f>Q180</f>
        <v>824</v>
      </c>
      <c r="R179" s="195">
        <f>R180</f>
        <v>300</v>
      </c>
      <c r="S179" s="195">
        <f>S180</f>
        <v>350</v>
      </c>
    </row>
    <row r="180" spans="1:19" ht="33.75" customHeight="1">
      <c r="A180" s="93"/>
      <c r="B180" s="94"/>
      <c r="C180" s="102"/>
      <c r="D180" s="107"/>
      <c r="E180" s="110"/>
      <c r="F180" s="110"/>
      <c r="G180" s="85"/>
      <c r="H180" s="2" t="s">
        <v>454</v>
      </c>
      <c r="I180" s="9">
        <v>27</v>
      </c>
      <c r="J180" s="6">
        <v>1</v>
      </c>
      <c r="K180" s="15">
        <v>13</v>
      </c>
      <c r="L180" s="91" t="s">
        <v>559</v>
      </c>
      <c r="M180" s="92" t="s">
        <v>347</v>
      </c>
      <c r="N180" s="92" t="s">
        <v>365</v>
      </c>
      <c r="O180" s="92" t="s">
        <v>819</v>
      </c>
      <c r="P180" s="9">
        <v>240</v>
      </c>
      <c r="Q180" s="195">
        <f>'Приложение 8'!Q80</f>
        <v>824</v>
      </c>
      <c r="R180" s="195">
        <f>'Приложение 8'!R80</f>
        <v>300</v>
      </c>
      <c r="S180" s="195">
        <f>'Приложение 8'!S80</f>
        <v>350</v>
      </c>
    </row>
    <row r="181" spans="1:19" ht="33.75" customHeight="1">
      <c r="A181" s="93"/>
      <c r="B181" s="94"/>
      <c r="C181" s="110"/>
      <c r="D181" s="107"/>
      <c r="E181" s="110"/>
      <c r="F181" s="110"/>
      <c r="G181" s="85"/>
      <c r="H181" s="274" t="s">
        <v>57</v>
      </c>
      <c r="I181" s="9">
        <v>27</v>
      </c>
      <c r="J181" s="6">
        <v>1</v>
      </c>
      <c r="K181" s="15">
        <v>13</v>
      </c>
      <c r="L181" s="91" t="s">
        <v>559</v>
      </c>
      <c r="M181" s="92" t="s">
        <v>347</v>
      </c>
      <c r="N181" s="92" t="s">
        <v>366</v>
      </c>
      <c r="O181" s="92" t="s">
        <v>392</v>
      </c>
      <c r="P181" s="9"/>
      <c r="Q181" s="195">
        <f>Q182+Q185+Q187</f>
        <v>31321.800000000003</v>
      </c>
      <c r="R181" s="195">
        <f>R182+R185+R187</f>
        <v>34956.3</v>
      </c>
      <c r="S181" s="195">
        <f>S182+S185+S187</f>
        <v>31171.1</v>
      </c>
    </row>
    <row r="182" spans="1:19" ht="26.25" customHeight="1">
      <c r="A182" s="95"/>
      <c r="B182" s="94"/>
      <c r="C182" s="93"/>
      <c r="D182" s="371">
        <v>5220000</v>
      </c>
      <c r="E182" s="372"/>
      <c r="F182" s="372"/>
      <c r="G182" s="85">
        <v>622</v>
      </c>
      <c r="H182" s="10" t="s">
        <v>102</v>
      </c>
      <c r="I182" s="9">
        <v>27</v>
      </c>
      <c r="J182" s="6">
        <v>1</v>
      </c>
      <c r="K182" s="15">
        <v>13</v>
      </c>
      <c r="L182" s="91" t="s">
        <v>559</v>
      </c>
      <c r="M182" s="92" t="s">
        <v>347</v>
      </c>
      <c r="N182" s="92" t="s">
        <v>366</v>
      </c>
      <c r="O182" s="92" t="s">
        <v>103</v>
      </c>
      <c r="P182" s="9"/>
      <c r="Q182" s="195">
        <f>SUM(Q183:Q184)</f>
        <v>16547</v>
      </c>
      <c r="R182" s="195">
        <f>SUM(R183:R184)</f>
        <v>21185.1</v>
      </c>
      <c r="S182" s="195">
        <f>SUM(S183:S184)</f>
        <v>17399.899999999998</v>
      </c>
    </row>
    <row r="183" spans="1:19" ht="26.25" customHeight="1">
      <c r="A183" s="95"/>
      <c r="B183" s="94"/>
      <c r="C183" s="93"/>
      <c r="D183" s="97"/>
      <c r="E183" s="96"/>
      <c r="F183" s="96"/>
      <c r="G183" s="85"/>
      <c r="H183" s="10" t="s">
        <v>456</v>
      </c>
      <c r="I183" s="5">
        <v>27</v>
      </c>
      <c r="J183" s="6">
        <v>1</v>
      </c>
      <c r="K183" s="15">
        <v>13</v>
      </c>
      <c r="L183" s="91" t="s">
        <v>559</v>
      </c>
      <c r="M183" s="92" t="s">
        <v>347</v>
      </c>
      <c r="N183" s="92" t="s">
        <v>366</v>
      </c>
      <c r="O183" s="92" t="s">
        <v>103</v>
      </c>
      <c r="P183" s="9">
        <v>610</v>
      </c>
      <c r="Q183" s="195">
        <v>360.6</v>
      </c>
      <c r="R183" s="195">
        <v>360.6</v>
      </c>
      <c r="S183" s="195">
        <v>360.6</v>
      </c>
    </row>
    <row r="184" spans="1:19" ht="21" customHeight="1">
      <c r="A184" s="95"/>
      <c r="B184" s="94"/>
      <c r="C184" s="99"/>
      <c r="D184" s="103"/>
      <c r="E184" s="170"/>
      <c r="F184" s="170"/>
      <c r="G184" s="85"/>
      <c r="H184" s="10" t="s">
        <v>492</v>
      </c>
      <c r="I184" s="9">
        <v>27</v>
      </c>
      <c r="J184" s="6">
        <v>1</v>
      </c>
      <c r="K184" s="15">
        <v>13</v>
      </c>
      <c r="L184" s="91" t="s">
        <v>559</v>
      </c>
      <c r="M184" s="92" t="s">
        <v>347</v>
      </c>
      <c r="N184" s="92" t="s">
        <v>366</v>
      </c>
      <c r="O184" s="92" t="s">
        <v>103</v>
      </c>
      <c r="P184" s="9">
        <v>620</v>
      </c>
      <c r="Q184" s="195">
        <f>'Приложение 8'!Q84</f>
        <v>16186.4</v>
      </c>
      <c r="R184" s="195">
        <f>'Приложение 8'!R84</f>
        <v>20824.5</v>
      </c>
      <c r="S184" s="195">
        <f>'Приложение 8'!S84</f>
        <v>17039.3</v>
      </c>
    </row>
    <row r="185" spans="1:19" ht="34.5" customHeight="1">
      <c r="A185" s="106"/>
      <c r="B185" s="107"/>
      <c r="C185" s="102"/>
      <c r="D185" s="103"/>
      <c r="E185" s="100"/>
      <c r="F185" s="100"/>
      <c r="G185" s="85"/>
      <c r="H185" s="10" t="s">
        <v>595</v>
      </c>
      <c r="I185" s="9">
        <v>27</v>
      </c>
      <c r="J185" s="6">
        <v>1</v>
      </c>
      <c r="K185" s="15">
        <v>13</v>
      </c>
      <c r="L185" s="91" t="s">
        <v>559</v>
      </c>
      <c r="M185" s="92" t="s">
        <v>347</v>
      </c>
      <c r="N185" s="92" t="s">
        <v>366</v>
      </c>
      <c r="O185" s="92" t="s">
        <v>594</v>
      </c>
      <c r="P185" s="5"/>
      <c r="Q185" s="197">
        <f>Q186</f>
        <v>10065.2</v>
      </c>
      <c r="R185" s="197">
        <f>R186</f>
        <v>9228.7</v>
      </c>
      <c r="S185" s="197">
        <f>S186</f>
        <v>9228.7</v>
      </c>
    </row>
    <row r="186" spans="1:19" ht="21" customHeight="1">
      <c r="A186" s="106"/>
      <c r="B186" s="107"/>
      <c r="C186" s="102"/>
      <c r="D186" s="103"/>
      <c r="E186" s="100"/>
      <c r="F186" s="100"/>
      <c r="G186" s="85"/>
      <c r="H186" s="10" t="s">
        <v>492</v>
      </c>
      <c r="I186" s="9">
        <v>27</v>
      </c>
      <c r="J186" s="6">
        <v>1</v>
      </c>
      <c r="K186" s="15">
        <v>13</v>
      </c>
      <c r="L186" s="91" t="s">
        <v>559</v>
      </c>
      <c r="M186" s="92" t="s">
        <v>347</v>
      </c>
      <c r="N186" s="92" t="s">
        <v>366</v>
      </c>
      <c r="O186" s="92" t="s">
        <v>594</v>
      </c>
      <c r="P186" s="5">
        <v>620</v>
      </c>
      <c r="Q186" s="197">
        <f>'Приложение 8'!Q86</f>
        <v>10065.2</v>
      </c>
      <c r="R186" s="197">
        <v>9228.7</v>
      </c>
      <c r="S186" s="197">
        <v>9228.7</v>
      </c>
    </row>
    <row r="187" spans="1:19" ht="66" customHeight="1">
      <c r="A187" s="106"/>
      <c r="B187" s="108"/>
      <c r="C187" s="102"/>
      <c r="D187" s="105"/>
      <c r="E187" s="100"/>
      <c r="F187" s="100"/>
      <c r="G187" s="85"/>
      <c r="H187" s="10" t="s">
        <v>104</v>
      </c>
      <c r="I187" s="9">
        <v>27</v>
      </c>
      <c r="J187" s="6">
        <v>1</v>
      </c>
      <c r="K187" s="15">
        <v>13</v>
      </c>
      <c r="L187" s="91" t="s">
        <v>559</v>
      </c>
      <c r="M187" s="92" t="s">
        <v>347</v>
      </c>
      <c r="N187" s="92" t="s">
        <v>366</v>
      </c>
      <c r="O187" s="92" t="s">
        <v>399</v>
      </c>
      <c r="P187" s="5"/>
      <c r="Q187" s="197">
        <f>Q188</f>
        <v>4709.6</v>
      </c>
      <c r="R187" s="197">
        <f>R188</f>
        <v>4542.5</v>
      </c>
      <c r="S187" s="197">
        <f>S188</f>
        <v>4542.5</v>
      </c>
    </row>
    <row r="188" spans="1:19" ht="27" customHeight="1">
      <c r="A188" s="95"/>
      <c r="B188" s="94"/>
      <c r="C188" s="99"/>
      <c r="D188" s="97"/>
      <c r="E188" s="109"/>
      <c r="F188" s="109"/>
      <c r="G188" s="101">
        <v>120</v>
      </c>
      <c r="H188" s="10" t="s">
        <v>456</v>
      </c>
      <c r="I188" s="9">
        <v>27</v>
      </c>
      <c r="J188" s="6">
        <v>1</v>
      </c>
      <c r="K188" s="6">
        <v>13</v>
      </c>
      <c r="L188" s="91" t="s">
        <v>559</v>
      </c>
      <c r="M188" s="92" t="s">
        <v>347</v>
      </c>
      <c r="N188" s="92" t="s">
        <v>366</v>
      </c>
      <c r="O188" s="92" t="s">
        <v>399</v>
      </c>
      <c r="P188" s="5">
        <v>610</v>
      </c>
      <c r="Q188" s="197">
        <f>'Приложение 8'!Q88</f>
        <v>4709.6</v>
      </c>
      <c r="R188" s="197">
        <v>4542.5</v>
      </c>
      <c r="S188" s="197">
        <v>4542.5</v>
      </c>
    </row>
    <row r="189" spans="1:19" ht="27" customHeight="1">
      <c r="A189" s="95"/>
      <c r="B189" s="94"/>
      <c r="C189" s="110"/>
      <c r="D189" s="103"/>
      <c r="E189" s="100"/>
      <c r="F189" s="100"/>
      <c r="G189" s="85"/>
      <c r="H189" s="10" t="str">
        <f>'Приложение 8'!H89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189" s="9">
        <f>'Приложение 8'!I89</f>
        <v>27</v>
      </c>
      <c r="J189" s="6">
        <f>'Приложение 8'!J89</f>
        <v>1</v>
      </c>
      <c r="K189" s="6">
        <f>'Приложение 8'!K89</f>
        <v>13</v>
      </c>
      <c r="L189" s="91" t="str">
        <f>'Приложение 8'!L89</f>
        <v>50</v>
      </c>
      <c r="M189" s="92" t="str">
        <f>'Приложение 8'!M89</f>
        <v>0</v>
      </c>
      <c r="N189" s="92" t="str">
        <f>'Приложение 8'!N89</f>
        <v>04</v>
      </c>
      <c r="O189" s="92" t="str">
        <f>'Приложение 8'!O89</f>
        <v>00000</v>
      </c>
      <c r="P189" s="9" t="s">
        <v>393</v>
      </c>
      <c r="Q189" s="195">
        <f>'Приложение 8'!Q89</f>
        <v>30</v>
      </c>
      <c r="R189" s="197">
        <f>'Приложение 8'!R89</f>
        <v>0</v>
      </c>
      <c r="S189" s="197">
        <f>'Приложение 8'!S89</f>
        <v>0</v>
      </c>
    </row>
    <row r="190" spans="1:19" ht="27" customHeight="1">
      <c r="A190" s="95"/>
      <c r="B190" s="94"/>
      <c r="C190" s="110"/>
      <c r="D190" s="103"/>
      <c r="E190" s="100"/>
      <c r="F190" s="100"/>
      <c r="G190" s="85"/>
      <c r="H190" s="10" t="str">
        <f>'Приложение 8'!H90</f>
        <v>Муниципальная поддержка ветеранских организаций</v>
      </c>
      <c r="I190" s="9">
        <f>'Приложение 8'!I90</f>
        <v>27</v>
      </c>
      <c r="J190" s="6">
        <f>'Приложение 8'!J90</f>
        <v>1</v>
      </c>
      <c r="K190" s="6">
        <f>'Приложение 8'!K90</f>
        <v>13</v>
      </c>
      <c r="L190" s="91" t="str">
        <f>'Приложение 8'!L90</f>
        <v>50</v>
      </c>
      <c r="M190" s="92" t="str">
        <f>'Приложение 8'!M90</f>
        <v>0</v>
      </c>
      <c r="N190" s="92" t="str">
        <f>'Приложение 8'!N90</f>
        <v>04</v>
      </c>
      <c r="O190" s="92" t="str">
        <f>'Приложение 8'!O90</f>
        <v>62030</v>
      </c>
      <c r="P190" s="9" t="s">
        <v>393</v>
      </c>
      <c r="Q190" s="195">
        <f>'Приложение 8'!Q90</f>
        <v>30</v>
      </c>
      <c r="R190" s="197">
        <f>'Приложение 8'!R90</f>
        <v>0</v>
      </c>
      <c r="S190" s="197">
        <f>'Приложение 8'!S90</f>
        <v>0</v>
      </c>
    </row>
    <row r="191" spans="1:19" ht="27" customHeight="1">
      <c r="A191" s="95"/>
      <c r="B191" s="94"/>
      <c r="C191" s="110"/>
      <c r="D191" s="103"/>
      <c r="E191" s="100"/>
      <c r="F191" s="100"/>
      <c r="G191" s="85"/>
      <c r="H191" s="10" t="str">
        <f>'Приложение 8'!H91</f>
        <v>Субсидии автономным учреждениям</v>
      </c>
      <c r="I191" s="9">
        <f>'Приложение 8'!I91</f>
        <v>27</v>
      </c>
      <c r="J191" s="6">
        <f>'Приложение 8'!J91</f>
        <v>1</v>
      </c>
      <c r="K191" s="6">
        <f>'Приложение 8'!K91</f>
        <v>13</v>
      </c>
      <c r="L191" s="91" t="str">
        <f>'Приложение 8'!L91</f>
        <v>50</v>
      </c>
      <c r="M191" s="92" t="str">
        <f>'Приложение 8'!M91</f>
        <v>0</v>
      </c>
      <c r="N191" s="92" t="str">
        <f>'Приложение 8'!N91</f>
        <v>04</v>
      </c>
      <c r="O191" s="92" t="str">
        <f>'Приложение 8'!O91</f>
        <v>62030</v>
      </c>
      <c r="P191" s="9">
        <f>'Приложение 8'!P91</f>
        <v>620</v>
      </c>
      <c r="Q191" s="195">
        <f>'Приложение 8'!Q91</f>
        <v>30</v>
      </c>
      <c r="R191" s="197">
        <f>'Приложение 8'!R91</f>
        <v>0</v>
      </c>
      <c r="S191" s="197">
        <f>'Приложение 8'!S91</f>
        <v>0</v>
      </c>
    </row>
    <row r="192" spans="1:19" s="171" customFormat="1" ht="18.75" customHeight="1">
      <c r="A192" s="135"/>
      <c r="B192" s="136"/>
      <c r="C192" s="158"/>
      <c r="D192" s="128"/>
      <c r="E192" s="128"/>
      <c r="F192" s="128"/>
      <c r="G192" s="129"/>
      <c r="H192" s="10" t="s">
        <v>62</v>
      </c>
      <c r="I192" s="9">
        <v>660</v>
      </c>
      <c r="J192" s="6">
        <v>1</v>
      </c>
      <c r="K192" s="6">
        <v>13</v>
      </c>
      <c r="L192" s="91" t="s">
        <v>354</v>
      </c>
      <c r="M192" s="92" t="s">
        <v>347</v>
      </c>
      <c r="N192" s="92" t="s">
        <v>357</v>
      </c>
      <c r="O192" s="92" t="s">
        <v>392</v>
      </c>
      <c r="P192" s="131"/>
      <c r="Q192" s="195">
        <f>Q193+Q199+Q201+Q197</f>
        <v>1520.3999999999999</v>
      </c>
      <c r="R192" s="195">
        <f>R193+R199+R201</f>
        <v>1123.5</v>
      </c>
      <c r="S192" s="195">
        <f>S193+S199+S201</f>
        <v>1123.5</v>
      </c>
    </row>
    <row r="193" spans="1:19" ht="18.75" customHeight="1">
      <c r="A193" s="95"/>
      <c r="B193" s="94"/>
      <c r="C193" s="93"/>
      <c r="D193" s="371">
        <v>5050000</v>
      </c>
      <c r="E193" s="372"/>
      <c r="F193" s="372"/>
      <c r="G193" s="85">
        <v>321</v>
      </c>
      <c r="H193" s="10" t="s">
        <v>100</v>
      </c>
      <c r="I193" s="9">
        <v>660</v>
      </c>
      <c r="J193" s="6">
        <v>1</v>
      </c>
      <c r="K193" s="6">
        <v>13</v>
      </c>
      <c r="L193" s="15" t="s">
        <v>354</v>
      </c>
      <c r="M193" s="92" t="s">
        <v>347</v>
      </c>
      <c r="N193" s="92" t="s">
        <v>357</v>
      </c>
      <c r="O193" s="92" t="s">
        <v>398</v>
      </c>
      <c r="P193" s="9" t="s">
        <v>320</v>
      </c>
      <c r="Q193" s="195">
        <f>SUM(Q194:Q196)</f>
        <v>1004.4</v>
      </c>
      <c r="R193" s="195">
        <f>SUM(R194:R195)</f>
        <v>994.7</v>
      </c>
      <c r="S193" s="195">
        <f>SUM(S194:S195)</f>
        <v>994.7</v>
      </c>
    </row>
    <row r="194" spans="1:19" ht="26.25" customHeight="1">
      <c r="A194" s="95"/>
      <c r="B194" s="94"/>
      <c r="C194" s="93"/>
      <c r="D194" s="97"/>
      <c r="E194" s="96"/>
      <c r="F194" s="96"/>
      <c r="G194" s="85"/>
      <c r="H194" s="10" t="s">
        <v>319</v>
      </c>
      <c r="I194" s="5">
        <v>660</v>
      </c>
      <c r="J194" s="6">
        <v>1</v>
      </c>
      <c r="K194" s="6">
        <v>13</v>
      </c>
      <c r="L194" s="15">
        <v>91</v>
      </c>
      <c r="M194" s="92" t="s">
        <v>347</v>
      </c>
      <c r="N194" s="92" t="s">
        <v>357</v>
      </c>
      <c r="O194" s="92" t="s">
        <v>398</v>
      </c>
      <c r="P194" s="9">
        <v>120</v>
      </c>
      <c r="Q194" s="195">
        <f>'Приложение 8'!Q448</f>
        <v>935.9</v>
      </c>
      <c r="R194" s="195">
        <v>926.2</v>
      </c>
      <c r="S194" s="195">
        <v>926.2</v>
      </c>
    </row>
    <row r="195" spans="1:19" ht="27.75" customHeight="1">
      <c r="A195" s="95"/>
      <c r="B195" s="94"/>
      <c r="C195" s="99"/>
      <c r="D195" s="97"/>
      <c r="E195" s="109"/>
      <c r="F195" s="109"/>
      <c r="G195" s="85"/>
      <c r="H195" s="4" t="s">
        <v>454</v>
      </c>
      <c r="I195" s="5">
        <v>660</v>
      </c>
      <c r="J195" s="6">
        <v>1</v>
      </c>
      <c r="K195" s="6">
        <v>13</v>
      </c>
      <c r="L195" s="15">
        <v>91</v>
      </c>
      <c r="M195" s="92" t="s">
        <v>347</v>
      </c>
      <c r="N195" s="92" t="s">
        <v>357</v>
      </c>
      <c r="O195" s="92" t="s">
        <v>398</v>
      </c>
      <c r="P195" s="5">
        <v>240</v>
      </c>
      <c r="Q195" s="195">
        <f>'Приложение 8'!Q449</f>
        <v>68.4</v>
      </c>
      <c r="R195" s="195">
        <v>68.5</v>
      </c>
      <c r="S195" s="195">
        <v>68.5</v>
      </c>
    </row>
    <row r="196" spans="1:19" ht="27.75" customHeight="1">
      <c r="A196" s="95"/>
      <c r="B196" s="94"/>
      <c r="C196" s="99"/>
      <c r="D196" s="103"/>
      <c r="E196" s="100"/>
      <c r="F196" s="100"/>
      <c r="G196" s="85"/>
      <c r="H196" s="10" t="str">
        <f>'Приложение 8'!H450</f>
        <v>Уплата налогов, сборов и иных платежей</v>
      </c>
      <c r="I196" s="9">
        <f>'Приложение 8'!I450</f>
        <v>660</v>
      </c>
      <c r="J196" s="6">
        <f>'Приложение 8'!J450</f>
        <v>1</v>
      </c>
      <c r="K196" s="6">
        <f>'Приложение 8'!K450</f>
        <v>13</v>
      </c>
      <c r="L196" s="15">
        <f>'Приложение 8'!L450</f>
        <v>91</v>
      </c>
      <c r="M196" s="92" t="str">
        <f>'Приложение 8'!M450</f>
        <v>0</v>
      </c>
      <c r="N196" s="92" t="str">
        <f>'Приложение 8'!N450</f>
        <v>00</v>
      </c>
      <c r="O196" s="92" t="str">
        <f>'Приложение 8'!O450</f>
        <v>00190</v>
      </c>
      <c r="P196" s="5">
        <f>'Приложение 8'!P450</f>
        <v>850</v>
      </c>
      <c r="Q196" s="197">
        <f>'Приложение 8'!Q450</f>
        <v>0.1</v>
      </c>
      <c r="R196" s="197">
        <f>'Приложение 8'!R450</f>
        <v>0</v>
      </c>
      <c r="S196" s="197">
        <f>'Приложение 8'!S450</f>
        <v>0</v>
      </c>
    </row>
    <row r="197" spans="1:19" ht="27.75" customHeight="1">
      <c r="A197" s="95"/>
      <c r="B197" s="94"/>
      <c r="C197" s="99"/>
      <c r="D197" s="103"/>
      <c r="E197" s="100"/>
      <c r="F197" s="100"/>
      <c r="G197" s="85"/>
      <c r="H197" s="10" t="str">
        <f>'Приложение 8'!H451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97" s="9">
        <f>'Приложение 8'!I451</f>
        <v>660</v>
      </c>
      <c r="J197" s="6">
        <f>'Приложение 8'!J451</f>
        <v>1</v>
      </c>
      <c r="K197" s="6">
        <f>'Приложение 8'!K451</f>
        <v>13</v>
      </c>
      <c r="L197" s="15">
        <f>'Приложение 8'!L451</f>
        <v>91</v>
      </c>
      <c r="M197" s="92" t="str">
        <f>'Приложение 8'!M451</f>
        <v>0</v>
      </c>
      <c r="N197" s="92" t="str">
        <f>'Приложение 8'!N451</f>
        <v>00</v>
      </c>
      <c r="O197" s="92" t="str">
        <f>'Приложение 8'!O451</f>
        <v>55490</v>
      </c>
      <c r="P197" s="5" t="s">
        <v>393</v>
      </c>
      <c r="Q197" s="197">
        <f>'Приложение 8'!Q451</f>
        <v>19.7</v>
      </c>
      <c r="R197" s="197">
        <f>'Приложение 8'!R451</f>
        <v>0</v>
      </c>
      <c r="S197" s="197">
        <f>'Приложение 8'!S451</f>
        <v>0</v>
      </c>
    </row>
    <row r="198" spans="1:19" ht="27.75" customHeight="1">
      <c r="A198" s="95"/>
      <c r="B198" s="94"/>
      <c r="C198" s="99"/>
      <c r="D198" s="103"/>
      <c r="E198" s="100"/>
      <c r="F198" s="100"/>
      <c r="G198" s="85"/>
      <c r="H198" s="10" t="str">
        <f>'Приложение 8'!H452</f>
        <v>Расходы на выплаты персоналу государственных (муниципальных) органов</v>
      </c>
      <c r="I198" s="9">
        <f>'Приложение 8'!I452</f>
        <v>660</v>
      </c>
      <c r="J198" s="6">
        <f>'Приложение 8'!J452</f>
        <v>1</v>
      </c>
      <c r="K198" s="6">
        <f>'Приложение 8'!K452</f>
        <v>13</v>
      </c>
      <c r="L198" s="15">
        <f>'Приложение 8'!L452</f>
        <v>91</v>
      </c>
      <c r="M198" s="92" t="str">
        <f>'Приложение 8'!M452</f>
        <v>0</v>
      </c>
      <c r="N198" s="92" t="str">
        <f>'Приложение 8'!N452</f>
        <v>00</v>
      </c>
      <c r="O198" s="92" t="str">
        <f>'Приложение 8'!O452</f>
        <v>55490</v>
      </c>
      <c r="P198" s="5">
        <f>'Приложение 8'!P452</f>
        <v>120</v>
      </c>
      <c r="Q198" s="197">
        <f>'Приложение 8'!Q452</f>
        <v>19.7</v>
      </c>
      <c r="R198" s="197">
        <f>'Приложение 8'!R452</f>
        <v>0</v>
      </c>
      <c r="S198" s="197">
        <f>'Приложение 8'!S452</f>
        <v>0</v>
      </c>
    </row>
    <row r="199" spans="1:19" ht="39" customHeight="1">
      <c r="A199" s="95"/>
      <c r="B199" s="94"/>
      <c r="C199" s="99"/>
      <c r="D199" s="103"/>
      <c r="E199" s="100"/>
      <c r="F199" s="100"/>
      <c r="G199" s="85"/>
      <c r="H199" s="10" t="s">
        <v>595</v>
      </c>
      <c r="I199" s="9">
        <v>660</v>
      </c>
      <c r="J199" s="6">
        <v>1</v>
      </c>
      <c r="K199" s="6">
        <v>13</v>
      </c>
      <c r="L199" s="15">
        <v>91</v>
      </c>
      <c r="M199" s="92" t="s">
        <v>347</v>
      </c>
      <c r="N199" s="92" t="s">
        <v>357</v>
      </c>
      <c r="O199" s="92" t="s">
        <v>594</v>
      </c>
      <c r="P199" s="5"/>
      <c r="Q199" s="197">
        <f>Q200</f>
        <v>161.4</v>
      </c>
      <c r="R199" s="197">
        <f>R200</f>
        <v>128.8</v>
      </c>
      <c r="S199" s="197">
        <f>S200</f>
        <v>128.8</v>
      </c>
    </row>
    <row r="200" spans="1:19" ht="27.75" customHeight="1">
      <c r="A200" s="95"/>
      <c r="B200" s="94"/>
      <c r="C200" s="99"/>
      <c r="D200" s="103"/>
      <c r="E200" s="100"/>
      <c r="F200" s="100"/>
      <c r="G200" s="85"/>
      <c r="H200" s="10" t="s">
        <v>319</v>
      </c>
      <c r="I200" s="9">
        <v>660</v>
      </c>
      <c r="J200" s="6">
        <v>1</v>
      </c>
      <c r="K200" s="6">
        <v>13</v>
      </c>
      <c r="L200" s="15">
        <v>91</v>
      </c>
      <c r="M200" s="92" t="s">
        <v>347</v>
      </c>
      <c r="N200" s="92" t="s">
        <v>357</v>
      </c>
      <c r="O200" s="92" t="s">
        <v>594</v>
      </c>
      <c r="P200" s="5">
        <v>120</v>
      </c>
      <c r="Q200" s="197">
        <f>'Приложение 8'!Q454</f>
        <v>161.4</v>
      </c>
      <c r="R200" s="197">
        <v>128.8</v>
      </c>
      <c r="S200" s="197">
        <v>128.8</v>
      </c>
    </row>
    <row r="201" spans="1:19" ht="36.75" customHeight="1">
      <c r="A201" s="95"/>
      <c r="B201" s="94"/>
      <c r="C201" s="99"/>
      <c r="D201" s="103"/>
      <c r="E201" s="100"/>
      <c r="F201" s="100"/>
      <c r="G201" s="101"/>
      <c r="H201" s="10" t="s">
        <v>6</v>
      </c>
      <c r="I201" s="9">
        <v>660</v>
      </c>
      <c r="J201" s="6">
        <v>1</v>
      </c>
      <c r="K201" s="6">
        <v>13</v>
      </c>
      <c r="L201" s="15">
        <v>91</v>
      </c>
      <c r="M201" s="92" t="s">
        <v>347</v>
      </c>
      <c r="N201" s="92" t="s">
        <v>357</v>
      </c>
      <c r="O201" s="92" t="s">
        <v>5</v>
      </c>
      <c r="P201" s="5"/>
      <c r="Q201" s="197">
        <f>Q202+Q203</f>
        <v>334.9</v>
      </c>
      <c r="R201" s="197">
        <f>R202+R203</f>
        <v>0</v>
      </c>
      <c r="S201" s="197">
        <f>S202+S203</f>
        <v>0</v>
      </c>
    </row>
    <row r="202" spans="1:19" ht="30.75" customHeight="1">
      <c r="A202" s="95"/>
      <c r="B202" s="94"/>
      <c r="C202" s="99"/>
      <c r="D202" s="103"/>
      <c r="E202" s="100"/>
      <c r="F202" s="100"/>
      <c r="G202" s="101"/>
      <c r="H202" s="10" t="s">
        <v>319</v>
      </c>
      <c r="I202" s="9">
        <v>660</v>
      </c>
      <c r="J202" s="6">
        <v>1</v>
      </c>
      <c r="K202" s="6">
        <v>13</v>
      </c>
      <c r="L202" s="15">
        <v>91</v>
      </c>
      <c r="M202" s="92" t="s">
        <v>347</v>
      </c>
      <c r="N202" s="92" t="s">
        <v>357</v>
      </c>
      <c r="O202" s="92" t="s">
        <v>5</v>
      </c>
      <c r="P202" s="5">
        <v>120</v>
      </c>
      <c r="Q202" s="197">
        <v>323.4</v>
      </c>
      <c r="R202" s="197">
        <v>0</v>
      </c>
      <c r="S202" s="197">
        <v>0</v>
      </c>
    </row>
    <row r="203" spans="1:19" ht="24.75" customHeight="1">
      <c r="A203" s="95"/>
      <c r="B203" s="94"/>
      <c r="C203" s="99"/>
      <c r="D203" s="103"/>
      <c r="E203" s="100"/>
      <c r="F203" s="100"/>
      <c r="G203" s="101"/>
      <c r="H203" s="10" t="s">
        <v>454</v>
      </c>
      <c r="I203" s="9">
        <v>660</v>
      </c>
      <c r="J203" s="6">
        <v>1</v>
      </c>
      <c r="K203" s="6">
        <v>13</v>
      </c>
      <c r="L203" s="15">
        <v>91</v>
      </c>
      <c r="M203" s="92" t="s">
        <v>347</v>
      </c>
      <c r="N203" s="92" t="s">
        <v>357</v>
      </c>
      <c r="O203" s="92" t="s">
        <v>5</v>
      </c>
      <c r="P203" s="5">
        <v>240</v>
      </c>
      <c r="Q203" s="195">
        <v>11.5</v>
      </c>
      <c r="R203" s="195">
        <v>0</v>
      </c>
      <c r="S203" s="195">
        <v>0</v>
      </c>
    </row>
    <row r="204" spans="1:19" s="171" customFormat="1" ht="27" customHeight="1">
      <c r="A204" s="128"/>
      <c r="B204" s="128"/>
      <c r="C204" s="128"/>
      <c r="D204" s="128"/>
      <c r="E204" s="128"/>
      <c r="F204" s="128"/>
      <c r="G204" s="129"/>
      <c r="H204" s="130" t="s">
        <v>340</v>
      </c>
      <c r="I204" s="131">
        <v>27</v>
      </c>
      <c r="J204" s="141">
        <v>3</v>
      </c>
      <c r="K204" s="141" t="s">
        <v>393</v>
      </c>
      <c r="L204" s="133"/>
      <c r="M204" s="134"/>
      <c r="N204" s="134"/>
      <c r="O204" s="134"/>
      <c r="P204" s="139"/>
      <c r="Q204" s="198">
        <f>Q205+Q214</f>
        <v>2511.4</v>
      </c>
      <c r="R204" s="198">
        <f>R205+R214</f>
        <v>2381.6</v>
      </c>
      <c r="S204" s="198">
        <f>S205+S214</f>
        <v>2381.6</v>
      </c>
    </row>
    <row r="205" spans="1:19" s="171" customFormat="1" ht="23.25" customHeight="1">
      <c r="A205" s="128"/>
      <c r="B205" s="128"/>
      <c r="C205" s="128"/>
      <c r="D205" s="128"/>
      <c r="E205" s="128"/>
      <c r="F205" s="128"/>
      <c r="G205" s="129"/>
      <c r="H205" s="130" t="s">
        <v>810</v>
      </c>
      <c r="I205" s="131">
        <v>27</v>
      </c>
      <c r="J205" s="141">
        <v>3</v>
      </c>
      <c r="K205" s="141">
        <v>9</v>
      </c>
      <c r="L205" s="133" t="s">
        <v>320</v>
      </c>
      <c r="M205" s="134" t="s">
        <v>320</v>
      </c>
      <c r="N205" s="134"/>
      <c r="O205" s="134" t="s">
        <v>320</v>
      </c>
      <c r="P205" s="139" t="s">
        <v>320</v>
      </c>
      <c r="Q205" s="198">
        <f aca="true" t="shared" si="12" ref="Q205:S206">Q206</f>
        <v>2245.5</v>
      </c>
      <c r="R205" s="198">
        <f t="shared" si="12"/>
        <v>2115.7</v>
      </c>
      <c r="S205" s="198">
        <f t="shared" si="12"/>
        <v>2115.7</v>
      </c>
    </row>
    <row r="206" spans="1:19" s="171" customFormat="1" ht="33" customHeight="1">
      <c r="A206" s="128"/>
      <c r="B206" s="128"/>
      <c r="C206" s="128"/>
      <c r="D206" s="128"/>
      <c r="E206" s="128"/>
      <c r="F206" s="128"/>
      <c r="G206" s="129"/>
      <c r="H206" s="10" t="s">
        <v>53</v>
      </c>
      <c r="I206" s="9">
        <v>27</v>
      </c>
      <c r="J206" s="6">
        <v>3</v>
      </c>
      <c r="K206" s="6">
        <v>9</v>
      </c>
      <c r="L206" s="91" t="s">
        <v>559</v>
      </c>
      <c r="M206" s="92" t="s">
        <v>347</v>
      </c>
      <c r="N206" s="92" t="s">
        <v>357</v>
      </c>
      <c r="O206" s="92" t="s">
        <v>392</v>
      </c>
      <c r="P206" s="139"/>
      <c r="Q206" s="197">
        <f t="shared" si="12"/>
        <v>2245.5</v>
      </c>
      <c r="R206" s="197">
        <f t="shared" si="12"/>
        <v>2115.7</v>
      </c>
      <c r="S206" s="197">
        <f t="shared" si="12"/>
        <v>2115.7</v>
      </c>
    </row>
    <row r="207" spans="1:19" s="171" customFormat="1" ht="33" customHeight="1">
      <c r="A207" s="128"/>
      <c r="B207" s="128"/>
      <c r="C207" s="128"/>
      <c r="D207" s="128"/>
      <c r="E207" s="128"/>
      <c r="F207" s="128"/>
      <c r="G207" s="129"/>
      <c r="H207" s="10" t="s">
        <v>57</v>
      </c>
      <c r="I207" s="9">
        <v>27</v>
      </c>
      <c r="J207" s="6">
        <v>3</v>
      </c>
      <c r="K207" s="6">
        <v>9</v>
      </c>
      <c r="L207" s="91" t="s">
        <v>559</v>
      </c>
      <c r="M207" s="92" t="s">
        <v>347</v>
      </c>
      <c r="N207" s="92" t="s">
        <v>366</v>
      </c>
      <c r="O207" s="92" t="s">
        <v>392</v>
      </c>
      <c r="P207" s="139"/>
      <c r="Q207" s="197">
        <f>Q208+Q212</f>
        <v>2245.5</v>
      </c>
      <c r="R207" s="197">
        <f>R208+R212</f>
        <v>2115.7</v>
      </c>
      <c r="S207" s="197">
        <f>S208+S212</f>
        <v>2115.7</v>
      </c>
    </row>
    <row r="208" spans="1:19" ht="26.25" customHeight="1">
      <c r="A208" s="84"/>
      <c r="B208" s="84"/>
      <c r="C208" s="84"/>
      <c r="D208" s="84"/>
      <c r="E208" s="84"/>
      <c r="F208" s="84"/>
      <c r="G208" s="85"/>
      <c r="H208" s="10" t="s">
        <v>102</v>
      </c>
      <c r="I208" s="9">
        <v>27</v>
      </c>
      <c r="J208" s="6">
        <v>3</v>
      </c>
      <c r="K208" s="6">
        <v>9</v>
      </c>
      <c r="L208" s="91" t="s">
        <v>559</v>
      </c>
      <c r="M208" s="92" t="s">
        <v>347</v>
      </c>
      <c r="N208" s="92" t="s">
        <v>366</v>
      </c>
      <c r="O208" s="92" t="s">
        <v>103</v>
      </c>
      <c r="P208" s="5" t="s">
        <v>320</v>
      </c>
      <c r="Q208" s="197">
        <f>SUM(Q209:Q211)</f>
        <v>1848.3</v>
      </c>
      <c r="R208" s="197">
        <f>SUM(R209:R210)</f>
        <v>1778.8</v>
      </c>
      <c r="S208" s="197">
        <f>SUM(S209:S210)</f>
        <v>1778.8</v>
      </c>
    </row>
    <row r="209" spans="1:19" ht="26.25" customHeight="1">
      <c r="A209" s="84"/>
      <c r="B209" s="84"/>
      <c r="C209" s="84"/>
      <c r="D209" s="84"/>
      <c r="E209" s="84"/>
      <c r="F209" s="84"/>
      <c r="G209" s="85"/>
      <c r="H209" s="10" t="s">
        <v>457</v>
      </c>
      <c r="I209" s="5">
        <v>27</v>
      </c>
      <c r="J209" s="6">
        <v>3</v>
      </c>
      <c r="K209" s="6">
        <v>9</v>
      </c>
      <c r="L209" s="91" t="s">
        <v>559</v>
      </c>
      <c r="M209" s="92" t="s">
        <v>347</v>
      </c>
      <c r="N209" s="92" t="s">
        <v>366</v>
      </c>
      <c r="O209" s="92" t="s">
        <v>103</v>
      </c>
      <c r="P209" s="5">
        <v>110</v>
      </c>
      <c r="Q209" s="197">
        <f>'Приложение 8'!Q97</f>
        <v>1675.1</v>
      </c>
      <c r="R209" s="197">
        <v>1625.8</v>
      </c>
      <c r="S209" s="197">
        <v>1625.8</v>
      </c>
    </row>
    <row r="210" spans="1:19" ht="23.25" customHeight="1">
      <c r="A210" s="84"/>
      <c r="B210" s="84"/>
      <c r="C210" s="84"/>
      <c r="D210" s="84"/>
      <c r="E210" s="84"/>
      <c r="F210" s="84"/>
      <c r="G210" s="85"/>
      <c r="H210" s="4" t="s">
        <v>454</v>
      </c>
      <c r="I210" s="7">
        <v>27</v>
      </c>
      <c r="J210" s="6">
        <v>3</v>
      </c>
      <c r="K210" s="6">
        <v>9</v>
      </c>
      <c r="L210" s="91" t="s">
        <v>559</v>
      </c>
      <c r="M210" s="92" t="s">
        <v>347</v>
      </c>
      <c r="N210" s="92" t="s">
        <v>366</v>
      </c>
      <c r="O210" s="92" t="s">
        <v>103</v>
      </c>
      <c r="P210" s="5">
        <v>240</v>
      </c>
      <c r="Q210" s="195">
        <f>'Приложение 8'!Q98</f>
        <v>173</v>
      </c>
      <c r="R210" s="195">
        <v>153</v>
      </c>
      <c r="S210" s="195">
        <v>153</v>
      </c>
    </row>
    <row r="211" spans="1:19" ht="23.25" customHeight="1">
      <c r="A211" s="84"/>
      <c r="B211" s="84"/>
      <c r="C211" s="84"/>
      <c r="D211" s="84"/>
      <c r="E211" s="84"/>
      <c r="F211" s="84"/>
      <c r="G211" s="85"/>
      <c r="H211" s="10" t="str">
        <f>'Приложение 8'!H99</f>
        <v>Уплата налогов, сборов и иных платежей</v>
      </c>
      <c r="I211" s="7">
        <f>'Приложение 8'!I99</f>
        <v>27</v>
      </c>
      <c r="J211" s="6">
        <f>'Приложение 8'!J99</f>
        <v>3</v>
      </c>
      <c r="K211" s="6">
        <f>'Приложение 8'!K99</f>
        <v>9</v>
      </c>
      <c r="L211" s="91" t="str">
        <f>'Приложение 8'!L99</f>
        <v>50</v>
      </c>
      <c r="M211" s="92" t="str">
        <f>'Приложение 8'!M99</f>
        <v>0</v>
      </c>
      <c r="N211" s="92" t="str">
        <f>'Приложение 8'!N99</f>
        <v>03</v>
      </c>
      <c r="O211" s="92" t="str">
        <f>'Приложение 8'!O99</f>
        <v>00590</v>
      </c>
      <c r="P211" s="5">
        <f>'Приложение 8'!P99</f>
        <v>850</v>
      </c>
      <c r="Q211" s="197">
        <f>'Приложение 8'!Q99</f>
        <v>0.2</v>
      </c>
      <c r="R211" s="197">
        <f>'Приложение 8'!R99</f>
        <v>0</v>
      </c>
      <c r="S211" s="197">
        <f>'Приложение 8'!S99</f>
        <v>0</v>
      </c>
    </row>
    <row r="212" spans="1:19" ht="23.25" customHeight="1">
      <c r="A212" s="84"/>
      <c r="B212" s="84"/>
      <c r="C212" s="84"/>
      <c r="D212" s="84"/>
      <c r="E212" s="84"/>
      <c r="F212" s="84"/>
      <c r="G212" s="85"/>
      <c r="H212" s="10" t="s">
        <v>595</v>
      </c>
      <c r="I212" s="5">
        <v>27</v>
      </c>
      <c r="J212" s="6">
        <v>3</v>
      </c>
      <c r="K212" s="6">
        <v>9</v>
      </c>
      <c r="L212" s="91" t="s">
        <v>559</v>
      </c>
      <c r="M212" s="92" t="s">
        <v>347</v>
      </c>
      <c r="N212" s="92" t="s">
        <v>366</v>
      </c>
      <c r="O212" s="92" t="s">
        <v>594</v>
      </c>
      <c r="P212" s="5"/>
      <c r="Q212" s="197">
        <f>Q213</f>
        <v>397.2</v>
      </c>
      <c r="R212" s="197">
        <f>R213</f>
        <v>336.9</v>
      </c>
      <c r="S212" s="197">
        <f>S213</f>
        <v>336.9</v>
      </c>
    </row>
    <row r="213" spans="1:19" ht="23.25" customHeight="1">
      <c r="A213" s="84"/>
      <c r="B213" s="84"/>
      <c r="C213" s="84"/>
      <c r="D213" s="84"/>
      <c r="E213" s="84"/>
      <c r="F213" s="84"/>
      <c r="G213" s="85"/>
      <c r="H213" s="10" t="s">
        <v>457</v>
      </c>
      <c r="I213" s="5">
        <v>27</v>
      </c>
      <c r="J213" s="6">
        <v>3</v>
      </c>
      <c r="K213" s="6">
        <v>9</v>
      </c>
      <c r="L213" s="91" t="s">
        <v>559</v>
      </c>
      <c r="M213" s="92" t="s">
        <v>347</v>
      </c>
      <c r="N213" s="92" t="s">
        <v>366</v>
      </c>
      <c r="O213" s="92" t="s">
        <v>594</v>
      </c>
      <c r="P213" s="5">
        <v>110</v>
      </c>
      <c r="Q213" s="197">
        <f>'Приложение 8'!Q101</f>
        <v>397.2</v>
      </c>
      <c r="R213" s="197">
        <v>336.9</v>
      </c>
      <c r="S213" s="197">
        <v>336.9</v>
      </c>
    </row>
    <row r="214" spans="1:19" s="171" customFormat="1" ht="25.5" customHeight="1">
      <c r="A214" s="128"/>
      <c r="B214" s="128"/>
      <c r="C214" s="128"/>
      <c r="D214" s="128"/>
      <c r="E214" s="128"/>
      <c r="F214" s="128"/>
      <c r="G214" s="129"/>
      <c r="H214" s="130" t="s">
        <v>341</v>
      </c>
      <c r="I214" s="131">
        <v>27</v>
      </c>
      <c r="J214" s="141">
        <v>3</v>
      </c>
      <c r="K214" s="141">
        <v>14</v>
      </c>
      <c r="L214" s="133"/>
      <c r="M214" s="134"/>
      <c r="N214" s="134"/>
      <c r="O214" s="134"/>
      <c r="P214" s="139"/>
      <c r="Q214" s="198">
        <f>Q215+Q227</f>
        <v>265.9</v>
      </c>
      <c r="R214" s="198">
        <f>R215+R227</f>
        <v>265.9</v>
      </c>
      <c r="S214" s="198">
        <f>S215+S227</f>
        <v>265.9</v>
      </c>
    </row>
    <row r="215" spans="1:19" ht="38.25" customHeight="1">
      <c r="A215" s="84"/>
      <c r="B215" s="84"/>
      <c r="C215" s="84"/>
      <c r="D215" s="84"/>
      <c r="E215" s="84"/>
      <c r="F215" s="84"/>
      <c r="G215" s="85"/>
      <c r="H215" s="10" t="s">
        <v>629</v>
      </c>
      <c r="I215" s="9">
        <v>27</v>
      </c>
      <c r="J215" s="15">
        <v>3</v>
      </c>
      <c r="K215" s="15">
        <v>14</v>
      </c>
      <c r="L215" s="91" t="s">
        <v>560</v>
      </c>
      <c r="M215" s="92" t="s">
        <v>347</v>
      </c>
      <c r="N215" s="92" t="s">
        <v>357</v>
      </c>
      <c r="O215" s="92" t="s">
        <v>392</v>
      </c>
      <c r="P215" s="5"/>
      <c r="Q215" s="197">
        <f>Q223+Q216</f>
        <v>205.9</v>
      </c>
      <c r="R215" s="197">
        <f>R223+R216</f>
        <v>205.9</v>
      </c>
      <c r="S215" s="197">
        <f>S223+S216</f>
        <v>205.9</v>
      </c>
    </row>
    <row r="216" spans="1:19" ht="22.5" customHeight="1">
      <c r="A216" s="84"/>
      <c r="B216" s="84"/>
      <c r="C216" s="84"/>
      <c r="D216" s="84"/>
      <c r="E216" s="84"/>
      <c r="F216" s="84"/>
      <c r="G216" s="85"/>
      <c r="H216" s="10" t="s">
        <v>404</v>
      </c>
      <c r="I216" s="9">
        <v>27</v>
      </c>
      <c r="J216" s="15">
        <v>3</v>
      </c>
      <c r="K216" s="15">
        <v>14</v>
      </c>
      <c r="L216" s="91" t="s">
        <v>560</v>
      </c>
      <c r="M216" s="92" t="s">
        <v>349</v>
      </c>
      <c r="N216" s="92" t="s">
        <v>357</v>
      </c>
      <c r="O216" s="92" t="s">
        <v>392</v>
      </c>
      <c r="P216" s="5"/>
      <c r="Q216" s="197">
        <f>Q217+Q220</f>
        <v>195.9</v>
      </c>
      <c r="R216" s="197">
        <f>R217+R220</f>
        <v>195.9</v>
      </c>
      <c r="S216" s="197">
        <f>S217+S220</f>
        <v>195.9</v>
      </c>
    </row>
    <row r="217" spans="1:19" ht="33.75" customHeight="1">
      <c r="A217" s="84"/>
      <c r="B217" s="84"/>
      <c r="C217" s="84"/>
      <c r="D217" s="84"/>
      <c r="E217" s="84"/>
      <c r="F217" s="84"/>
      <c r="G217" s="85"/>
      <c r="H217" s="10" t="s">
        <v>639</v>
      </c>
      <c r="I217" s="9">
        <v>27</v>
      </c>
      <c r="J217" s="15">
        <v>3</v>
      </c>
      <c r="K217" s="15">
        <v>14</v>
      </c>
      <c r="L217" s="91" t="s">
        <v>560</v>
      </c>
      <c r="M217" s="92" t="s">
        <v>349</v>
      </c>
      <c r="N217" s="92" t="s">
        <v>365</v>
      </c>
      <c r="O217" s="92" t="s">
        <v>392</v>
      </c>
      <c r="P217" s="5"/>
      <c r="Q217" s="197">
        <f aca="true" t="shared" si="13" ref="Q217:S218">Q218</f>
        <v>0</v>
      </c>
      <c r="R217" s="197">
        <f t="shared" si="13"/>
        <v>35</v>
      </c>
      <c r="S217" s="197">
        <f t="shared" si="13"/>
        <v>35</v>
      </c>
    </row>
    <row r="218" spans="1:19" ht="22.5" customHeight="1">
      <c r="A218" s="84"/>
      <c r="B218" s="84"/>
      <c r="C218" s="84"/>
      <c r="D218" s="84"/>
      <c r="E218" s="84"/>
      <c r="F218" s="84"/>
      <c r="G218" s="85"/>
      <c r="H218" s="10" t="s">
        <v>771</v>
      </c>
      <c r="I218" s="9">
        <v>27</v>
      </c>
      <c r="J218" s="15">
        <v>3</v>
      </c>
      <c r="K218" s="15">
        <v>14</v>
      </c>
      <c r="L218" s="91" t="s">
        <v>560</v>
      </c>
      <c r="M218" s="92" t="s">
        <v>349</v>
      </c>
      <c r="N218" s="92" t="s">
        <v>365</v>
      </c>
      <c r="O218" s="92" t="s">
        <v>770</v>
      </c>
      <c r="P218" s="5"/>
      <c r="Q218" s="197">
        <f t="shared" si="13"/>
        <v>0</v>
      </c>
      <c r="R218" s="197">
        <f t="shared" si="13"/>
        <v>35</v>
      </c>
      <c r="S218" s="197">
        <f t="shared" si="13"/>
        <v>35</v>
      </c>
    </row>
    <row r="219" spans="1:19" ht="22.5" customHeight="1">
      <c r="A219" s="84"/>
      <c r="B219" s="84"/>
      <c r="C219" s="84"/>
      <c r="D219" s="84"/>
      <c r="E219" s="84"/>
      <c r="F219" s="84"/>
      <c r="G219" s="85"/>
      <c r="H219" s="4" t="s">
        <v>454</v>
      </c>
      <c r="I219" s="9">
        <v>27</v>
      </c>
      <c r="J219" s="15">
        <v>3</v>
      </c>
      <c r="K219" s="15">
        <v>14</v>
      </c>
      <c r="L219" s="91" t="s">
        <v>560</v>
      </c>
      <c r="M219" s="92" t="s">
        <v>349</v>
      </c>
      <c r="N219" s="92" t="s">
        <v>365</v>
      </c>
      <c r="O219" s="92" t="s">
        <v>770</v>
      </c>
      <c r="P219" s="5">
        <v>240</v>
      </c>
      <c r="Q219" s="197">
        <f>'Приложение 8'!Q107</f>
        <v>0</v>
      </c>
      <c r="R219" s="197">
        <v>35</v>
      </c>
      <c r="S219" s="197">
        <v>35</v>
      </c>
    </row>
    <row r="220" spans="1:19" ht="22.5" customHeight="1">
      <c r="A220" s="84"/>
      <c r="B220" s="84"/>
      <c r="C220" s="84"/>
      <c r="D220" s="84"/>
      <c r="E220" s="84"/>
      <c r="F220" s="84"/>
      <c r="G220" s="85"/>
      <c r="H220" s="10" t="s">
        <v>638</v>
      </c>
      <c r="I220" s="9">
        <v>27</v>
      </c>
      <c r="J220" s="15">
        <v>3</v>
      </c>
      <c r="K220" s="15">
        <v>14</v>
      </c>
      <c r="L220" s="91" t="s">
        <v>560</v>
      </c>
      <c r="M220" s="92" t="s">
        <v>349</v>
      </c>
      <c r="N220" s="92" t="s">
        <v>366</v>
      </c>
      <c r="O220" s="92" t="s">
        <v>392</v>
      </c>
      <c r="P220" s="5"/>
      <c r="Q220" s="197">
        <f aca="true" t="shared" si="14" ref="Q220:S221">Q221</f>
        <v>195.9</v>
      </c>
      <c r="R220" s="197">
        <f t="shared" si="14"/>
        <v>160.9</v>
      </c>
      <c r="S220" s="197">
        <f t="shared" si="14"/>
        <v>160.9</v>
      </c>
    </row>
    <row r="221" spans="1:19" ht="36.75" customHeight="1">
      <c r="A221" s="84"/>
      <c r="B221" s="84"/>
      <c r="C221" s="84"/>
      <c r="D221" s="84"/>
      <c r="E221" s="84"/>
      <c r="F221" s="84"/>
      <c r="G221" s="85"/>
      <c r="H221" s="10" t="s">
        <v>452</v>
      </c>
      <c r="I221" s="9">
        <v>27</v>
      </c>
      <c r="J221" s="15">
        <v>3</v>
      </c>
      <c r="K221" s="15">
        <v>14</v>
      </c>
      <c r="L221" s="91" t="s">
        <v>560</v>
      </c>
      <c r="M221" s="92" t="s">
        <v>349</v>
      </c>
      <c r="N221" s="92" t="s">
        <v>366</v>
      </c>
      <c r="O221" s="92" t="s">
        <v>109</v>
      </c>
      <c r="P221" s="5"/>
      <c r="Q221" s="197">
        <f t="shared" si="14"/>
        <v>195.9</v>
      </c>
      <c r="R221" s="197">
        <f t="shared" si="14"/>
        <v>160.9</v>
      </c>
      <c r="S221" s="197">
        <f t="shared" si="14"/>
        <v>160.9</v>
      </c>
    </row>
    <row r="222" spans="1:19" ht="22.5" customHeight="1">
      <c r="A222" s="84"/>
      <c r="B222" s="84"/>
      <c r="C222" s="84"/>
      <c r="D222" s="84"/>
      <c r="E222" s="84"/>
      <c r="F222" s="84"/>
      <c r="G222" s="85"/>
      <c r="H222" s="4" t="s">
        <v>454</v>
      </c>
      <c r="I222" s="9">
        <v>27</v>
      </c>
      <c r="J222" s="15">
        <v>3</v>
      </c>
      <c r="K222" s="15">
        <v>14</v>
      </c>
      <c r="L222" s="91" t="s">
        <v>560</v>
      </c>
      <c r="M222" s="92" t="s">
        <v>349</v>
      </c>
      <c r="N222" s="92" t="s">
        <v>366</v>
      </c>
      <c r="O222" s="92" t="s">
        <v>109</v>
      </c>
      <c r="P222" s="5">
        <v>240</v>
      </c>
      <c r="Q222" s="197">
        <f>'Приложение 8'!Q110</f>
        <v>195.9</v>
      </c>
      <c r="R222" s="197">
        <v>160.9</v>
      </c>
      <c r="S222" s="197">
        <v>160.9</v>
      </c>
    </row>
    <row r="223" spans="1:19" ht="35.25" customHeight="1">
      <c r="A223" s="84"/>
      <c r="B223" s="84"/>
      <c r="C223" s="84"/>
      <c r="D223" s="84"/>
      <c r="E223" s="84"/>
      <c r="F223" s="84"/>
      <c r="G223" s="85"/>
      <c r="H223" s="32" t="s">
        <v>637</v>
      </c>
      <c r="I223" s="9">
        <v>27</v>
      </c>
      <c r="J223" s="15">
        <v>3</v>
      </c>
      <c r="K223" s="15">
        <v>14</v>
      </c>
      <c r="L223" s="15">
        <v>35</v>
      </c>
      <c r="M223" s="92" t="s">
        <v>581</v>
      </c>
      <c r="N223" s="92" t="s">
        <v>357</v>
      </c>
      <c r="O223" s="92" t="s">
        <v>392</v>
      </c>
      <c r="P223" s="5"/>
      <c r="Q223" s="197">
        <f>Q224</f>
        <v>10</v>
      </c>
      <c r="R223" s="197">
        <f aca="true" t="shared" si="15" ref="R223:S225">R224</f>
        <v>10</v>
      </c>
      <c r="S223" s="197">
        <f t="shared" si="15"/>
        <v>10</v>
      </c>
    </row>
    <row r="224" spans="1:19" ht="36.75" customHeight="1">
      <c r="A224" s="84"/>
      <c r="B224" s="84"/>
      <c r="C224" s="84"/>
      <c r="D224" s="84"/>
      <c r="E224" s="84"/>
      <c r="F224" s="84"/>
      <c r="G224" s="85"/>
      <c r="H224" s="10" t="s">
        <v>636</v>
      </c>
      <c r="I224" s="9">
        <v>27</v>
      </c>
      <c r="J224" s="15">
        <v>3</v>
      </c>
      <c r="K224" s="15">
        <v>14</v>
      </c>
      <c r="L224" s="15">
        <v>35</v>
      </c>
      <c r="M224" s="92" t="s">
        <v>581</v>
      </c>
      <c r="N224" s="92" t="s">
        <v>348</v>
      </c>
      <c r="O224" s="92" t="s">
        <v>392</v>
      </c>
      <c r="P224" s="5"/>
      <c r="Q224" s="197">
        <f>Q225</f>
        <v>10</v>
      </c>
      <c r="R224" s="197">
        <f t="shared" si="15"/>
        <v>10</v>
      </c>
      <c r="S224" s="197">
        <f t="shared" si="15"/>
        <v>10</v>
      </c>
    </row>
    <row r="225" spans="1:19" ht="21" customHeight="1">
      <c r="A225" s="84"/>
      <c r="B225" s="84"/>
      <c r="C225" s="84"/>
      <c r="D225" s="84"/>
      <c r="E225" s="84"/>
      <c r="F225" s="84"/>
      <c r="G225" s="85"/>
      <c r="H225" s="10" t="s">
        <v>635</v>
      </c>
      <c r="I225" s="9">
        <v>27</v>
      </c>
      <c r="J225" s="15">
        <v>3</v>
      </c>
      <c r="K225" s="15">
        <v>14</v>
      </c>
      <c r="L225" s="15">
        <v>35</v>
      </c>
      <c r="M225" s="92" t="s">
        <v>581</v>
      </c>
      <c r="N225" s="92" t="s">
        <v>348</v>
      </c>
      <c r="O225" s="92" t="s">
        <v>770</v>
      </c>
      <c r="P225" s="5"/>
      <c r="Q225" s="197">
        <f>Q226</f>
        <v>10</v>
      </c>
      <c r="R225" s="197">
        <f t="shared" si="15"/>
        <v>10</v>
      </c>
      <c r="S225" s="197">
        <f t="shared" si="15"/>
        <v>10</v>
      </c>
    </row>
    <row r="226" spans="1:19" ht="19.5" customHeight="1">
      <c r="A226" s="84"/>
      <c r="B226" s="84"/>
      <c r="C226" s="84"/>
      <c r="D226" s="84"/>
      <c r="E226" s="84"/>
      <c r="F226" s="84"/>
      <c r="G226" s="85"/>
      <c r="H226" s="4" t="s">
        <v>454</v>
      </c>
      <c r="I226" s="9">
        <v>27</v>
      </c>
      <c r="J226" s="6">
        <v>3</v>
      </c>
      <c r="K226" s="15">
        <v>14</v>
      </c>
      <c r="L226" s="15">
        <v>35</v>
      </c>
      <c r="M226" s="92" t="s">
        <v>581</v>
      </c>
      <c r="N226" s="92" t="s">
        <v>348</v>
      </c>
      <c r="O226" s="92" t="s">
        <v>770</v>
      </c>
      <c r="P226" s="5">
        <v>240</v>
      </c>
      <c r="Q226" s="197">
        <v>10</v>
      </c>
      <c r="R226" s="212">
        <v>10</v>
      </c>
      <c r="S226" s="212">
        <v>10</v>
      </c>
    </row>
    <row r="227" spans="1:19" ht="42" customHeight="1">
      <c r="A227" s="84"/>
      <c r="B227" s="84"/>
      <c r="C227" s="84"/>
      <c r="D227" s="84"/>
      <c r="E227" s="84"/>
      <c r="F227" s="84"/>
      <c r="G227" s="85"/>
      <c r="H227" s="32" t="s">
        <v>630</v>
      </c>
      <c r="I227" s="5">
        <v>27</v>
      </c>
      <c r="J227" s="6">
        <v>3</v>
      </c>
      <c r="K227" s="15">
        <v>14</v>
      </c>
      <c r="L227" s="15">
        <v>37</v>
      </c>
      <c r="M227" s="92" t="s">
        <v>347</v>
      </c>
      <c r="N227" s="92" t="s">
        <v>357</v>
      </c>
      <c r="O227" s="92" t="s">
        <v>392</v>
      </c>
      <c r="P227" s="5"/>
      <c r="Q227" s="197">
        <f>Q228</f>
        <v>60</v>
      </c>
      <c r="R227" s="197">
        <f aca="true" t="shared" si="16" ref="R227:S229">R228</f>
        <v>60</v>
      </c>
      <c r="S227" s="197">
        <f t="shared" si="16"/>
        <v>60</v>
      </c>
    </row>
    <row r="228" spans="1:19" ht="34.5" customHeight="1">
      <c r="A228" s="84"/>
      <c r="B228" s="84"/>
      <c r="C228" s="84"/>
      <c r="D228" s="84"/>
      <c r="E228" s="84"/>
      <c r="F228" s="84"/>
      <c r="G228" s="85"/>
      <c r="H228" s="32" t="s">
        <v>772</v>
      </c>
      <c r="I228" s="5">
        <v>27</v>
      </c>
      <c r="J228" s="6">
        <v>3</v>
      </c>
      <c r="K228" s="15">
        <v>14</v>
      </c>
      <c r="L228" s="15">
        <v>37</v>
      </c>
      <c r="M228" s="92" t="s">
        <v>347</v>
      </c>
      <c r="N228" s="92" t="s">
        <v>348</v>
      </c>
      <c r="O228" s="92" t="s">
        <v>392</v>
      </c>
      <c r="P228" s="5"/>
      <c r="Q228" s="197">
        <f>Q229</f>
        <v>60</v>
      </c>
      <c r="R228" s="197">
        <f t="shared" si="16"/>
        <v>60</v>
      </c>
      <c r="S228" s="197">
        <f t="shared" si="16"/>
        <v>60</v>
      </c>
    </row>
    <row r="229" spans="1:19" ht="19.5" customHeight="1">
      <c r="A229" s="84"/>
      <c r="B229" s="84"/>
      <c r="C229" s="84"/>
      <c r="D229" s="84"/>
      <c r="E229" s="84"/>
      <c r="F229" s="84"/>
      <c r="G229" s="85"/>
      <c r="H229" s="32" t="s">
        <v>631</v>
      </c>
      <c r="I229" s="5">
        <v>27</v>
      </c>
      <c r="J229" s="6">
        <v>3</v>
      </c>
      <c r="K229" s="15">
        <v>14</v>
      </c>
      <c r="L229" s="15">
        <v>37</v>
      </c>
      <c r="M229" s="92" t="s">
        <v>347</v>
      </c>
      <c r="N229" s="92" t="s">
        <v>348</v>
      </c>
      <c r="O229" s="92" t="s">
        <v>46</v>
      </c>
      <c r="P229" s="5"/>
      <c r="Q229" s="197">
        <f>Q230</f>
        <v>60</v>
      </c>
      <c r="R229" s="197">
        <f t="shared" si="16"/>
        <v>60</v>
      </c>
      <c r="S229" s="197">
        <f t="shared" si="16"/>
        <v>60</v>
      </c>
    </row>
    <row r="230" spans="1:19" ht="19.5" customHeight="1">
      <c r="A230" s="84"/>
      <c r="B230" s="84"/>
      <c r="C230" s="84"/>
      <c r="D230" s="84"/>
      <c r="E230" s="84"/>
      <c r="F230" s="84"/>
      <c r="G230" s="85"/>
      <c r="H230" s="32" t="s">
        <v>454</v>
      </c>
      <c r="I230" s="5">
        <v>27</v>
      </c>
      <c r="J230" s="6">
        <v>3</v>
      </c>
      <c r="K230" s="15">
        <v>14</v>
      </c>
      <c r="L230" s="15">
        <v>37</v>
      </c>
      <c r="M230" s="92" t="s">
        <v>347</v>
      </c>
      <c r="N230" s="92" t="s">
        <v>348</v>
      </c>
      <c r="O230" s="92" t="s">
        <v>46</v>
      </c>
      <c r="P230" s="5">
        <v>240</v>
      </c>
      <c r="Q230" s="197">
        <v>60</v>
      </c>
      <c r="R230" s="212">
        <v>60</v>
      </c>
      <c r="S230" s="212">
        <v>60</v>
      </c>
    </row>
    <row r="231" spans="1:19" s="171" customFormat="1" ht="23.25" customHeight="1">
      <c r="A231" s="128"/>
      <c r="B231" s="128"/>
      <c r="C231" s="128"/>
      <c r="D231" s="128"/>
      <c r="E231" s="128"/>
      <c r="F231" s="128"/>
      <c r="G231" s="129"/>
      <c r="H231" s="130" t="s">
        <v>333</v>
      </c>
      <c r="I231" s="139">
        <v>27</v>
      </c>
      <c r="J231" s="141">
        <v>4</v>
      </c>
      <c r="K231" s="132"/>
      <c r="L231" s="133"/>
      <c r="M231" s="134"/>
      <c r="N231" s="134"/>
      <c r="O231" s="134"/>
      <c r="P231" s="139"/>
      <c r="Q231" s="198">
        <f>Q232+Q237+Q280</f>
        <v>52188.4</v>
      </c>
      <c r="R231" s="198">
        <f>R232+R237+R280</f>
        <v>21824.7</v>
      </c>
      <c r="S231" s="198">
        <f>S232+S237+S280</f>
        <v>22482.7</v>
      </c>
    </row>
    <row r="232" spans="1:19" s="171" customFormat="1" ht="26.25" customHeight="1">
      <c r="A232" s="135"/>
      <c r="B232" s="136"/>
      <c r="C232" s="146"/>
      <c r="D232" s="207"/>
      <c r="E232" s="158"/>
      <c r="F232" s="158"/>
      <c r="G232" s="129"/>
      <c r="H232" s="267" t="s">
        <v>110</v>
      </c>
      <c r="I232" s="145">
        <v>27</v>
      </c>
      <c r="J232" s="141">
        <v>4</v>
      </c>
      <c r="K232" s="132">
        <v>8</v>
      </c>
      <c r="L232" s="133"/>
      <c r="M232" s="134"/>
      <c r="N232" s="134"/>
      <c r="O232" s="134"/>
      <c r="P232" s="131"/>
      <c r="Q232" s="194">
        <f aca="true" t="shared" si="17" ref="Q232:S235">Q233</f>
        <v>3554.1</v>
      </c>
      <c r="R232" s="194">
        <f t="shared" si="17"/>
        <v>0</v>
      </c>
      <c r="S232" s="194">
        <f t="shared" si="17"/>
        <v>0</v>
      </c>
    </row>
    <row r="233" spans="1:19" s="171" customFormat="1" ht="26.25" customHeight="1">
      <c r="A233" s="135"/>
      <c r="B233" s="136"/>
      <c r="C233" s="146"/>
      <c r="D233" s="207"/>
      <c r="E233" s="158"/>
      <c r="F233" s="158"/>
      <c r="G233" s="129"/>
      <c r="H233" s="10" t="s">
        <v>53</v>
      </c>
      <c r="I233" s="5">
        <v>27</v>
      </c>
      <c r="J233" s="6">
        <v>4</v>
      </c>
      <c r="K233" s="15">
        <v>8</v>
      </c>
      <c r="L233" s="91" t="s">
        <v>559</v>
      </c>
      <c r="M233" s="92" t="s">
        <v>347</v>
      </c>
      <c r="N233" s="92" t="s">
        <v>357</v>
      </c>
      <c r="O233" s="92" t="s">
        <v>392</v>
      </c>
      <c r="P233" s="131"/>
      <c r="Q233" s="285">
        <f t="shared" si="17"/>
        <v>3554.1</v>
      </c>
      <c r="R233" s="285">
        <f t="shared" si="17"/>
        <v>0</v>
      </c>
      <c r="S233" s="285">
        <f t="shared" si="17"/>
        <v>0</v>
      </c>
    </row>
    <row r="234" spans="1:19" s="171" customFormat="1" ht="26.25" customHeight="1">
      <c r="A234" s="135"/>
      <c r="B234" s="136"/>
      <c r="C234" s="146"/>
      <c r="D234" s="207"/>
      <c r="E234" s="158"/>
      <c r="F234" s="158"/>
      <c r="G234" s="129"/>
      <c r="H234" s="4" t="s">
        <v>55</v>
      </c>
      <c r="I234" s="7">
        <v>27</v>
      </c>
      <c r="J234" s="6">
        <v>4</v>
      </c>
      <c r="K234" s="15">
        <v>8</v>
      </c>
      <c r="L234" s="91" t="s">
        <v>559</v>
      </c>
      <c r="M234" s="92" t="s">
        <v>347</v>
      </c>
      <c r="N234" s="92" t="s">
        <v>365</v>
      </c>
      <c r="O234" s="92" t="s">
        <v>392</v>
      </c>
      <c r="P234" s="131"/>
      <c r="Q234" s="285">
        <f t="shared" si="17"/>
        <v>3554.1</v>
      </c>
      <c r="R234" s="284">
        <f t="shared" si="17"/>
        <v>0</v>
      </c>
      <c r="S234" s="284">
        <f t="shared" si="17"/>
        <v>0</v>
      </c>
    </row>
    <row r="235" spans="1:19" ht="36.75" customHeight="1">
      <c r="A235" s="95"/>
      <c r="B235" s="94"/>
      <c r="C235" s="99"/>
      <c r="D235" s="107"/>
      <c r="E235" s="110"/>
      <c r="F235" s="110"/>
      <c r="G235" s="85"/>
      <c r="H235" s="29" t="s">
        <v>794</v>
      </c>
      <c r="I235" s="7">
        <v>27</v>
      </c>
      <c r="J235" s="6">
        <v>4</v>
      </c>
      <c r="K235" s="15">
        <v>8</v>
      </c>
      <c r="L235" s="91" t="s">
        <v>559</v>
      </c>
      <c r="M235" s="92" t="s">
        <v>347</v>
      </c>
      <c r="N235" s="92" t="s">
        <v>365</v>
      </c>
      <c r="O235" s="92" t="s">
        <v>793</v>
      </c>
      <c r="P235" s="9"/>
      <c r="Q235" s="195">
        <f t="shared" si="17"/>
        <v>3554.1</v>
      </c>
      <c r="R235" s="197">
        <f t="shared" si="17"/>
        <v>0</v>
      </c>
      <c r="S235" s="197">
        <f t="shared" si="17"/>
        <v>0</v>
      </c>
    </row>
    <row r="236" spans="1:19" ht="28.5" customHeight="1">
      <c r="A236" s="95"/>
      <c r="B236" s="94"/>
      <c r="C236" s="99"/>
      <c r="D236" s="107"/>
      <c r="E236" s="110"/>
      <c r="F236" s="110"/>
      <c r="G236" s="85"/>
      <c r="H236" s="29" t="s">
        <v>454</v>
      </c>
      <c r="I236" s="7">
        <v>27</v>
      </c>
      <c r="J236" s="20">
        <v>4</v>
      </c>
      <c r="K236" s="15">
        <v>8</v>
      </c>
      <c r="L236" s="91" t="s">
        <v>559</v>
      </c>
      <c r="M236" s="92" t="s">
        <v>347</v>
      </c>
      <c r="N236" s="92" t="s">
        <v>365</v>
      </c>
      <c r="O236" s="92" t="s">
        <v>793</v>
      </c>
      <c r="P236" s="9">
        <v>240</v>
      </c>
      <c r="Q236" s="195">
        <v>3554.1</v>
      </c>
      <c r="R236" s="197">
        <v>0</v>
      </c>
      <c r="S236" s="197">
        <v>0</v>
      </c>
    </row>
    <row r="237" spans="1:19" s="171" customFormat="1" ht="24.75" customHeight="1">
      <c r="A237" s="135"/>
      <c r="B237" s="136"/>
      <c r="C237" s="146"/>
      <c r="D237" s="143"/>
      <c r="E237" s="147"/>
      <c r="F237" s="147"/>
      <c r="G237" s="148">
        <v>321</v>
      </c>
      <c r="H237" s="142" t="s">
        <v>96</v>
      </c>
      <c r="I237" s="145">
        <v>27</v>
      </c>
      <c r="J237" s="149">
        <v>4</v>
      </c>
      <c r="K237" s="132">
        <v>9</v>
      </c>
      <c r="L237" s="133"/>
      <c r="M237" s="134"/>
      <c r="N237" s="134"/>
      <c r="O237" s="134"/>
      <c r="P237" s="139"/>
      <c r="Q237" s="198">
        <f>Q238+Q278</f>
        <v>38905.4</v>
      </c>
      <c r="R237" s="198">
        <f>R268</f>
        <v>14674.4</v>
      </c>
      <c r="S237" s="198">
        <f>S268</f>
        <v>15332.4</v>
      </c>
    </row>
    <row r="238" spans="1:19" ht="35.25" customHeight="1">
      <c r="A238" s="95"/>
      <c r="B238" s="94"/>
      <c r="C238" s="99"/>
      <c r="D238" s="97"/>
      <c r="E238" s="109"/>
      <c r="F238" s="109"/>
      <c r="G238" s="101">
        <v>530</v>
      </c>
      <c r="H238" s="4" t="s">
        <v>506</v>
      </c>
      <c r="I238" s="9">
        <v>27</v>
      </c>
      <c r="J238" s="15">
        <v>4</v>
      </c>
      <c r="K238" s="15">
        <v>9</v>
      </c>
      <c r="L238" s="91" t="s">
        <v>361</v>
      </c>
      <c r="M238" s="92" t="s">
        <v>347</v>
      </c>
      <c r="N238" s="92" t="s">
        <v>357</v>
      </c>
      <c r="O238" s="92" t="s">
        <v>392</v>
      </c>
      <c r="P238" s="5"/>
      <c r="Q238" s="197">
        <f>Q239+Q243+Q246+Q256+Q259+Q253+Q264</f>
        <v>38329.4</v>
      </c>
      <c r="R238" s="197">
        <f>R239+R243+R246+R256+R259</f>
        <v>0</v>
      </c>
      <c r="S238" s="197">
        <f>S239+S243+S246+S256+S259</f>
        <v>0</v>
      </c>
    </row>
    <row r="239" spans="1:19" ht="29.25" customHeight="1">
      <c r="A239" s="95"/>
      <c r="B239" s="94"/>
      <c r="C239" s="99"/>
      <c r="D239" s="97"/>
      <c r="E239" s="109"/>
      <c r="F239" s="109"/>
      <c r="G239" s="101"/>
      <c r="H239" s="10" t="s">
        <v>411</v>
      </c>
      <c r="I239" s="9">
        <v>27</v>
      </c>
      <c r="J239" s="15">
        <v>4</v>
      </c>
      <c r="K239" s="15">
        <v>9</v>
      </c>
      <c r="L239" s="91" t="s">
        <v>361</v>
      </c>
      <c r="M239" s="92" t="s">
        <v>347</v>
      </c>
      <c r="N239" s="92" t="s">
        <v>348</v>
      </c>
      <c r="O239" s="92" t="s">
        <v>392</v>
      </c>
      <c r="P239" s="5"/>
      <c r="Q239" s="197">
        <f>Q240</f>
        <v>17594.3</v>
      </c>
      <c r="R239" s="197">
        <f>R240</f>
        <v>0</v>
      </c>
      <c r="S239" s="197">
        <f>S240</f>
        <v>0</v>
      </c>
    </row>
    <row r="240" spans="1:19" ht="35.25" customHeight="1">
      <c r="A240" s="95"/>
      <c r="B240" s="94"/>
      <c r="C240" s="99"/>
      <c r="D240" s="97"/>
      <c r="E240" s="109"/>
      <c r="F240" s="109"/>
      <c r="G240" s="101"/>
      <c r="H240" s="10" t="s">
        <v>469</v>
      </c>
      <c r="I240" s="9">
        <v>27</v>
      </c>
      <c r="J240" s="15">
        <v>4</v>
      </c>
      <c r="K240" s="15">
        <v>9</v>
      </c>
      <c r="L240" s="91" t="s">
        <v>361</v>
      </c>
      <c r="M240" s="92" t="s">
        <v>347</v>
      </c>
      <c r="N240" s="92" t="s">
        <v>348</v>
      </c>
      <c r="O240" s="92" t="s">
        <v>107</v>
      </c>
      <c r="P240" s="5"/>
      <c r="Q240" s="197">
        <f>Q241+Q242</f>
        <v>17594.3</v>
      </c>
      <c r="R240" s="197">
        <f>R241+R242</f>
        <v>0</v>
      </c>
      <c r="S240" s="197">
        <f>S241+S242</f>
        <v>0</v>
      </c>
    </row>
    <row r="241" spans="1:19" ht="26.25" customHeight="1">
      <c r="A241" s="95"/>
      <c r="B241" s="94"/>
      <c r="C241" s="99"/>
      <c r="D241" s="97"/>
      <c r="E241" s="109"/>
      <c r="F241" s="109"/>
      <c r="G241" s="101"/>
      <c r="H241" s="29" t="s">
        <v>454</v>
      </c>
      <c r="I241" s="9">
        <v>27</v>
      </c>
      <c r="J241" s="15">
        <v>4</v>
      </c>
      <c r="K241" s="15">
        <v>9</v>
      </c>
      <c r="L241" s="91" t="s">
        <v>361</v>
      </c>
      <c r="M241" s="92" t="s">
        <v>347</v>
      </c>
      <c r="N241" s="92" t="s">
        <v>348</v>
      </c>
      <c r="O241" s="92" t="s">
        <v>107</v>
      </c>
      <c r="P241" s="5">
        <v>240</v>
      </c>
      <c r="Q241" s="197">
        <f>'Приложение 8'!Q129</f>
        <v>3419</v>
      </c>
      <c r="R241" s="197">
        <v>0</v>
      </c>
      <c r="S241" s="197">
        <v>0</v>
      </c>
    </row>
    <row r="242" spans="1:19" ht="26.25" customHeight="1">
      <c r="A242" s="95"/>
      <c r="B242" s="94"/>
      <c r="C242" s="99"/>
      <c r="D242" s="97"/>
      <c r="E242" s="109"/>
      <c r="F242" s="109"/>
      <c r="G242" s="101"/>
      <c r="H242" s="10" t="s">
        <v>397</v>
      </c>
      <c r="I242" s="9">
        <v>27</v>
      </c>
      <c r="J242" s="15">
        <v>4</v>
      </c>
      <c r="K242" s="15">
        <v>9</v>
      </c>
      <c r="L242" s="91" t="s">
        <v>361</v>
      </c>
      <c r="M242" s="92" t="s">
        <v>347</v>
      </c>
      <c r="N242" s="92" t="s">
        <v>348</v>
      </c>
      <c r="O242" s="92" t="s">
        <v>107</v>
      </c>
      <c r="P242" s="5">
        <v>540</v>
      </c>
      <c r="Q242" s="197">
        <f>'Приложение 8'!Q130</f>
        <v>14175.3</v>
      </c>
      <c r="R242" s="197">
        <v>0</v>
      </c>
      <c r="S242" s="197">
        <v>0</v>
      </c>
    </row>
    <row r="243" spans="1:19" ht="25.5" customHeight="1">
      <c r="A243" s="95"/>
      <c r="B243" s="94"/>
      <c r="C243" s="99"/>
      <c r="D243" s="97"/>
      <c r="E243" s="109"/>
      <c r="F243" s="109"/>
      <c r="G243" s="101"/>
      <c r="H243" s="10" t="s">
        <v>546</v>
      </c>
      <c r="I243" s="9">
        <v>27</v>
      </c>
      <c r="J243" s="15">
        <v>4</v>
      </c>
      <c r="K243" s="15">
        <v>9</v>
      </c>
      <c r="L243" s="91" t="s">
        <v>361</v>
      </c>
      <c r="M243" s="92" t="s">
        <v>347</v>
      </c>
      <c r="N243" s="92" t="s">
        <v>365</v>
      </c>
      <c r="O243" s="92" t="s">
        <v>392</v>
      </c>
      <c r="P243" s="5"/>
      <c r="Q243" s="197">
        <f aca="true" t="shared" si="18" ref="Q243:S244">Q244</f>
        <v>250</v>
      </c>
      <c r="R243" s="197">
        <f t="shared" si="18"/>
        <v>0</v>
      </c>
      <c r="S243" s="197">
        <f t="shared" si="18"/>
        <v>0</v>
      </c>
    </row>
    <row r="244" spans="1:19" ht="24.75" customHeight="1">
      <c r="A244" s="95"/>
      <c r="B244" s="94"/>
      <c r="C244" s="99"/>
      <c r="D244" s="97"/>
      <c r="E244" s="109"/>
      <c r="F244" s="109"/>
      <c r="G244" s="101">
        <v>611</v>
      </c>
      <c r="H244" s="10" t="s">
        <v>497</v>
      </c>
      <c r="I244" s="9">
        <v>27</v>
      </c>
      <c r="J244" s="15">
        <v>4</v>
      </c>
      <c r="K244" s="15">
        <v>9</v>
      </c>
      <c r="L244" s="91" t="s">
        <v>361</v>
      </c>
      <c r="M244" s="92" t="s">
        <v>347</v>
      </c>
      <c r="N244" s="92" t="s">
        <v>365</v>
      </c>
      <c r="O244" s="92" t="s">
        <v>496</v>
      </c>
      <c r="P244" s="5"/>
      <c r="Q244" s="197">
        <f t="shared" si="18"/>
        <v>250</v>
      </c>
      <c r="R244" s="197">
        <f t="shared" si="18"/>
        <v>0</v>
      </c>
      <c r="S244" s="197">
        <f t="shared" si="18"/>
        <v>0</v>
      </c>
    </row>
    <row r="245" spans="1:19" ht="27.75" customHeight="1">
      <c r="A245" s="95"/>
      <c r="B245" s="94"/>
      <c r="C245" s="99"/>
      <c r="D245" s="97"/>
      <c r="E245" s="100"/>
      <c r="F245" s="100"/>
      <c r="G245" s="101"/>
      <c r="H245" s="10" t="s">
        <v>397</v>
      </c>
      <c r="I245" s="5">
        <v>27</v>
      </c>
      <c r="J245" s="6">
        <v>4</v>
      </c>
      <c r="K245" s="15">
        <v>9</v>
      </c>
      <c r="L245" s="91" t="s">
        <v>361</v>
      </c>
      <c r="M245" s="92" t="s">
        <v>347</v>
      </c>
      <c r="N245" s="92" t="s">
        <v>365</v>
      </c>
      <c r="O245" s="92" t="s">
        <v>496</v>
      </c>
      <c r="P245" s="5">
        <v>540</v>
      </c>
      <c r="Q245" s="195">
        <v>250</v>
      </c>
      <c r="R245" s="195"/>
      <c r="S245" s="195"/>
    </row>
    <row r="246" spans="1:19" ht="24.75" customHeight="1">
      <c r="A246" s="95"/>
      <c r="B246" s="94"/>
      <c r="C246" s="99"/>
      <c r="D246" s="97"/>
      <c r="E246" s="100"/>
      <c r="F246" s="100"/>
      <c r="G246" s="101"/>
      <c r="H246" s="4" t="s">
        <v>555</v>
      </c>
      <c r="I246" s="12">
        <v>27</v>
      </c>
      <c r="J246" s="6">
        <v>4</v>
      </c>
      <c r="K246" s="15">
        <v>9</v>
      </c>
      <c r="L246" s="91" t="s">
        <v>361</v>
      </c>
      <c r="M246" s="92" t="s">
        <v>347</v>
      </c>
      <c r="N246" s="92" t="s">
        <v>366</v>
      </c>
      <c r="O246" s="92" t="s">
        <v>392</v>
      </c>
      <c r="P246" s="5"/>
      <c r="Q246" s="197">
        <f>Q247+Q250</f>
        <v>14658.6</v>
      </c>
      <c r="R246" s="197">
        <f>R247</f>
        <v>0</v>
      </c>
      <c r="S246" s="197">
        <f>S247</f>
        <v>0</v>
      </c>
    </row>
    <row r="247" spans="1:19" ht="24.75" customHeight="1">
      <c r="A247" s="95"/>
      <c r="B247" s="94"/>
      <c r="C247" s="99"/>
      <c r="D247" s="97"/>
      <c r="E247" s="100"/>
      <c r="F247" s="100"/>
      <c r="G247" s="101"/>
      <c r="H247" s="4" t="s">
        <v>497</v>
      </c>
      <c r="I247" s="12">
        <v>27</v>
      </c>
      <c r="J247" s="6">
        <v>4</v>
      </c>
      <c r="K247" s="15">
        <v>9</v>
      </c>
      <c r="L247" s="91" t="s">
        <v>361</v>
      </c>
      <c r="M247" s="92" t="s">
        <v>347</v>
      </c>
      <c r="N247" s="92" t="s">
        <v>366</v>
      </c>
      <c r="O247" s="92" t="s">
        <v>496</v>
      </c>
      <c r="P247" s="5"/>
      <c r="Q247" s="197">
        <f>Q248+Q249</f>
        <v>8493.2</v>
      </c>
      <c r="R247" s="197">
        <f>R248</f>
        <v>0</v>
      </c>
      <c r="S247" s="197">
        <f>S248</f>
        <v>0</v>
      </c>
    </row>
    <row r="248" spans="1:19" ht="24.75" customHeight="1">
      <c r="A248" s="95"/>
      <c r="B248" s="94"/>
      <c r="C248" s="99"/>
      <c r="D248" s="97"/>
      <c r="E248" s="100"/>
      <c r="F248" s="100"/>
      <c r="G248" s="101"/>
      <c r="H248" s="4" t="s">
        <v>454</v>
      </c>
      <c r="I248" s="12">
        <v>27</v>
      </c>
      <c r="J248" s="6">
        <v>4</v>
      </c>
      <c r="K248" s="15">
        <v>9</v>
      </c>
      <c r="L248" s="91" t="s">
        <v>361</v>
      </c>
      <c r="M248" s="92" t="s">
        <v>347</v>
      </c>
      <c r="N248" s="92" t="s">
        <v>366</v>
      </c>
      <c r="O248" s="92" t="s">
        <v>496</v>
      </c>
      <c r="P248" s="5">
        <v>240</v>
      </c>
      <c r="Q248" s="197">
        <f>'Приложение 8'!Q136</f>
        <v>7993.200000000001</v>
      </c>
      <c r="R248" s="197">
        <v>0</v>
      </c>
      <c r="S248" s="197">
        <v>0</v>
      </c>
    </row>
    <row r="249" spans="1:19" ht="24.75" customHeight="1">
      <c r="A249" s="95"/>
      <c r="B249" s="94"/>
      <c r="C249" s="99"/>
      <c r="D249" s="97"/>
      <c r="E249" s="100"/>
      <c r="F249" s="100"/>
      <c r="G249" s="101"/>
      <c r="H249" s="10" t="s">
        <v>397</v>
      </c>
      <c r="I249" s="5">
        <v>27</v>
      </c>
      <c r="J249" s="6">
        <v>4</v>
      </c>
      <c r="K249" s="15">
        <v>9</v>
      </c>
      <c r="L249" s="91" t="s">
        <v>361</v>
      </c>
      <c r="M249" s="92" t="s">
        <v>347</v>
      </c>
      <c r="N249" s="92" t="s">
        <v>366</v>
      </c>
      <c r="O249" s="92" t="s">
        <v>496</v>
      </c>
      <c r="P249" s="5">
        <v>540</v>
      </c>
      <c r="Q249" s="197">
        <f>'Приложение 8'!Q137</f>
        <v>500</v>
      </c>
      <c r="R249" s="197">
        <v>0</v>
      </c>
      <c r="S249" s="197">
        <v>0</v>
      </c>
    </row>
    <row r="250" spans="1:19" ht="24.75" customHeight="1">
      <c r="A250" s="95"/>
      <c r="B250" s="94"/>
      <c r="C250" s="99"/>
      <c r="D250" s="97"/>
      <c r="E250" s="100"/>
      <c r="F250" s="100"/>
      <c r="G250" s="101"/>
      <c r="H250" s="10" t="s">
        <v>469</v>
      </c>
      <c r="I250" s="5">
        <v>27</v>
      </c>
      <c r="J250" s="6">
        <v>4</v>
      </c>
      <c r="K250" s="15">
        <v>9</v>
      </c>
      <c r="L250" s="91" t="s">
        <v>361</v>
      </c>
      <c r="M250" s="92" t="s">
        <v>347</v>
      </c>
      <c r="N250" s="92" t="s">
        <v>366</v>
      </c>
      <c r="O250" s="92" t="s">
        <v>107</v>
      </c>
      <c r="P250" s="5"/>
      <c r="Q250" s="197">
        <f>Q251+Q252</f>
        <v>6165.4</v>
      </c>
      <c r="R250" s="197">
        <f>R251+R252</f>
        <v>0</v>
      </c>
      <c r="S250" s="197">
        <f>S251+S252</f>
        <v>0</v>
      </c>
    </row>
    <row r="251" spans="1:19" ht="24.75" customHeight="1">
      <c r="A251" s="95"/>
      <c r="B251" s="94"/>
      <c r="C251" s="99"/>
      <c r="D251" s="97"/>
      <c r="E251" s="100"/>
      <c r="F251" s="100"/>
      <c r="G251" s="101"/>
      <c r="H251" s="4" t="s">
        <v>454</v>
      </c>
      <c r="I251" s="12">
        <v>27</v>
      </c>
      <c r="J251" s="6">
        <v>4</v>
      </c>
      <c r="K251" s="15">
        <v>9</v>
      </c>
      <c r="L251" s="91" t="s">
        <v>361</v>
      </c>
      <c r="M251" s="92" t="s">
        <v>347</v>
      </c>
      <c r="N251" s="92" t="s">
        <v>366</v>
      </c>
      <c r="O251" s="92" t="s">
        <v>107</v>
      </c>
      <c r="P251" s="5">
        <v>240</v>
      </c>
      <c r="Q251" s="197">
        <f>'Приложение 8'!Q139</f>
        <v>808.3</v>
      </c>
      <c r="R251" s="197">
        <v>0</v>
      </c>
      <c r="S251" s="197">
        <v>0</v>
      </c>
    </row>
    <row r="252" spans="1:19" ht="24.75" customHeight="1">
      <c r="A252" s="95"/>
      <c r="B252" s="94"/>
      <c r="C252" s="99"/>
      <c r="D252" s="97"/>
      <c r="E252" s="100"/>
      <c r="F252" s="100"/>
      <c r="G252" s="101"/>
      <c r="H252" s="10" t="s">
        <v>397</v>
      </c>
      <c r="I252" s="5">
        <v>27</v>
      </c>
      <c r="J252" s="6">
        <v>4</v>
      </c>
      <c r="K252" s="15">
        <v>9</v>
      </c>
      <c r="L252" s="91" t="s">
        <v>361</v>
      </c>
      <c r="M252" s="92" t="s">
        <v>347</v>
      </c>
      <c r="N252" s="92" t="s">
        <v>366</v>
      </c>
      <c r="O252" s="92" t="s">
        <v>107</v>
      </c>
      <c r="P252" s="5">
        <v>540</v>
      </c>
      <c r="Q252" s="197">
        <f>'Приложение 8'!Q140</f>
        <v>5357.099999999999</v>
      </c>
      <c r="R252" s="197">
        <v>0</v>
      </c>
      <c r="S252" s="197">
        <v>0</v>
      </c>
    </row>
    <row r="253" spans="1:19" ht="24" customHeight="1">
      <c r="A253" s="95"/>
      <c r="B253" s="94"/>
      <c r="C253" s="93"/>
      <c r="D253" s="90"/>
      <c r="E253" s="90"/>
      <c r="F253" s="90"/>
      <c r="G253" s="85"/>
      <c r="H253" s="4" t="s">
        <v>515</v>
      </c>
      <c r="I253" s="9">
        <v>664</v>
      </c>
      <c r="J253" s="15">
        <v>4</v>
      </c>
      <c r="K253" s="15">
        <v>9</v>
      </c>
      <c r="L253" s="91" t="s">
        <v>361</v>
      </c>
      <c r="M253" s="92" t="s">
        <v>347</v>
      </c>
      <c r="N253" s="92" t="s">
        <v>361</v>
      </c>
      <c r="O253" s="92" t="s">
        <v>392</v>
      </c>
      <c r="P253" s="22"/>
      <c r="Q253" s="200">
        <f aca="true" t="shared" si="19" ref="Q253:S254">Q254</f>
        <v>200</v>
      </c>
      <c r="R253" s="200">
        <f t="shared" si="19"/>
        <v>0</v>
      </c>
      <c r="S253" s="200">
        <f t="shared" si="19"/>
        <v>0</v>
      </c>
    </row>
    <row r="254" spans="1:19" ht="23.25" customHeight="1">
      <c r="A254" s="95"/>
      <c r="B254" s="94"/>
      <c r="C254" s="93"/>
      <c r="D254" s="90"/>
      <c r="E254" s="90"/>
      <c r="F254" s="90"/>
      <c r="G254" s="85"/>
      <c r="H254" s="4" t="s">
        <v>516</v>
      </c>
      <c r="I254" s="9">
        <v>664</v>
      </c>
      <c r="J254" s="15">
        <v>4</v>
      </c>
      <c r="K254" s="15">
        <v>9</v>
      </c>
      <c r="L254" s="91" t="s">
        <v>361</v>
      </c>
      <c r="M254" s="92" t="s">
        <v>347</v>
      </c>
      <c r="N254" s="92" t="s">
        <v>361</v>
      </c>
      <c r="O254" s="92" t="s">
        <v>496</v>
      </c>
      <c r="P254" s="22"/>
      <c r="Q254" s="200">
        <f t="shared" si="19"/>
        <v>200</v>
      </c>
      <c r="R254" s="200">
        <f t="shared" si="19"/>
        <v>0</v>
      </c>
      <c r="S254" s="200">
        <f t="shared" si="19"/>
        <v>0</v>
      </c>
    </row>
    <row r="255" spans="1:19" ht="20.25" customHeight="1">
      <c r="A255" s="95"/>
      <c r="B255" s="94"/>
      <c r="C255" s="93"/>
      <c r="D255" s="90"/>
      <c r="E255" s="90"/>
      <c r="F255" s="90"/>
      <c r="G255" s="85"/>
      <c r="H255" s="4" t="s">
        <v>505</v>
      </c>
      <c r="I255" s="9">
        <v>664</v>
      </c>
      <c r="J255" s="15">
        <v>4</v>
      </c>
      <c r="K255" s="15">
        <v>9</v>
      </c>
      <c r="L255" s="91" t="s">
        <v>361</v>
      </c>
      <c r="M255" s="92" t="s">
        <v>347</v>
      </c>
      <c r="N255" s="92" t="s">
        <v>361</v>
      </c>
      <c r="O255" s="92" t="s">
        <v>496</v>
      </c>
      <c r="P255" s="22">
        <v>240</v>
      </c>
      <c r="Q255" s="200">
        <v>200</v>
      </c>
      <c r="R255" s="200">
        <v>0</v>
      </c>
      <c r="S255" s="200">
        <v>0</v>
      </c>
    </row>
    <row r="256" spans="1:19" ht="33.75" customHeight="1">
      <c r="A256" s="95"/>
      <c r="B256" s="94"/>
      <c r="C256" s="99"/>
      <c r="D256" s="97"/>
      <c r="E256" s="100"/>
      <c r="F256" s="100"/>
      <c r="G256" s="101"/>
      <c r="H256" s="4" t="s">
        <v>882</v>
      </c>
      <c r="I256" s="12">
        <v>27</v>
      </c>
      <c r="J256" s="6">
        <v>4</v>
      </c>
      <c r="K256" s="15">
        <v>9</v>
      </c>
      <c r="L256" s="91" t="s">
        <v>361</v>
      </c>
      <c r="M256" s="92" t="s">
        <v>347</v>
      </c>
      <c r="N256" s="92" t="s">
        <v>350</v>
      </c>
      <c r="O256" s="92" t="s">
        <v>392</v>
      </c>
      <c r="P256" s="5"/>
      <c r="Q256" s="197">
        <f aca="true" t="shared" si="20" ref="Q256:S257">Q257</f>
        <v>1027.2</v>
      </c>
      <c r="R256" s="197">
        <f t="shared" si="20"/>
        <v>0</v>
      </c>
      <c r="S256" s="197">
        <f t="shared" si="20"/>
        <v>0</v>
      </c>
    </row>
    <row r="257" spans="1:19" ht="31.5" customHeight="1">
      <c r="A257" s="95"/>
      <c r="B257" s="94"/>
      <c r="C257" s="99"/>
      <c r="D257" s="97"/>
      <c r="E257" s="100"/>
      <c r="F257" s="100"/>
      <c r="G257" s="101"/>
      <c r="H257" s="4" t="s">
        <v>33</v>
      </c>
      <c r="I257" s="12">
        <v>27</v>
      </c>
      <c r="J257" s="6">
        <v>4</v>
      </c>
      <c r="K257" s="15">
        <v>9</v>
      </c>
      <c r="L257" s="91" t="s">
        <v>361</v>
      </c>
      <c r="M257" s="92" t="s">
        <v>347</v>
      </c>
      <c r="N257" s="92" t="s">
        <v>350</v>
      </c>
      <c r="O257" s="92" t="s">
        <v>32</v>
      </c>
      <c r="P257" s="5"/>
      <c r="Q257" s="197">
        <f t="shared" si="20"/>
        <v>1027.2</v>
      </c>
      <c r="R257" s="197">
        <f t="shared" si="20"/>
        <v>0</v>
      </c>
      <c r="S257" s="197">
        <f t="shared" si="20"/>
        <v>0</v>
      </c>
    </row>
    <row r="258" spans="1:19" ht="22.5" customHeight="1">
      <c r="A258" s="95"/>
      <c r="B258" s="94"/>
      <c r="C258" s="99"/>
      <c r="D258" s="97"/>
      <c r="E258" s="100"/>
      <c r="F258" s="100"/>
      <c r="G258" s="101"/>
      <c r="H258" s="4" t="s">
        <v>397</v>
      </c>
      <c r="I258" s="12">
        <v>27</v>
      </c>
      <c r="J258" s="6">
        <v>4</v>
      </c>
      <c r="K258" s="15">
        <v>9</v>
      </c>
      <c r="L258" s="91" t="s">
        <v>361</v>
      </c>
      <c r="M258" s="92" t="s">
        <v>347</v>
      </c>
      <c r="N258" s="92" t="s">
        <v>350</v>
      </c>
      <c r="O258" s="92" t="s">
        <v>32</v>
      </c>
      <c r="P258" s="5">
        <v>540</v>
      </c>
      <c r="Q258" s="197">
        <f>'Приложение 8'!Q143</f>
        <v>1027.2</v>
      </c>
      <c r="R258" s="197">
        <v>0</v>
      </c>
      <c r="S258" s="197">
        <v>0</v>
      </c>
    </row>
    <row r="259" spans="1:19" ht="33.75" customHeight="1">
      <c r="A259" s="95"/>
      <c r="B259" s="94"/>
      <c r="C259" s="99"/>
      <c r="D259" s="97"/>
      <c r="E259" s="100"/>
      <c r="F259" s="100"/>
      <c r="G259" s="101"/>
      <c r="H259" s="4" t="s">
        <v>514</v>
      </c>
      <c r="I259" s="12">
        <v>27</v>
      </c>
      <c r="J259" s="6">
        <v>4</v>
      </c>
      <c r="K259" s="15">
        <v>9</v>
      </c>
      <c r="L259" s="91" t="s">
        <v>361</v>
      </c>
      <c r="M259" s="92" t="s">
        <v>347</v>
      </c>
      <c r="N259" s="92" t="s">
        <v>368</v>
      </c>
      <c r="O259" s="92" t="s">
        <v>392</v>
      </c>
      <c r="P259" s="5"/>
      <c r="Q259" s="197">
        <f>Q260+Q262</f>
        <v>2688.2999999999997</v>
      </c>
      <c r="R259" s="197">
        <f aca="true" t="shared" si="21" ref="Q259:S260">R260</f>
        <v>0</v>
      </c>
      <c r="S259" s="197">
        <f t="shared" si="21"/>
        <v>0</v>
      </c>
    </row>
    <row r="260" spans="1:19" ht="32.25" customHeight="1">
      <c r="A260" s="95"/>
      <c r="B260" s="94"/>
      <c r="C260" s="99"/>
      <c r="D260" s="97"/>
      <c r="E260" s="100"/>
      <c r="F260" s="100"/>
      <c r="G260" s="101"/>
      <c r="H260" s="4" t="s">
        <v>513</v>
      </c>
      <c r="I260" s="12">
        <v>27</v>
      </c>
      <c r="J260" s="6">
        <v>4</v>
      </c>
      <c r="K260" s="15">
        <v>9</v>
      </c>
      <c r="L260" s="91" t="s">
        <v>361</v>
      </c>
      <c r="M260" s="92" t="s">
        <v>347</v>
      </c>
      <c r="N260" s="92" t="s">
        <v>368</v>
      </c>
      <c r="O260" s="92" t="s">
        <v>15</v>
      </c>
      <c r="P260" s="5"/>
      <c r="Q260" s="197">
        <f t="shared" si="21"/>
        <v>2237.7</v>
      </c>
      <c r="R260" s="197">
        <f t="shared" si="21"/>
        <v>0</v>
      </c>
      <c r="S260" s="197">
        <f t="shared" si="21"/>
        <v>0</v>
      </c>
    </row>
    <row r="261" spans="1:19" ht="24.75" customHeight="1">
      <c r="A261" s="95"/>
      <c r="B261" s="94"/>
      <c r="C261" s="99"/>
      <c r="D261" s="97"/>
      <c r="E261" s="100"/>
      <c r="F261" s="100"/>
      <c r="G261" s="101"/>
      <c r="H261" s="4" t="s">
        <v>512</v>
      </c>
      <c r="I261" s="12">
        <v>27</v>
      </c>
      <c r="J261" s="6">
        <v>4</v>
      </c>
      <c r="K261" s="15">
        <v>9</v>
      </c>
      <c r="L261" s="91" t="s">
        <v>361</v>
      </c>
      <c r="M261" s="92" t="s">
        <v>347</v>
      </c>
      <c r="N261" s="92" t="s">
        <v>368</v>
      </c>
      <c r="O261" s="92" t="s">
        <v>15</v>
      </c>
      <c r="P261" s="5">
        <v>540</v>
      </c>
      <c r="Q261" s="197">
        <f>'Приложение 8'!Q146</f>
        <v>2237.7</v>
      </c>
      <c r="R261" s="197">
        <v>0</v>
      </c>
      <c r="S261" s="197">
        <v>0</v>
      </c>
    </row>
    <row r="262" spans="1:19" ht="24.75" customHeight="1">
      <c r="A262" s="95"/>
      <c r="B262" s="94"/>
      <c r="C262" s="99"/>
      <c r="D262" s="97"/>
      <c r="E262" s="100"/>
      <c r="F262" s="100"/>
      <c r="G262" s="101"/>
      <c r="H262" s="4" t="str">
        <f>'Приложение 8'!H147</f>
        <v>Осуществление дорожной деятельности в отношении автомобильных дорог общего пользования местного значения</v>
      </c>
      <c r="I262" s="12">
        <f>'Приложение 8'!I147</f>
        <v>27</v>
      </c>
      <c r="J262" s="15">
        <f>'Приложение 8'!J147</f>
        <v>4</v>
      </c>
      <c r="K262" s="15">
        <f>'Приложение 8'!K147</f>
        <v>9</v>
      </c>
      <c r="L262" s="91" t="str">
        <f>'Приложение 8'!L147</f>
        <v>04</v>
      </c>
      <c r="M262" s="92" t="str">
        <f>'Приложение 8'!M147</f>
        <v>0</v>
      </c>
      <c r="N262" s="92" t="str">
        <f>'Приложение 8'!N147</f>
        <v>06</v>
      </c>
      <c r="O262" s="92" t="str">
        <f>'Приложение 8'!O147</f>
        <v>S1350</v>
      </c>
      <c r="P262" s="5" t="s">
        <v>393</v>
      </c>
      <c r="Q262" s="197">
        <f>'Приложение 8'!Q147</f>
        <v>450.6</v>
      </c>
      <c r="R262" s="197">
        <f>'Приложение 8'!R147</f>
        <v>0</v>
      </c>
      <c r="S262" s="197">
        <f>'Приложение 8'!S147</f>
        <v>0</v>
      </c>
    </row>
    <row r="263" spans="1:19" ht="24.75" customHeight="1">
      <c r="A263" s="95"/>
      <c r="B263" s="94"/>
      <c r="C263" s="99"/>
      <c r="D263" s="97"/>
      <c r="E263" s="100"/>
      <c r="F263" s="100"/>
      <c r="G263" s="101"/>
      <c r="H263" s="4" t="str">
        <f>'Приложение 8'!H148</f>
        <v> Иные межбюджетные трансферты</v>
      </c>
      <c r="I263" s="12">
        <f>'Приложение 8'!I148</f>
        <v>27</v>
      </c>
      <c r="J263" s="15">
        <f>'Приложение 8'!J148</f>
        <v>4</v>
      </c>
      <c r="K263" s="15">
        <f>'Приложение 8'!K148</f>
        <v>9</v>
      </c>
      <c r="L263" s="91" t="str">
        <f>'Приложение 8'!L148</f>
        <v>04</v>
      </c>
      <c r="M263" s="92" t="str">
        <f>'Приложение 8'!M148</f>
        <v>0</v>
      </c>
      <c r="N263" s="92" t="str">
        <f>'Приложение 8'!N148</f>
        <v>06</v>
      </c>
      <c r="O263" s="92" t="str">
        <f>'Приложение 8'!O148</f>
        <v>S1350</v>
      </c>
      <c r="P263" s="5">
        <f>'Приложение 8'!P148</f>
        <v>540</v>
      </c>
      <c r="Q263" s="197">
        <f>'Приложение 8'!Q148</f>
        <v>450.6</v>
      </c>
      <c r="R263" s="197">
        <f>'Приложение 8'!R148</f>
        <v>0</v>
      </c>
      <c r="S263" s="197">
        <f>'Приложение 8'!S148</f>
        <v>0</v>
      </c>
    </row>
    <row r="264" spans="1:19" ht="24.75" customHeight="1">
      <c r="A264" s="95"/>
      <c r="B264" s="94"/>
      <c r="C264" s="99"/>
      <c r="D264" s="97"/>
      <c r="E264" s="100"/>
      <c r="F264" s="100"/>
      <c r="G264" s="101"/>
      <c r="H264" s="4" t="str">
        <f>'Приложение 8'!H149</f>
        <v>Основное мероприятие "Разработка проектно-сметной документации"</v>
      </c>
      <c r="I264" s="12">
        <f>'Приложение 8'!I149</f>
        <v>27</v>
      </c>
      <c r="J264" s="15">
        <f>'Приложение 8'!J149</f>
        <v>4</v>
      </c>
      <c r="K264" s="15">
        <f>'Приложение 8'!K149</f>
        <v>9</v>
      </c>
      <c r="L264" s="91" t="str">
        <f>'Приложение 8'!L149</f>
        <v>04</v>
      </c>
      <c r="M264" s="92" t="str">
        <f>'Приложение 8'!M149</f>
        <v>0</v>
      </c>
      <c r="N264" s="92" t="str">
        <f>'Приложение 8'!N149</f>
        <v>07</v>
      </c>
      <c r="O264" s="92" t="str">
        <f>'Приложение 8'!O149</f>
        <v>00000</v>
      </c>
      <c r="P264" s="5" t="s">
        <v>393</v>
      </c>
      <c r="Q264" s="197">
        <f>Q265</f>
        <v>1911</v>
      </c>
      <c r="R264" s="197">
        <f>'Приложение 8'!R149</f>
        <v>0</v>
      </c>
      <c r="S264" s="197">
        <f>'Приложение 8'!S149</f>
        <v>0</v>
      </c>
    </row>
    <row r="265" spans="1:19" ht="24.75" customHeight="1">
      <c r="A265" s="95"/>
      <c r="B265" s="94"/>
      <c r="C265" s="99"/>
      <c r="D265" s="97"/>
      <c r="E265" s="100"/>
      <c r="F265" s="100"/>
      <c r="G265" s="101"/>
      <c r="H265" s="4" t="str">
        <f>'Приложение 8'!H150</f>
        <v>Мероприятия в сфере дорожного хозяйства</v>
      </c>
      <c r="I265" s="12">
        <f>'Приложение 8'!I150</f>
        <v>27</v>
      </c>
      <c r="J265" s="15">
        <f>'Приложение 8'!J150</f>
        <v>4</v>
      </c>
      <c r="K265" s="15">
        <f>'Приложение 8'!K150</f>
        <v>9</v>
      </c>
      <c r="L265" s="91" t="str">
        <f>'Приложение 8'!L150</f>
        <v>04</v>
      </c>
      <c r="M265" s="92" t="str">
        <f>'Приложение 8'!M150</f>
        <v>0</v>
      </c>
      <c r="N265" s="92" t="str">
        <f>'Приложение 8'!N150</f>
        <v>07</v>
      </c>
      <c r="O265" s="92" t="str">
        <f>'Приложение 8'!O150</f>
        <v>20300</v>
      </c>
      <c r="P265" s="5" t="s">
        <v>393</v>
      </c>
      <c r="Q265" s="197">
        <f>Q266+Q267</f>
        <v>1911</v>
      </c>
      <c r="R265" s="197">
        <f>'Приложение 8'!R150</f>
        <v>0</v>
      </c>
      <c r="S265" s="197">
        <f>'Приложение 8'!S150</f>
        <v>0</v>
      </c>
    </row>
    <row r="266" spans="1:19" ht="24.75" customHeight="1">
      <c r="A266" s="95"/>
      <c r="B266" s="94"/>
      <c r="C266" s="99"/>
      <c r="D266" s="97"/>
      <c r="E266" s="100"/>
      <c r="F266" s="100"/>
      <c r="G266" s="101"/>
      <c r="H266" s="4" t="str">
        <f>'Приложение 8'!H151</f>
        <v>Иные закупки товаров, работ и услуг для обеспечения государственных (муниципальных) нужд</v>
      </c>
      <c r="I266" s="12">
        <f>'Приложение 8'!I151</f>
        <v>27</v>
      </c>
      <c r="J266" s="15">
        <f>'Приложение 8'!J151</f>
        <v>4</v>
      </c>
      <c r="K266" s="15">
        <f>'Приложение 8'!K151</f>
        <v>9</v>
      </c>
      <c r="L266" s="91" t="str">
        <f>'Приложение 8'!L151</f>
        <v>04</v>
      </c>
      <c r="M266" s="92" t="str">
        <f>'Приложение 8'!M151</f>
        <v>0</v>
      </c>
      <c r="N266" s="92" t="str">
        <f>'Приложение 8'!N151</f>
        <v>07</v>
      </c>
      <c r="O266" s="92" t="str">
        <f>'Приложение 8'!O151</f>
        <v>20300</v>
      </c>
      <c r="P266" s="5">
        <f>'Приложение 8'!P151</f>
        <v>240</v>
      </c>
      <c r="Q266" s="197">
        <f>'Приложение 8'!Q151</f>
        <v>911</v>
      </c>
      <c r="R266" s="197">
        <f>'Приложение 8'!R151</f>
        <v>0</v>
      </c>
      <c r="S266" s="197">
        <f>'Приложение 8'!S151</f>
        <v>0</v>
      </c>
    </row>
    <row r="267" spans="1:19" ht="24.75" customHeight="1">
      <c r="A267" s="95"/>
      <c r="B267" s="94"/>
      <c r="C267" s="99"/>
      <c r="D267" s="97"/>
      <c r="E267" s="100"/>
      <c r="F267" s="100"/>
      <c r="G267" s="101"/>
      <c r="H267" s="4" t="str">
        <f>'Приложение 8'!H152</f>
        <v> Иные межбюджетные трансферты</v>
      </c>
      <c r="I267" s="12">
        <f>'Приложение 8'!I152</f>
        <v>27</v>
      </c>
      <c r="J267" s="15">
        <f>'Приложение 8'!J152</f>
        <v>4</v>
      </c>
      <c r="K267" s="15">
        <f>'Приложение 8'!K152</f>
        <v>9</v>
      </c>
      <c r="L267" s="91" t="str">
        <f>'Приложение 8'!L152</f>
        <v>04</v>
      </c>
      <c r="M267" s="92" t="str">
        <f>'Приложение 8'!M152</f>
        <v>0</v>
      </c>
      <c r="N267" s="92" t="str">
        <f>'Приложение 8'!N152</f>
        <v>07</v>
      </c>
      <c r="O267" s="92" t="str">
        <f>'Приложение 8'!O152</f>
        <v>20300</v>
      </c>
      <c r="P267" s="5">
        <f>'Приложение 8'!P152</f>
        <v>540</v>
      </c>
      <c r="Q267" s="197">
        <f>'Приложение 8'!Q152</f>
        <v>1000</v>
      </c>
      <c r="R267" s="197">
        <f>'Приложение 8'!R152</f>
        <v>0</v>
      </c>
      <c r="S267" s="197">
        <f>'Приложение 8'!S152</f>
        <v>0</v>
      </c>
    </row>
    <row r="268" spans="1:19" ht="35.25" customHeight="1">
      <c r="A268" s="95"/>
      <c r="B268" s="94"/>
      <c r="C268" s="99"/>
      <c r="D268" s="97"/>
      <c r="E268" s="109"/>
      <c r="F268" s="109"/>
      <c r="G268" s="101">
        <v>530</v>
      </c>
      <c r="H268" s="4" t="s">
        <v>522</v>
      </c>
      <c r="I268" s="9">
        <v>27</v>
      </c>
      <c r="J268" s="15">
        <v>4</v>
      </c>
      <c r="K268" s="15">
        <v>9</v>
      </c>
      <c r="L268" s="91" t="s">
        <v>521</v>
      </c>
      <c r="M268" s="92" t="s">
        <v>347</v>
      </c>
      <c r="N268" s="92" t="s">
        <v>357</v>
      </c>
      <c r="O268" s="92" t="s">
        <v>392</v>
      </c>
      <c r="P268" s="5"/>
      <c r="Q268" s="197">
        <f>Q269</f>
        <v>0</v>
      </c>
      <c r="R268" s="197">
        <f>R269+R272+R275</f>
        <v>14674.4</v>
      </c>
      <c r="S268" s="197">
        <f>S269+S272+S275</f>
        <v>15332.4</v>
      </c>
    </row>
    <row r="269" spans="1:19" ht="29.25" customHeight="1">
      <c r="A269" s="95"/>
      <c r="B269" s="94"/>
      <c r="C269" s="99"/>
      <c r="D269" s="97"/>
      <c r="E269" s="109"/>
      <c r="F269" s="109"/>
      <c r="G269" s="101"/>
      <c r="H269" s="10" t="s">
        <v>411</v>
      </c>
      <c r="I269" s="9">
        <v>27</v>
      </c>
      <c r="J269" s="15">
        <v>4</v>
      </c>
      <c r="K269" s="15">
        <v>9</v>
      </c>
      <c r="L269" s="91" t="s">
        <v>521</v>
      </c>
      <c r="M269" s="92" t="s">
        <v>347</v>
      </c>
      <c r="N269" s="92" t="s">
        <v>348</v>
      </c>
      <c r="O269" s="92" t="s">
        <v>392</v>
      </c>
      <c r="P269" s="5"/>
      <c r="Q269" s="197">
        <f>Q270</f>
        <v>0</v>
      </c>
      <c r="R269" s="197">
        <f>R270</f>
        <v>3241.5</v>
      </c>
      <c r="S269" s="197">
        <f>S270</f>
        <v>3241.5</v>
      </c>
    </row>
    <row r="270" spans="1:19" ht="35.25" customHeight="1">
      <c r="A270" s="95"/>
      <c r="B270" s="94"/>
      <c r="C270" s="99"/>
      <c r="D270" s="97"/>
      <c r="E270" s="109"/>
      <c r="F270" s="109"/>
      <c r="G270" s="101"/>
      <c r="H270" s="10" t="s">
        <v>469</v>
      </c>
      <c r="I270" s="9">
        <v>27</v>
      </c>
      <c r="J270" s="15">
        <v>4</v>
      </c>
      <c r="K270" s="15">
        <v>9</v>
      </c>
      <c r="L270" s="91" t="s">
        <v>521</v>
      </c>
      <c r="M270" s="92" t="s">
        <v>347</v>
      </c>
      <c r="N270" s="92" t="s">
        <v>348</v>
      </c>
      <c r="O270" s="92" t="s">
        <v>107</v>
      </c>
      <c r="P270" s="5"/>
      <c r="Q270" s="197">
        <f>Q271</f>
        <v>0</v>
      </c>
      <c r="R270" s="197">
        <f>R271</f>
        <v>3241.5</v>
      </c>
      <c r="S270" s="197">
        <f>S271</f>
        <v>3241.5</v>
      </c>
    </row>
    <row r="271" spans="1:19" ht="26.25" customHeight="1">
      <c r="A271" s="95"/>
      <c r="B271" s="94"/>
      <c r="C271" s="99"/>
      <c r="D271" s="97"/>
      <c r="E271" s="109"/>
      <c r="F271" s="109"/>
      <c r="G271" s="101"/>
      <c r="H271" s="29" t="s">
        <v>454</v>
      </c>
      <c r="I271" s="9">
        <v>27</v>
      </c>
      <c r="J271" s="15">
        <v>4</v>
      </c>
      <c r="K271" s="15">
        <v>9</v>
      </c>
      <c r="L271" s="91" t="s">
        <v>521</v>
      </c>
      <c r="M271" s="92" t="s">
        <v>347</v>
      </c>
      <c r="N271" s="92" t="s">
        <v>348</v>
      </c>
      <c r="O271" s="92" t="s">
        <v>107</v>
      </c>
      <c r="P271" s="5">
        <v>240</v>
      </c>
      <c r="Q271" s="197">
        <v>0</v>
      </c>
      <c r="R271" s="197">
        <v>3241.5</v>
      </c>
      <c r="S271" s="197">
        <v>3241.5</v>
      </c>
    </row>
    <row r="272" spans="1:19" ht="25.5" customHeight="1">
      <c r="A272" s="95"/>
      <c r="B272" s="94"/>
      <c r="C272" s="99"/>
      <c r="D272" s="97"/>
      <c r="E272" s="109"/>
      <c r="F272" s="109"/>
      <c r="G272" s="101"/>
      <c r="H272" s="10" t="s">
        <v>525</v>
      </c>
      <c r="I272" s="9">
        <v>27</v>
      </c>
      <c r="J272" s="15">
        <v>4</v>
      </c>
      <c r="K272" s="15">
        <v>9</v>
      </c>
      <c r="L272" s="91" t="s">
        <v>521</v>
      </c>
      <c r="M272" s="92" t="s">
        <v>347</v>
      </c>
      <c r="N272" s="92" t="s">
        <v>365</v>
      </c>
      <c r="O272" s="92" t="s">
        <v>392</v>
      </c>
      <c r="P272" s="5"/>
      <c r="Q272" s="197">
        <f aca="true" t="shared" si="22" ref="Q272:S273">Q273</f>
        <v>0</v>
      </c>
      <c r="R272" s="197">
        <f t="shared" si="22"/>
        <v>10401.8</v>
      </c>
      <c r="S272" s="197">
        <f t="shared" si="22"/>
        <v>11059.8</v>
      </c>
    </row>
    <row r="273" spans="1:19" ht="33" customHeight="1">
      <c r="A273" s="95"/>
      <c r="B273" s="94"/>
      <c r="C273" s="99"/>
      <c r="D273" s="97"/>
      <c r="E273" s="109"/>
      <c r="F273" s="109"/>
      <c r="G273" s="101">
        <v>611</v>
      </c>
      <c r="H273" s="10" t="s">
        <v>469</v>
      </c>
      <c r="I273" s="9">
        <v>27</v>
      </c>
      <c r="J273" s="15">
        <v>4</v>
      </c>
      <c r="K273" s="15">
        <v>9</v>
      </c>
      <c r="L273" s="91" t="s">
        <v>521</v>
      </c>
      <c r="M273" s="92" t="s">
        <v>347</v>
      </c>
      <c r="N273" s="92" t="s">
        <v>365</v>
      </c>
      <c r="O273" s="92" t="s">
        <v>107</v>
      </c>
      <c r="P273" s="5"/>
      <c r="Q273" s="197">
        <f t="shared" si="22"/>
        <v>0</v>
      </c>
      <c r="R273" s="197">
        <f t="shared" si="22"/>
        <v>10401.8</v>
      </c>
      <c r="S273" s="197">
        <f t="shared" si="22"/>
        <v>11059.8</v>
      </c>
    </row>
    <row r="274" spans="1:19" ht="27.75" customHeight="1">
      <c r="A274" s="95"/>
      <c r="B274" s="94"/>
      <c r="C274" s="99"/>
      <c r="D274" s="97"/>
      <c r="E274" s="100"/>
      <c r="F274" s="100"/>
      <c r="G274" s="101"/>
      <c r="H274" s="29" t="s">
        <v>454</v>
      </c>
      <c r="I274" s="5">
        <v>27</v>
      </c>
      <c r="J274" s="6">
        <v>4</v>
      </c>
      <c r="K274" s="6">
        <v>9</v>
      </c>
      <c r="L274" s="91" t="s">
        <v>521</v>
      </c>
      <c r="M274" s="92" t="s">
        <v>347</v>
      </c>
      <c r="N274" s="92" t="s">
        <v>365</v>
      </c>
      <c r="O274" s="92" t="s">
        <v>107</v>
      </c>
      <c r="P274" s="5">
        <v>240</v>
      </c>
      <c r="Q274" s="195">
        <v>0</v>
      </c>
      <c r="R274" s="195">
        <v>10401.8</v>
      </c>
      <c r="S274" s="195">
        <v>11059.8</v>
      </c>
    </row>
    <row r="275" spans="1:19" ht="24.75" customHeight="1">
      <c r="A275" s="95"/>
      <c r="B275" s="94"/>
      <c r="C275" s="99"/>
      <c r="D275" s="97"/>
      <c r="E275" s="100"/>
      <c r="F275" s="100"/>
      <c r="G275" s="101"/>
      <c r="H275" s="4" t="s">
        <v>555</v>
      </c>
      <c r="I275" s="12">
        <v>27</v>
      </c>
      <c r="J275" s="6">
        <v>4</v>
      </c>
      <c r="K275" s="6">
        <v>9</v>
      </c>
      <c r="L275" s="91" t="s">
        <v>521</v>
      </c>
      <c r="M275" s="92" t="s">
        <v>347</v>
      </c>
      <c r="N275" s="92" t="s">
        <v>366</v>
      </c>
      <c r="O275" s="92" t="s">
        <v>392</v>
      </c>
      <c r="P275" s="5"/>
      <c r="Q275" s="197">
        <f aca="true" t="shared" si="23" ref="Q275:S276">Q276</f>
        <v>0</v>
      </c>
      <c r="R275" s="197">
        <f t="shared" si="23"/>
        <v>1031.1</v>
      </c>
      <c r="S275" s="197">
        <f t="shared" si="23"/>
        <v>1031.1</v>
      </c>
    </row>
    <row r="276" spans="1:19" ht="39" customHeight="1">
      <c r="A276" s="95"/>
      <c r="B276" s="94"/>
      <c r="C276" s="99"/>
      <c r="D276" s="97"/>
      <c r="E276" s="100"/>
      <c r="F276" s="100"/>
      <c r="G276" s="101"/>
      <c r="H276" s="4" t="s">
        <v>33</v>
      </c>
      <c r="I276" s="12">
        <v>27</v>
      </c>
      <c r="J276" s="6">
        <v>4</v>
      </c>
      <c r="K276" s="6">
        <v>9</v>
      </c>
      <c r="L276" s="91" t="s">
        <v>521</v>
      </c>
      <c r="M276" s="92" t="s">
        <v>347</v>
      </c>
      <c r="N276" s="92" t="s">
        <v>366</v>
      </c>
      <c r="O276" s="92" t="s">
        <v>32</v>
      </c>
      <c r="P276" s="5"/>
      <c r="Q276" s="197">
        <f t="shared" si="23"/>
        <v>0</v>
      </c>
      <c r="R276" s="197">
        <f t="shared" si="23"/>
        <v>1031.1</v>
      </c>
      <c r="S276" s="197">
        <f t="shared" si="23"/>
        <v>1031.1</v>
      </c>
    </row>
    <row r="277" spans="1:19" ht="24.75" customHeight="1">
      <c r="A277" s="95"/>
      <c r="B277" s="94"/>
      <c r="C277" s="99"/>
      <c r="D277" s="97"/>
      <c r="E277" s="100"/>
      <c r="F277" s="100"/>
      <c r="G277" s="101"/>
      <c r="H277" s="4" t="s">
        <v>454</v>
      </c>
      <c r="I277" s="12">
        <v>27</v>
      </c>
      <c r="J277" s="6">
        <v>4</v>
      </c>
      <c r="K277" s="6">
        <v>9</v>
      </c>
      <c r="L277" s="91" t="s">
        <v>521</v>
      </c>
      <c r="M277" s="92" t="s">
        <v>347</v>
      </c>
      <c r="N277" s="92" t="s">
        <v>366</v>
      </c>
      <c r="O277" s="92" t="s">
        <v>32</v>
      </c>
      <c r="P277" s="5">
        <v>240</v>
      </c>
      <c r="Q277" s="197">
        <v>0</v>
      </c>
      <c r="R277" s="197">
        <v>1031.1</v>
      </c>
      <c r="S277" s="197">
        <v>1031.1</v>
      </c>
    </row>
    <row r="278" spans="1:19" ht="24.75" customHeight="1">
      <c r="A278" s="95"/>
      <c r="B278" s="94"/>
      <c r="C278" s="99"/>
      <c r="D278" s="97"/>
      <c r="E278" s="100"/>
      <c r="F278" s="100"/>
      <c r="G278" s="101"/>
      <c r="H278" s="4" t="str">
        <f>'Приложение 8'!H163</f>
        <v>Резервные фонды местных администраций</v>
      </c>
      <c r="I278" s="12">
        <f>'Приложение 8'!I163</f>
        <v>27</v>
      </c>
      <c r="J278" s="6">
        <f>'Приложение 8'!J163</f>
        <v>4</v>
      </c>
      <c r="K278" s="6">
        <f>'Приложение 8'!K163</f>
        <v>9</v>
      </c>
      <c r="L278" s="91" t="str">
        <f>'Приложение 8'!L163</f>
        <v>70</v>
      </c>
      <c r="M278" s="92" t="str">
        <f>'Приложение 8'!M163</f>
        <v>5</v>
      </c>
      <c r="N278" s="92" t="str">
        <f>'Приложение 8'!N163</f>
        <v>00</v>
      </c>
      <c r="O278" s="92" t="str">
        <f>'Приложение 8'!O163</f>
        <v>00000</v>
      </c>
      <c r="P278" s="5" t="s">
        <v>393</v>
      </c>
      <c r="Q278" s="197">
        <f>'Приложение 8'!Q163</f>
        <v>576</v>
      </c>
      <c r="R278" s="197">
        <f>'Приложение 8'!R163</f>
        <v>0</v>
      </c>
      <c r="S278" s="197">
        <f>'Приложение 8'!S163</f>
        <v>0</v>
      </c>
    </row>
    <row r="279" spans="1:19" ht="24.75" customHeight="1">
      <c r="A279" s="95"/>
      <c r="B279" s="94"/>
      <c r="C279" s="99"/>
      <c r="D279" s="97"/>
      <c r="E279" s="100"/>
      <c r="F279" s="100"/>
      <c r="G279" s="101"/>
      <c r="H279" s="4" t="str">
        <f>'Приложение 8'!H164</f>
        <v>Иные закупки товаров, работ и услуг для обеспечения государственных (муниципальных) нужд</v>
      </c>
      <c r="I279" s="12">
        <f>'Приложение 8'!I164</f>
        <v>27</v>
      </c>
      <c r="J279" s="6">
        <f>'Приложение 8'!J164</f>
        <v>4</v>
      </c>
      <c r="K279" s="6">
        <f>'Приложение 8'!K164</f>
        <v>9</v>
      </c>
      <c r="L279" s="91" t="str">
        <f>'Приложение 8'!L164</f>
        <v>70</v>
      </c>
      <c r="M279" s="92" t="str">
        <f>'Приложение 8'!M164</f>
        <v>5</v>
      </c>
      <c r="N279" s="92" t="str">
        <f>'Приложение 8'!N164</f>
        <v>00</v>
      </c>
      <c r="O279" s="92" t="str">
        <f>'Приложение 8'!O164</f>
        <v>00000</v>
      </c>
      <c r="P279" s="5">
        <f>'Приложение 8'!P164</f>
        <v>240</v>
      </c>
      <c r="Q279" s="197">
        <f>'Приложение 8'!Q164</f>
        <v>576</v>
      </c>
      <c r="R279" s="197">
        <f>'Приложение 8'!R164</f>
        <v>0</v>
      </c>
      <c r="S279" s="197">
        <f>'Приложение 8'!S164</f>
        <v>0</v>
      </c>
    </row>
    <row r="280" spans="1:19" s="171" customFormat="1" ht="24.75" customHeight="1">
      <c r="A280" s="135"/>
      <c r="B280" s="136"/>
      <c r="C280" s="146"/>
      <c r="D280" s="143"/>
      <c r="E280" s="138"/>
      <c r="F280" s="138"/>
      <c r="G280" s="148">
        <v>850</v>
      </c>
      <c r="H280" s="142" t="s">
        <v>332</v>
      </c>
      <c r="I280" s="145">
        <v>27</v>
      </c>
      <c r="J280" s="141">
        <v>4</v>
      </c>
      <c r="K280" s="141">
        <v>12</v>
      </c>
      <c r="L280" s="133"/>
      <c r="M280" s="134"/>
      <c r="N280" s="134"/>
      <c r="O280" s="134"/>
      <c r="P280" s="139"/>
      <c r="Q280" s="198">
        <f>Q281+Q304</f>
        <v>9728.900000000001</v>
      </c>
      <c r="R280" s="198">
        <f>R281+R304</f>
        <v>7150.300000000001</v>
      </c>
      <c r="S280" s="198">
        <f>S281+S304</f>
        <v>7150.300000000001</v>
      </c>
    </row>
    <row r="281" spans="1:19" ht="40.5" customHeight="1">
      <c r="A281" s="95"/>
      <c r="B281" s="94"/>
      <c r="C281" s="93"/>
      <c r="D281" s="97"/>
      <c r="E281" s="111"/>
      <c r="F281" s="111"/>
      <c r="G281" s="85"/>
      <c r="H281" s="188" t="s">
        <v>139</v>
      </c>
      <c r="I281" s="5">
        <v>27</v>
      </c>
      <c r="J281" s="6">
        <v>4</v>
      </c>
      <c r="K281" s="6">
        <v>12</v>
      </c>
      <c r="L281" s="91" t="s">
        <v>448</v>
      </c>
      <c r="M281" s="92" t="s">
        <v>347</v>
      </c>
      <c r="N281" s="92" t="s">
        <v>357</v>
      </c>
      <c r="O281" s="92" t="s">
        <v>392</v>
      </c>
      <c r="P281" s="5"/>
      <c r="Q281" s="197">
        <f>Q282+Q296+Q301+Q285+Q289+Q293</f>
        <v>9209.2</v>
      </c>
      <c r="R281" s="197">
        <f>R282+R296+R301+R285+R289+R293</f>
        <v>6656.700000000001</v>
      </c>
      <c r="S281" s="197">
        <f>S282+S296+S301+S285+S289+S293</f>
        <v>6656.700000000001</v>
      </c>
    </row>
    <row r="282" spans="1:19" ht="36" customHeight="1">
      <c r="A282" s="95"/>
      <c r="B282" s="94"/>
      <c r="C282" s="93"/>
      <c r="D282" s="97"/>
      <c r="E282" s="111"/>
      <c r="F282" s="111"/>
      <c r="G282" s="85"/>
      <c r="H282" s="104" t="s">
        <v>106</v>
      </c>
      <c r="I282" s="5">
        <v>27</v>
      </c>
      <c r="J282" s="18">
        <v>4</v>
      </c>
      <c r="K282" s="15">
        <v>12</v>
      </c>
      <c r="L282" s="91" t="s">
        <v>448</v>
      </c>
      <c r="M282" s="92" t="s">
        <v>347</v>
      </c>
      <c r="N282" s="92" t="s">
        <v>348</v>
      </c>
      <c r="O282" s="92" t="s">
        <v>392</v>
      </c>
      <c r="P282" s="5"/>
      <c r="Q282" s="197">
        <f aca="true" t="shared" si="24" ref="Q282:S283">Q283</f>
        <v>240</v>
      </c>
      <c r="R282" s="197">
        <f t="shared" si="24"/>
        <v>200</v>
      </c>
      <c r="S282" s="197">
        <f t="shared" si="24"/>
        <v>200</v>
      </c>
    </row>
    <row r="283" spans="1:19" ht="21.75" customHeight="1">
      <c r="A283" s="95"/>
      <c r="B283" s="94"/>
      <c r="C283" s="93"/>
      <c r="D283" s="97"/>
      <c r="E283" s="111"/>
      <c r="F283" s="111"/>
      <c r="G283" s="85"/>
      <c r="H283" s="104" t="s">
        <v>22</v>
      </c>
      <c r="I283" s="5">
        <v>27</v>
      </c>
      <c r="J283" s="18">
        <v>4</v>
      </c>
      <c r="K283" s="15">
        <v>12</v>
      </c>
      <c r="L283" s="91" t="s">
        <v>448</v>
      </c>
      <c r="M283" s="92" t="s">
        <v>347</v>
      </c>
      <c r="N283" s="92" t="s">
        <v>348</v>
      </c>
      <c r="O283" s="92" t="s">
        <v>23</v>
      </c>
      <c r="P283" s="5"/>
      <c r="Q283" s="197">
        <f t="shared" si="24"/>
        <v>240</v>
      </c>
      <c r="R283" s="197">
        <f t="shared" si="24"/>
        <v>200</v>
      </c>
      <c r="S283" s="197">
        <f t="shared" si="24"/>
        <v>200</v>
      </c>
    </row>
    <row r="284" spans="1:19" ht="24" customHeight="1">
      <c r="A284" s="95"/>
      <c r="B284" s="94"/>
      <c r="C284" s="93"/>
      <c r="D284" s="97"/>
      <c r="E284" s="111"/>
      <c r="F284" s="111"/>
      <c r="G284" s="85"/>
      <c r="H284" s="104" t="s">
        <v>456</v>
      </c>
      <c r="I284" s="5">
        <v>27</v>
      </c>
      <c r="J284" s="18">
        <v>4</v>
      </c>
      <c r="K284" s="15">
        <v>12</v>
      </c>
      <c r="L284" s="91" t="s">
        <v>448</v>
      </c>
      <c r="M284" s="92" t="s">
        <v>347</v>
      </c>
      <c r="N284" s="92" t="s">
        <v>348</v>
      </c>
      <c r="O284" s="92" t="s">
        <v>23</v>
      </c>
      <c r="P284" s="5">
        <v>610</v>
      </c>
      <c r="Q284" s="197">
        <f>'Приложение 8'!Q169</f>
        <v>240</v>
      </c>
      <c r="R284" s="197">
        <f>'Приложение 8'!R169</f>
        <v>200</v>
      </c>
      <c r="S284" s="197">
        <f>'Приложение 8'!S169</f>
        <v>200</v>
      </c>
    </row>
    <row r="285" spans="1:19" ht="24" customHeight="1">
      <c r="A285" s="95"/>
      <c r="B285" s="94"/>
      <c r="C285" s="93"/>
      <c r="D285" s="97"/>
      <c r="E285" s="111"/>
      <c r="F285" s="111"/>
      <c r="G285" s="85"/>
      <c r="H285" s="104" t="s">
        <v>742</v>
      </c>
      <c r="I285" s="7">
        <v>27</v>
      </c>
      <c r="J285" s="18">
        <v>4</v>
      </c>
      <c r="K285" s="15">
        <v>12</v>
      </c>
      <c r="L285" s="91" t="s">
        <v>448</v>
      </c>
      <c r="M285" s="92" t="s">
        <v>347</v>
      </c>
      <c r="N285" s="92" t="s">
        <v>365</v>
      </c>
      <c r="O285" s="92" t="s">
        <v>392</v>
      </c>
      <c r="P285" s="5"/>
      <c r="Q285" s="197">
        <f>Q286</f>
        <v>158</v>
      </c>
      <c r="R285" s="197">
        <f>R286</f>
        <v>118</v>
      </c>
      <c r="S285" s="197">
        <f>S286</f>
        <v>118</v>
      </c>
    </row>
    <row r="286" spans="1:19" ht="24" customHeight="1">
      <c r="A286" s="95"/>
      <c r="B286" s="94"/>
      <c r="C286" s="93"/>
      <c r="D286" s="97"/>
      <c r="E286" s="111"/>
      <c r="F286" s="111"/>
      <c r="G286" s="85"/>
      <c r="H286" s="104" t="s">
        <v>22</v>
      </c>
      <c r="I286" s="7">
        <v>27</v>
      </c>
      <c r="J286" s="18">
        <v>4</v>
      </c>
      <c r="K286" s="15">
        <v>12</v>
      </c>
      <c r="L286" s="91" t="s">
        <v>448</v>
      </c>
      <c r="M286" s="92" t="s">
        <v>347</v>
      </c>
      <c r="N286" s="92" t="s">
        <v>365</v>
      </c>
      <c r="O286" s="92" t="s">
        <v>23</v>
      </c>
      <c r="P286" s="5"/>
      <c r="Q286" s="197">
        <f>Q288+Q287</f>
        <v>158</v>
      </c>
      <c r="R286" s="197">
        <f>R288+R287</f>
        <v>118</v>
      </c>
      <c r="S286" s="197">
        <f>S288+S287</f>
        <v>118</v>
      </c>
    </row>
    <row r="287" spans="1:19" ht="24" customHeight="1">
      <c r="A287" s="95"/>
      <c r="B287" s="94"/>
      <c r="C287" s="93"/>
      <c r="D287" s="97"/>
      <c r="E287" s="111"/>
      <c r="F287" s="111"/>
      <c r="G287" s="85"/>
      <c r="H287" s="104" t="str">
        <f>'Приложение 8'!H172</f>
        <v>Иные закупки товаров, работ и услуг для обеспечения государственных (муниципальных) нужд</v>
      </c>
      <c r="I287" s="7">
        <f>'Приложение 8'!I172</f>
        <v>27</v>
      </c>
      <c r="J287" s="18">
        <f>'Приложение 8'!J172</f>
        <v>4</v>
      </c>
      <c r="K287" s="15">
        <f>'Приложение 8'!K172</f>
        <v>12</v>
      </c>
      <c r="L287" s="91" t="str">
        <f>'Приложение 8'!L172</f>
        <v>31</v>
      </c>
      <c r="M287" s="92" t="str">
        <f>'Приложение 8'!M172</f>
        <v>0</v>
      </c>
      <c r="N287" s="92" t="str">
        <f>'Приложение 8'!N172</f>
        <v>02</v>
      </c>
      <c r="O287" s="92" t="str">
        <f>'Приложение 8'!O172</f>
        <v>01590</v>
      </c>
      <c r="P287" s="5">
        <f>'Приложение 8'!P172</f>
        <v>240</v>
      </c>
      <c r="Q287" s="197">
        <f>'Приложение 8'!Q172</f>
        <v>30</v>
      </c>
      <c r="R287" s="197">
        <f>'Приложение 8'!R172</f>
        <v>0</v>
      </c>
      <c r="S287" s="197">
        <f>'Приложение 8'!S172</f>
        <v>0</v>
      </c>
    </row>
    <row r="288" spans="1:19" ht="24" customHeight="1">
      <c r="A288" s="95"/>
      <c r="B288" s="94"/>
      <c r="C288" s="93"/>
      <c r="D288" s="97"/>
      <c r="E288" s="111"/>
      <c r="F288" s="111"/>
      <c r="G288" s="85"/>
      <c r="H288" s="104" t="s">
        <v>456</v>
      </c>
      <c r="I288" s="7">
        <v>27</v>
      </c>
      <c r="J288" s="18">
        <v>4</v>
      </c>
      <c r="K288" s="15">
        <v>12</v>
      </c>
      <c r="L288" s="91" t="s">
        <v>448</v>
      </c>
      <c r="M288" s="92" t="s">
        <v>347</v>
      </c>
      <c r="N288" s="92" t="s">
        <v>365</v>
      </c>
      <c r="O288" s="92" t="s">
        <v>23</v>
      </c>
      <c r="P288" s="5">
        <v>610</v>
      </c>
      <c r="Q288" s="197">
        <f>'Приложение 8'!Q173</f>
        <v>128</v>
      </c>
      <c r="R288" s="197">
        <f>'Приложение 8'!R173</f>
        <v>118</v>
      </c>
      <c r="S288" s="197">
        <f>'Приложение 8'!S173</f>
        <v>118</v>
      </c>
    </row>
    <row r="289" spans="1:19" ht="24" customHeight="1">
      <c r="A289" s="95"/>
      <c r="B289" s="94"/>
      <c r="C289" s="93"/>
      <c r="D289" s="97"/>
      <c r="E289" s="111"/>
      <c r="F289" s="111"/>
      <c r="G289" s="85"/>
      <c r="H289" s="104" t="str">
        <f>'Приложение 8'!H174</f>
        <v>Основное мероприятие "Сохранение и популяризация объектов культурного наследия"</v>
      </c>
      <c r="I289" s="7">
        <f>'Приложение 8'!I174</f>
        <v>27</v>
      </c>
      <c r="J289" s="18">
        <f>'Приложение 8'!J174</f>
        <v>4</v>
      </c>
      <c r="K289" s="15">
        <f>'Приложение 8'!K174</f>
        <v>12</v>
      </c>
      <c r="L289" s="91" t="str">
        <f>'Приложение 8'!L174</f>
        <v>31</v>
      </c>
      <c r="M289" s="92" t="str">
        <f>'Приложение 8'!M174</f>
        <v>0</v>
      </c>
      <c r="N289" s="92" t="str">
        <f>'Приложение 8'!N174</f>
        <v>03</v>
      </c>
      <c r="O289" s="92" t="str">
        <f>'Приложение 8'!O174</f>
        <v>00000</v>
      </c>
      <c r="P289" s="5" t="s">
        <v>393</v>
      </c>
      <c r="Q289" s="197">
        <f>'Приложение 8'!Q174</f>
        <v>2530</v>
      </c>
      <c r="R289" s="197">
        <f>'Приложение 8'!R174</f>
        <v>20</v>
      </c>
      <c r="S289" s="197">
        <f>'Приложение 8'!S174</f>
        <v>20</v>
      </c>
    </row>
    <row r="290" spans="1:19" ht="24" customHeight="1">
      <c r="A290" s="95"/>
      <c r="B290" s="94"/>
      <c r="C290" s="93"/>
      <c r="D290" s="97"/>
      <c r="E290" s="111"/>
      <c r="F290" s="111"/>
      <c r="G290" s="85"/>
      <c r="H290" s="104" t="str">
        <f>'Приложение 8'!H175</f>
        <v>Учреждения культуры</v>
      </c>
      <c r="I290" s="7">
        <f>'Приложение 8'!I175</f>
        <v>27</v>
      </c>
      <c r="J290" s="18">
        <f>'Приложение 8'!J175</f>
        <v>4</v>
      </c>
      <c r="K290" s="15">
        <f>'Приложение 8'!K175</f>
        <v>12</v>
      </c>
      <c r="L290" s="91" t="str">
        <f>'Приложение 8'!L175</f>
        <v>31</v>
      </c>
      <c r="M290" s="92" t="str">
        <f>'Приложение 8'!M175</f>
        <v>0</v>
      </c>
      <c r="N290" s="92" t="str">
        <f>'Приложение 8'!N175</f>
        <v>03</v>
      </c>
      <c r="O290" s="92" t="str">
        <f>'Приложение 8'!O175</f>
        <v>01590</v>
      </c>
      <c r="P290" s="5" t="s">
        <v>393</v>
      </c>
      <c r="Q290" s="197">
        <f>'Приложение 8'!Q175</f>
        <v>2530</v>
      </c>
      <c r="R290" s="197">
        <f>'Приложение 8'!R175</f>
        <v>20</v>
      </c>
      <c r="S290" s="197">
        <f>'Приложение 8'!S175</f>
        <v>20</v>
      </c>
    </row>
    <row r="291" spans="1:19" ht="24" customHeight="1">
      <c r="A291" s="95"/>
      <c r="B291" s="94"/>
      <c r="C291" s="93"/>
      <c r="D291" s="97"/>
      <c r="E291" s="111"/>
      <c r="F291" s="111"/>
      <c r="G291" s="85"/>
      <c r="H291" s="104" t="str">
        <f>'Приложение 8'!H176</f>
        <v>Иные закупки товаров, работ и услуг для обеспечения государственных (муниципальных) нужд</v>
      </c>
      <c r="I291" s="7">
        <f>'Приложение 8'!I176</f>
        <v>27</v>
      </c>
      <c r="J291" s="18">
        <f>'Приложение 8'!J176</f>
        <v>4</v>
      </c>
      <c r="K291" s="15">
        <f>'Приложение 8'!K176</f>
        <v>12</v>
      </c>
      <c r="L291" s="91" t="str">
        <f>'Приложение 8'!L176</f>
        <v>31</v>
      </c>
      <c r="M291" s="92" t="str">
        <f>'Приложение 8'!M176</f>
        <v>0</v>
      </c>
      <c r="N291" s="92" t="str">
        <f>'Приложение 8'!N176</f>
        <v>03</v>
      </c>
      <c r="O291" s="92" t="str">
        <f>'Приложение 8'!O176</f>
        <v>01590</v>
      </c>
      <c r="P291" s="5">
        <f>'Приложение 8'!P176</f>
        <v>240</v>
      </c>
      <c r="Q291" s="197">
        <f>'Приложение 8'!Q176</f>
        <v>2500</v>
      </c>
      <c r="R291" s="197">
        <f>'Приложение 8'!R176</f>
        <v>0</v>
      </c>
      <c r="S291" s="197">
        <f>'Приложение 8'!S176</f>
        <v>0</v>
      </c>
    </row>
    <row r="292" spans="1:19" ht="24" customHeight="1">
      <c r="A292" s="95"/>
      <c r="B292" s="94"/>
      <c r="C292" s="93"/>
      <c r="D292" s="97"/>
      <c r="E292" s="111"/>
      <c r="F292" s="111"/>
      <c r="G292" s="85"/>
      <c r="H292" s="104" t="str">
        <f>'Приложение 8'!H177</f>
        <v>Субсидии бюджетным учреждениям</v>
      </c>
      <c r="I292" s="7">
        <f>'Приложение 8'!I177</f>
        <v>27</v>
      </c>
      <c r="J292" s="18">
        <f>'Приложение 8'!J177</f>
        <v>4</v>
      </c>
      <c r="K292" s="15">
        <f>'Приложение 8'!K177</f>
        <v>12</v>
      </c>
      <c r="L292" s="91" t="str">
        <f>'Приложение 8'!L177</f>
        <v>31</v>
      </c>
      <c r="M292" s="92" t="str">
        <f>'Приложение 8'!M177</f>
        <v>0</v>
      </c>
      <c r="N292" s="92" t="str">
        <f>'Приложение 8'!N177</f>
        <v>03</v>
      </c>
      <c r="O292" s="92" t="str">
        <f>'Приложение 8'!O177</f>
        <v>01590</v>
      </c>
      <c r="P292" s="5">
        <f>'Приложение 8'!P177</f>
        <v>610</v>
      </c>
      <c r="Q292" s="197">
        <f>'Приложение 8'!Q177</f>
        <v>30</v>
      </c>
      <c r="R292" s="197">
        <f>'Приложение 8'!R177</f>
        <v>20</v>
      </c>
      <c r="S292" s="197">
        <f>'Приложение 8'!S177</f>
        <v>20</v>
      </c>
    </row>
    <row r="293" spans="1:19" ht="24" customHeight="1">
      <c r="A293" s="95"/>
      <c r="B293" s="94"/>
      <c r="C293" s="93"/>
      <c r="D293" s="97"/>
      <c r="E293" s="111"/>
      <c r="F293" s="111"/>
      <c r="G293" s="85"/>
      <c r="H293" s="104" t="str">
        <f>'Приложение 8'!H178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93" s="7">
        <f>'Приложение 8'!I178</f>
        <v>27</v>
      </c>
      <c r="J293" s="18">
        <f>'Приложение 8'!J178</f>
        <v>4</v>
      </c>
      <c r="K293" s="15">
        <f>'Приложение 8'!K178</f>
        <v>12</v>
      </c>
      <c r="L293" s="91" t="str">
        <f>'Приложение 8'!L178</f>
        <v>31</v>
      </c>
      <c r="M293" s="92" t="str">
        <f>'Приложение 8'!M178</f>
        <v>0</v>
      </c>
      <c r="N293" s="92" t="str">
        <f>'Приложение 8'!N178</f>
        <v>04</v>
      </c>
      <c r="O293" s="92" t="str">
        <f>'Приложение 8'!O178</f>
        <v>00000</v>
      </c>
      <c r="P293" s="5" t="s">
        <v>393</v>
      </c>
      <c r="Q293" s="197">
        <f>'Приложение 8'!Q178</f>
        <v>10</v>
      </c>
      <c r="R293" s="197">
        <f>'Приложение 8'!R178</f>
        <v>100</v>
      </c>
      <c r="S293" s="197">
        <f>'Приложение 8'!S178</f>
        <v>100</v>
      </c>
    </row>
    <row r="294" spans="1:19" ht="24" customHeight="1">
      <c r="A294" s="95"/>
      <c r="B294" s="94"/>
      <c r="C294" s="93"/>
      <c r="D294" s="97"/>
      <c r="E294" s="111"/>
      <c r="F294" s="111"/>
      <c r="G294" s="85"/>
      <c r="H294" s="104" t="str">
        <f>'Приложение 8'!H179</f>
        <v>Учреждения культуры</v>
      </c>
      <c r="I294" s="7">
        <f>'Приложение 8'!I179</f>
        <v>27</v>
      </c>
      <c r="J294" s="18">
        <f>'Приложение 8'!J179</f>
        <v>4</v>
      </c>
      <c r="K294" s="15">
        <f>'Приложение 8'!K179</f>
        <v>12</v>
      </c>
      <c r="L294" s="91" t="str">
        <f>'Приложение 8'!L179</f>
        <v>31</v>
      </c>
      <c r="M294" s="92" t="str">
        <f>'Приложение 8'!M179</f>
        <v>0</v>
      </c>
      <c r="N294" s="92" t="str">
        <f>'Приложение 8'!N179</f>
        <v>04</v>
      </c>
      <c r="O294" s="92" t="str">
        <f>'Приложение 8'!O179</f>
        <v>01590</v>
      </c>
      <c r="P294" s="5" t="s">
        <v>393</v>
      </c>
      <c r="Q294" s="197">
        <f>'Приложение 8'!Q179</f>
        <v>10</v>
      </c>
      <c r="R294" s="197">
        <f>'Приложение 8'!R179</f>
        <v>100</v>
      </c>
      <c r="S294" s="197">
        <f>'Приложение 8'!S179</f>
        <v>100</v>
      </c>
    </row>
    <row r="295" spans="1:19" ht="24" customHeight="1">
      <c r="A295" s="95"/>
      <c r="B295" s="94"/>
      <c r="C295" s="93"/>
      <c r="D295" s="97"/>
      <c r="E295" s="111"/>
      <c r="F295" s="111"/>
      <c r="G295" s="85"/>
      <c r="H295" s="104" t="str">
        <f>'Приложение 8'!H180</f>
        <v>Субсидии бюджетным учреждениям</v>
      </c>
      <c r="I295" s="7">
        <f>'Приложение 8'!I180</f>
        <v>27</v>
      </c>
      <c r="J295" s="18">
        <f>'Приложение 8'!J180</f>
        <v>4</v>
      </c>
      <c r="K295" s="15">
        <f>'Приложение 8'!K180</f>
        <v>12</v>
      </c>
      <c r="L295" s="91" t="str">
        <f>'Приложение 8'!L180</f>
        <v>31</v>
      </c>
      <c r="M295" s="92" t="str">
        <f>'Приложение 8'!M180</f>
        <v>0</v>
      </c>
      <c r="N295" s="92" t="str">
        <f>'Приложение 8'!N180</f>
        <v>04</v>
      </c>
      <c r="O295" s="92" t="str">
        <f>'Приложение 8'!O180</f>
        <v>01590</v>
      </c>
      <c r="P295" s="5">
        <f>'Приложение 8'!P180</f>
        <v>610</v>
      </c>
      <c r="Q295" s="197">
        <f>'Приложение 8'!Q180</f>
        <v>10</v>
      </c>
      <c r="R295" s="197">
        <f>'Приложение 8'!R180</f>
        <v>100</v>
      </c>
      <c r="S295" s="197">
        <f>'Приложение 8'!S180</f>
        <v>100</v>
      </c>
    </row>
    <row r="296" spans="1:19" ht="27.75" customHeight="1">
      <c r="A296" s="95"/>
      <c r="B296" s="94"/>
      <c r="C296" s="93"/>
      <c r="D296" s="97"/>
      <c r="E296" s="111"/>
      <c r="F296" s="111"/>
      <c r="G296" s="85"/>
      <c r="H296" s="4" t="s">
        <v>409</v>
      </c>
      <c r="I296" s="7">
        <v>27</v>
      </c>
      <c r="J296" s="18">
        <v>4</v>
      </c>
      <c r="K296" s="15">
        <v>12</v>
      </c>
      <c r="L296" s="91" t="s">
        <v>448</v>
      </c>
      <c r="M296" s="92" t="s">
        <v>347</v>
      </c>
      <c r="N296" s="92" t="s">
        <v>350</v>
      </c>
      <c r="O296" s="92" t="s">
        <v>392</v>
      </c>
      <c r="P296" s="5"/>
      <c r="Q296" s="197">
        <f>Q297+Q299</f>
        <v>6121.200000000001</v>
      </c>
      <c r="R296" s="197">
        <f>R297+R299</f>
        <v>6068.700000000001</v>
      </c>
      <c r="S296" s="197">
        <f>S297+S299</f>
        <v>6068.700000000001</v>
      </c>
    </row>
    <row r="297" spans="1:19" ht="27.75" customHeight="1">
      <c r="A297" s="95"/>
      <c r="B297" s="94"/>
      <c r="C297" s="93"/>
      <c r="D297" s="97"/>
      <c r="E297" s="111"/>
      <c r="F297" s="111"/>
      <c r="G297" s="85"/>
      <c r="H297" s="4" t="s">
        <v>22</v>
      </c>
      <c r="I297" s="7">
        <v>27</v>
      </c>
      <c r="J297" s="18">
        <v>4</v>
      </c>
      <c r="K297" s="15">
        <v>12</v>
      </c>
      <c r="L297" s="91" t="s">
        <v>448</v>
      </c>
      <c r="M297" s="92" t="s">
        <v>347</v>
      </c>
      <c r="N297" s="92" t="s">
        <v>350</v>
      </c>
      <c r="O297" s="92" t="s">
        <v>23</v>
      </c>
      <c r="P297" s="5"/>
      <c r="Q297" s="197">
        <f>Q298</f>
        <v>5479.6</v>
      </c>
      <c r="R297" s="197">
        <f>R298</f>
        <v>5427.1</v>
      </c>
      <c r="S297" s="197">
        <f>S298</f>
        <v>5427.1</v>
      </c>
    </row>
    <row r="298" spans="1:19" ht="27.75" customHeight="1">
      <c r="A298" s="95"/>
      <c r="B298" s="94"/>
      <c r="C298" s="93"/>
      <c r="D298" s="97"/>
      <c r="E298" s="111"/>
      <c r="F298" s="111"/>
      <c r="G298" s="85"/>
      <c r="H298" s="4" t="s">
        <v>456</v>
      </c>
      <c r="I298" s="7">
        <v>27</v>
      </c>
      <c r="J298" s="18">
        <v>4</v>
      </c>
      <c r="K298" s="15">
        <v>12</v>
      </c>
      <c r="L298" s="91" t="s">
        <v>448</v>
      </c>
      <c r="M298" s="92" t="s">
        <v>347</v>
      </c>
      <c r="N298" s="92" t="s">
        <v>350</v>
      </c>
      <c r="O298" s="92" t="s">
        <v>23</v>
      </c>
      <c r="P298" s="5">
        <v>610</v>
      </c>
      <c r="Q298" s="197">
        <f>'Приложение 8'!Q183</f>
        <v>5479.6</v>
      </c>
      <c r="R298" s="197">
        <f>'Приложение 8'!R183</f>
        <v>5427.1</v>
      </c>
      <c r="S298" s="197">
        <f>'Приложение 8'!S183</f>
        <v>5427.1</v>
      </c>
    </row>
    <row r="299" spans="1:19" ht="36.75" customHeight="1">
      <c r="A299" s="95"/>
      <c r="B299" s="94"/>
      <c r="C299" s="93"/>
      <c r="D299" s="97"/>
      <c r="E299" s="111"/>
      <c r="F299" s="111"/>
      <c r="G299" s="85"/>
      <c r="H299" s="4" t="s">
        <v>595</v>
      </c>
      <c r="I299" s="7">
        <v>27</v>
      </c>
      <c r="J299" s="18">
        <v>4</v>
      </c>
      <c r="K299" s="15">
        <v>12</v>
      </c>
      <c r="L299" s="91" t="s">
        <v>448</v>
      </c>
      <c r="M299" s="92" t="s">
        <v>347</v>
      </c>
      <c r="N299" s="92" t="s">
        <v>350</v>
      </c>
      <c r="O299" s="92" t="s">
        <v>594</v>
      </c>
      <c r="P299" s="5"/>
      <c r="Q299" s="197">
        <f>Q300</f>
        <v>641.6</v>
      </c>
      <c r="R299" s="197">
        <f>R300</f>
        <v>641.6</v>
      </c>
      <c r="S299" s="197">
        <f>S300</f>
        <v>641.6</v>
      </c>
    </row>
    <row r="300" spans="1:19" ht="27.75" customHeight="1">
      <c r="A300" s="95"/>
      <c r="B300" s="94"/>
      <c r="C300" s="93"/>
      <c r="D300" s="97"/>
      <c r="E300" s="111"/>
      <c r="F300" s="111"/>
      <c r="G300" s="85"/>
      <c r="H300" s="4" t="s">
        <v>456</v>
      </c>
      <c r="I300" s="7">
        <v>27</v>
      </c>
      <c r="J300" s="18">
        <v>4</v>
      </c>
      <c r="K300" s="15">
        <v>12</v>
      </c>
      <c r="L300" s="91" t="s">
        <v>448</v>
      </c>
      <c r="M300" s="92" t="s">
        <v>347</v>
      </c>
      <c r="N300" s="92" t="s">
        <v>350</v>
      </c>
      <c r="O300" s="92" t="s">
        <v>594</v>
      </c>
      <c r="P300" s="5">
        <v>610</v>
      </c>
      <c r="Q300" s="197">
        <v>641.6</v>
      </c>
      <c r="R300" s="197">
        <v>641.6</v>
      </c>
      <c r="S300" s="197">
        <v>641.6</v>
      </c>
    </row>
    <row r="301" spans="1:19" ht="39" customHeight="1">
      <c r="A301" s="95"/>
      <c r="B301" s="94"/>
      <c r="C301" s="93"/>
      <c r="D301" s="97"/>
      <c r="E301" s="111"/>
      <c r="F301" s="111"/>
      <c r="G301" s="85"/>
      <c r="H301" s="4" t="s">
        <v>43</v>
      </c>
      <c r="I301" s="7">
        <v>27</v>
      </c>
      <c r="J301" s="18">
        <v>4</v>
      </c>
      <c r="K301" s="15">
        <v>12</v>
      </c>
      <c r="L301" s="91" t="s">
        <v>448</v>
      </c>
      <c r="M301" s="92" t="s">
        <v>347</v>
      </c>
      <c r="N301" s="92" t="s">
        <v>368</v>
      </c>
      <c r="O301" s="92" t="s">
        <v>392</v>
      </c>
      <c r="P301" s="5"/>
      <c r="Q301" s="197">
        <f>Q302</f>
        <v>150</v>
      </c>
      <c r="R301" s="197">
        <f aca="true" t="shared" si="25" ref="Q301:S302">R302</f>
        <v>150</v>
      </c>
      <c r="S301" s="197">
        <f t="shared" si="25"/>
        <v>150</v>
      </c>
    </row>
    <row r="302" spans="1:19" ht="29.25" customHeight="1">
      <c r="A302" s="95"/>
      <c r="B302" s="94"/>
      <c r="C302" s="93"/>
      <c r="D302" s="97"/>
      <c r="E302" s="111"/>
      <c r="F302" s="111"/>
      <c r="G302" s="85"/>
      <c r="H302" s="4" t="s">
        <v>22</v>
      </c>
      <c r="I302" s="7">
        <v>27</v>
      </c>
      <c r="J302" s="18">
        <v>4</v>
      </c>
      <c r="K302" s="15">
        <v>12</v>
      </c>
      <c r="L302" s="91" t="s">
        <v>448</v>
      </c>
      <c r="M302" s="92" t="s">
        <v>347</v>
      </c>
      <c r="N302" s="92" t="s">
        <v>368</v>
      </c>
      <c r="O302" s="92" t="s">
        <v>23</v>
      </c>
      <c r="P302" s="5"/>
      <c r="Q302" s="197">
        <f t="shared" si="25"/>
        <v>150</v>
      </c>
      <c r="R302" s="197">
        <f t="shared" si="25"/>
        <v>150</v>
      </c>
      <c r="S302" s="197">
        <f t="shared" si="25"/>
        <v>150</v>
      </c>
    </row>
    <row r="303" spans="1:19" ht="20.25" customHeight="1">
      <c r="A303" s="95"/>
      <c r="B303" s="94"/>
      <c r="C303" s="93"/>
      <c r="D303" s="97"/>
      <c r="E303" s="111"/>
      <c r="F303" s="111"/>
      <c r="G303" s="85"/>
      <c r="H303" s="4" t="s">
        <v>456</v>
      </c>
      <c r="I303" s="7">
        <v>27</v>
      </c>
      <c r="J303" s="18">
        <v>4</v>
      </c>
      <c r="K303" s="15">
        <v>12</v>
      </c>
      <c r="L303" s="91" t="s">
        <v>448</v>
      </c>
      <c r="M303" s="92" t="s">
        <v>347</v>
      </c>
      <c r="N303" s="92" t="s">
        <v>368</v>
      </c>
      <c r="O303" s="92" t="s">
        <v>23</v>
      </c>
      <c r="P303" s="5">
        <v>610</v>
      </c>
      <c r="Q303" s="197">
        <f>'Приложение 8'!Q188</f>
        <v>150</v>
      </c>
      <c r="R303" s="197">
        <f>'Приложение 8'!R188</f>
        <v>150</v>
      </c>
      <c r="S303" s="197">
        <f>'Приложение 8'!S188</f>
        <v>150</v>
      </c>
    </row>
    <row r="304" spans="1:19" ht="34.5" customHeight="1">
      <c r="A304" s="95"/>
      <c r="B304" s="94"/>
      <c r="C304" s="99"/>
      <c r="D304" s="97"/>
      <c r="E304" s="362">
        <v>4210200</v>
      </c>
      <c r="F304" s="362"/>
      <c r="G304" s="85">
        <v>521</v>
      </c>
      <c r="H304" s="4" t="s">
        <v>628</v>
      </c>
      <c r="I304" s="7">
        <v>27</v>
      </c>
      <c r="J304" s="6">
        <v>4</v>
      </c>
      <c r="K304" s="15">
        <v>12</v>
      </c>
      <c r="L304" s="91" t="s">
        <v>561</v>
      </c>
      <c r="M304" s="92" t="s">
        <v>347</v>
      </c>
      <c r="N304" s="92" t="s">
        <v>357</v>
      </c>
      <c r="O304" s="92" t="s">
        <v>392</v>
      </c>
      <c r="P304" s="9"/>
      <c r="Q304" s="195">
        <f>Q305+Q311</f>
        <v>519.7</v>
      </c>
      <c r="R304" s="195">
        <f>R305+R311</f>
        <v>493.6</v>
      </c>
      <c r="S304" s="195">
        <f>S305+S311</f>
        <v>493.6</v>
      </c>
    </row>
    <row r="305" spans="1:19" ht="34.5" customHeight="1">
      <c r="A305" s="95"/>
      <c r="B305" s="94"/>
      <c r="C305" s="99"/>
      <c r="D305" s="105"/>
      <c r="E305" s="100"/>
      <c r="F305" s="100"/>
      <c r="G305" s="101">
        <v>521</v>
      </c>
      <c r="H305" s="17" t="s">
        <v>577</v>
      </c>
      <c r="I305" s="7">
        <v>27</v>
      </c>
      <c r="J305" s="6">
        <v>4</v>
      </c>
      <c r="K305" s="15">
        <v>12</v>
      </c>
      <c r="L305" s="91" t="s">
        <v>561</v>
      </c>
      <c r="M305" s="92" t="s">
        <v>347</v>
      </c>
      <c r="N305" s="92" t="s">
        <v>348</v>
      </c>
      <c r="O305" s="92" t="s">
        <v>392</v>
      </c>
      <c r="P305" s="5"/>
      <c r="Q305" s="197">
        <f>Q306+Q309</f>
        <v>441</v>
      </c>
      <c r="R305" s="197">
        <f>R306+R309</f>
        <v>413.6</v>
      </c>
      <c r="S305" s="197">
        <f>S306+S309</f>
        <v>413.6</v>
      </c>
    </row>
    <row r="306" spans="1:19" ht="23.25" customHeight="1">
      <c r="A306" s="95"/>
      <c r="B306" s="94"/>
      <c r="C306" s="93"/>
      <c r="D306" s="105"/>
      <c r="E306" s="100"/>
      <c r="F306" s="100"/>
      <c r="G306" s="85"/>
      <c r="H306" s="17" t="s">
        <v>19</v>
      </c>
      <c r="I306" s="7">
        <v>27</v>
      </c>
      <c r="J306" s="20">
        <v>4</v>
      </c>
      <c r="K306" s="15">
        <v>12</v>
      </c>
      <c r="L306" s="91" t="s">
        <v>561</v>
      </c>
      <c r="M306" s="92" t="s">
        <v>347</v>
      </c>
      <c r="N306" s="92" t="s">
        <v>348</v>
      </c>
      <c r="O306" s="92" t="s">
        <v>18</v>
      </c>
      <c r="P306" s="5"/>
      <c r="Q306" s="197">
        <f>SUM(Q307:Q308)</f>
        <v>30</v>
      </c>
      <c r="R306" s="197">
        <f>SUM(R307:R308)</f>
        <v>30</v>
      </c>
      <c r="S306" s="197">
        <f>SUM(S307:S308)</f>
        <v>30</v>
      </c>
    </row>
    <row r="307" spans="1:19" ht="30" customHeight="1">
      <c r="A307" s="95"/>
      <c r="B307" s="94"/>
      <c r="C307" s="93"/>
      <c r="D307" s="105"/>
      <c r="E307" s="100"/>
      <c r="F307" s="100"/>
      <c r="G307" s="85"/>
      <c r="H307" s="17" t="s">
        <v>454</v>
      </c>
      <c r="I307" s="7">
        <v>27</v>
      </c>
      <c r="J307" s="20">
        <v>4</v>
      </c>
      <c r="K307" s="15">
        <v>12</v>
      </c>
      <c r="L307" s="91" t="s">
        <v>561</v>
      </c>
      <c r="M307" s="92" t="s">
        <v>347</v>
      </c>
      <c r="N307" s="92" t="s">
        <v>348</v>
      </c>
      <c r="O307" s="92" t="s">
        <v>18</v>
      </c>
      <c r="P307" s="5">
        <v>240</v>
      </c>
      <c r="Q307" s="197">
        <v>10</v>
      </c>
      <c r="R307" s="197">
        <v>10</v>
      </c>
      <c r="S307" s="197">
        <v>10</v>
      </c>
    </row>
    <row r="308" spans="1:19" ht="38.25" customHeight="1">
      <c r="A308" s="95"/>
      <c r="B308" s="94"/>
      <c r="C308" s="93"/>
      <c r="D308" s="97"/>
      <c r="E308" s="111"/>
      <c r="F308" s="111"/>
      <c r="G308" s="85"/>
      <c r="H308" s="4" t="s">
        <v>567</v>
      </c>
      <c r="I308" s="7">
        <v>27</v>
      </c>
      <c r="J308" s="18">
        <v>4</v>
      </c>
      <c r="K308" s="15">
        <v>12</v>
      </c>
      <c r="L308" s="91" t="s">
        <v>561</v>
      </c>
      <c r="M308" s="92" t="s">
        <v>347</v>
      </c>
      <c r="N308" s="92" t="s">
        <v>348</v>
      </c>
      <c r="O308" s="92" t="s">
        <v>18</v>
      </c>
      <c r="P308" s="5">
        <v>810</v>
      </c>
      <c r="Q308" s="197">
        <v>20</v>
      </c>
      <c r="R308" s="197">
        <v>20</v>
      </c>
      <c r="S308" s="197">
        <v>20</v>
      </c>
    </row>
    <row r="309" spans="1:19" ht="32.25" customHeight="1">
      <c r="A309" s="95"/>
      <c r="B309" s="94"/>
      <c r="C309" s="93"/>
      <c r="D309" s="97"/>
      <c r="E309" s="111"/>
      <c r="F309" s="111"/>
      <c r="G309" s="85"/>
      <c r="H309" s="4" t="s">
        <v>566</v>
      </c>
      <c r="I309" s="7">
        <v>27</v>
      </c>
      <c r="J309" s="18">
        <v>4</v>
      </c>
      <c r="K309" s="15">
        <v>12</v>
      </c>
      <c r="L309" s="91" t="s">
        <v>561</v>
      </c>
      <c r="M309" s="92" t="s">
        <v>347</v>
      </c>
      <c r="N309" s="92" t="s">
        <v>348</v>
      </c>
      <c r="O309" s="92" t="s">
        <v>565</v>
      </c>
      <c r="P309" s="5"/>
      <c r="Q309" s="197">
        <f>Q310</f>
        <v>411</v>
      </c>
      <c r="R309" s="197">
        <f>R310</f>
        <v>383.6</v>
      </c>
      <c r="S309" s="197">
        <f>S310</f>
        <v>383.6</v>
      </c>
    </row>
    <row r="310" spans="1:19" ht="32.25" customHeight="1">
      <c r="A310" s="95"/>
      <c r="B310" s="94"/>
      <c r="C310" s="93"/>
      <c r="D310" s="97"/>
      <c r="E310" s="111"/>
      <c r="F310" s="111"/>
      <c r="G310" s="85"/>
      <c r="H310" s="4" t="s">
        <v>567</v>
      </c>
      <c r="I310" s="7">
        <v>27</v>
      </c>
      <c r="J310" s="18">
        <v>4</v>
      </c>
      <c r="K310" s="15">
        <v>12</v>
      </c>
      <c r="L310" s="91" t="s">
        <v>561</v>
      </c>
      <c r="M310" s="92" t="s">
        <v>347</v>
      </c>
      <c r="N310" s="92" t="s">
        <v>348</v>
      </c>
      <c r="O310" s="92" t="s">
        <v>565</v>
      </c>
      <c r="P310" s="5">
        <v>810</v>
      </c>
      <c r="Q310" s="197">
        <f>'Приложение 8'!Q195</f>
        <v>411</v>
      </c>
      <c r="R310" s="197">
        <v>383.6</v>
      </c>
      <c r="S310" s="197">
        <v>383.6</v>
      </c>
    </row>
    <row r="311" spans="1:19" ht="24.75" customHeight="1">
      <c r="A311" s="95"/>
      <c r="B311" s="94"/>
      <c r="C311" s="93"/>
      <c r="D311" s="97"/>
      <c r="E311" s="111"/>
      <c r="F311" s="111"/>
      <c r="G311" s="85"/>
      <c r="H311" s="4" t="s">
        <v>578</v>
      </c>
      <c r="I311" s="7">
        <v>27</v>
      </c>
      <c r="J311" s="18">
        <v>4</v>
      </c>
      <c r="K311" s="15">
        <v>12</v>
      </c>
      <c r="L311" s="91" t="s">
        <v>561</v>
      </c>
      <c r="M311" s="92" t="s">
        <v>347</v>
      </c>
      <c r="N311" s="92" t="s">
        <v>365</v>
      </c>
      <c r="O311" s="92" t="s">
        <v>392</v>
      </c>
      <c r="P311" s="5"/>
      <c r="Q311" s="197">
        <f aca="true" t="shared" si="26" ref="Q311:S312">Q312</f>
        <v>78.69999999999999</v>
      </c>
      <c r="R311" s="197">
        <f t="shared" si="26"/>
        <v>80</v>
      </c>
      <c r="S311" s="197">
        <f t="shared" si="26"/>
        <v>80</v>
      </c>
    </row>
    <row r="312" spans="1:19" ht="30" customHeight="1">
      <c r="A312" s="95"/>
      <c r="B312" s="94"/>
      <c r="C312" s="93"/>
      <c r="D312" s="97"/>
      <c r="E312" s="111"/>
      <c r="F312" s="111"/>
      <c r="G312" s="85"/>
      <c r="H312" s="4" t="s">
        <v>21</v>
      </c>
      <c r="I312" s="7">
        <v>27</v>
      </c>
      <c r="J312" s="18">
        <v>4</v>
      </c>
      <c r="K312" s="15">
        <v>12</v>
      </c>
      <c r="L312" s="91" t="s">
        <v>561</v>
      </c>
      <c r="M312" s="92" t="s">
        <v>347</v>
      </c>
      <c r="N312" s="92" t="s">
        <v>365</v>
      </c>
      <c r="O312" s="92" t="s">
        <v>20</v>
      </c>
      <c r="P312" s="5"/>
      <c r="Q312" s="197">
        <f t="shared" si="26"/>
        <v>78.69999999999999</v>
      </c>
      <c r="R312" s="197">
        <f t="shared" si="26"/>
        <v>80</v>
      </c>
      <c r="S312" s="197">
        <f t="shared" si="26"/>
        <v>80</v>
      </c>
    </row>
    <row r="313" spans="1:19" ht="33" customHeight="1">
      <c r="A313" s="95"/>
      <c r="B313" s="94"/>
      <c r="C313" s="93"/>
      <c r="D313" s="97"/>
      <c r="E313" s="111"/>
      <c r="F313" s="111"/>
      <c r="G313" s="85"/>
      <c r="H313" s="4" t="s">
        <v>454</v>
      </c>
      <c r="I313" s="7">
        <v>27</v>
      </c>
      <c r="J313" s="18">
        <v>4</v>
      </c>
      <c r="K313" s="15">
        <v>12</v>
      </c>
      <c r="L313" s="91" t="s">
        <v>561</v>
      </c>
      <c r="M313" s="92" t="s">
        <v>347</v>
      </c>
      <c r="N313" s="92" t="s">
        <v>365</v>
      </c>
      <c r="O313" s="92" t="s">
        <v>20</v>
      </c>
      <c r="P313" s="5">
        <v>240</v>
      </c>
      <c r="Q313" s="197">
        <f>'Приложение 8'!Q198</f>
        <v>78.69999999999999</v>
      </c>
      <c r="R313" s="197">
        <v>80</v>
      </c>
      <c r="S313" s="197">
        <v>80</v>
      </c>
    </row>
    <row r="314" spans="1:19" s="171" customFormat="1" ht="26.25" customHeight="1">
      <c r="A314" s="135"/>
      <c r="B314" s="136"/>
      <c r="C314" s="135"/>
      <c r="D314" s="143"/>
      <c r="E314" s="144"/>
      <c r="F314" s="144"/>
      <c r="G314" s="129"/>
      <c r="H314" s="268" t="s">
        <v>390</v>
      </c>
      <c r="I314" s="145">
        <v>27</v>
      </c>
      <c r="J314" s="140">
        <v>5</v>
      </c>
      <c r="K314" s="132"/>
      <c r="L314" s="133"/>
      <c r="M314" s="134"/>
      <c r="N314" s="134"/>
      <c r="O314" s="134"/>
      <c r="P314" s="139"/>
      <c r="Q314" s="198">
        <f>Q315+Q327+Q345+Q354</f>
        <v>75621</v>
      </c>
      <c r="R314" s="198">
        <f>R315+R327+R345+R354</f>
        <v>53869.1</v>
      </c>
      <c r="S314" s="198">
        <f>S315+S327+S345+S354</f>
        <v>7275.9</v>
      </c>
    </row>
    <row r="315" spans="1:19" s="171" customFormat="1" ht="29.25" customHeight="1">
      <c r="A315" s="135"/>
      <c r="B315" s="136"/>
      <c r="C315" s="135"/>
      <c r="D315" s="143"/>
      <c r="E315" s="144"/>
      <c r="F315" s="144"/>
      <c r="G315" s="129"/>
      <c r="H315" s="268" t="s">
        <v>391</v>
      </c>
      <c r="I315" s="145">
        <v>27</v>
      </c>
      <c r="J315" s="140">
        <v>5</v>
      </c>
      <c r="K315" s="132">
        <v>1</v>
      </c>
      <c r="L315" s="133"/>
      <c r="M315" s="134"/>
      <c r="N315" s="134"/>
      <c r="O315" s="134"/>
      <c r="P315" s="139"/>
      <c r="Q315" s="198">
        <f aca="true" t="shared" si="27" ref="Q315:S316">Q316</f>
        <v>39640.4</v>
      </c>
      <c r="R315" s="198">
        <f t="shared" si="27"/>
        <v>42865.2</v>
      </c>
      <c r="S315" s="198">
        <f t="shared" si="27"/>
        <v>6222.4</v>
      </c>
    </row>
    <row r="316" spans="1:19" ht="39.75" customHeight="1">
      <c r="A316" s="93"/>
      <c r="B316" s="94"/>
      <c r="C316" s="93"/>
      <c r="D316" s="97"/>
      <c r="E316" s="111"/>
      <c r="F316" s="111"/>
      <c r="G316" s="85"/>
      <c r="H316" s="17" t="s">
        <v>539</v>
      </c>
      <c r="I316" s="7">
        <v>27</v>
      </c>
      <c r="J316" s="18">
        <v>5</v>
      </c>
      <c r="K316" s="15">
        <v>1</v>
      </c>
      <c r="L316" s="91" t="s">
        <v>39</v>
      </c>
      <c r="M316" s="92" t="s">
        <v>347</v>
      </c>
      <c r="N316" s="92" t="s">
        <v>357</v>
      </c>
      <c r="O316" s="92" t="s">
        <v>392</v>
      </c>
      <c r="P316" s="5"/>
      <c r="Q316" s="197">
        <f t="shared" si="27"/>
        <v>39640.4</v>
      </c>
      <c r="R316" s="197">
        <f t="shared" si="27"/>
        <v>42865.2</v>
      </c>
      <c r="S316" s="197">
        <f t="shared" si="27"/>
        <v>6222.4</v>
      </c>
    </row>
    <row r="317" spans="1:19" ht="42" customHeight="1">
      <c r="A317" s="93"/>
      <c r="B317" s="94"/>
      <c r="C317" s="93"/>
      <c r="D317" s="97"/>
      <c r="E317" s="111"/>
      <c r="F317" s="111"/>
      <c r="G317" s="85"/>
      <c r="H317" s="17" t="s">
        <v>698</v>
      </c>
      <c r="I317" s="7">
        <v>27</v>
      </c>
      <c r="J317" s="18">
        <v>5</v>
      </c>
      <c r="K317" s="15">
        <v>1</v>
      </c>
      <c r="L317" s="91" t="s">
        <v>39</v>
      </c>
      <c r="M317" s="92" t="s">
        <v>347</v>
      </c>
      <c r="N317" s="92" t="s">
        <v>540</v>
      </c>
      <c r="O317" s="92" t="s">
        <v>392</v>
      </c>
      <c r="P317" s="5"/>
      <c r="Q317" s="197">
        <f>Q318+Q321+Q324</f>
        <v>39640.4</v>
      </c>
      <c r="R317" s="197">
        <f>R318+R321+R324</f>
        <v>42865.2</v>
      </c>
      <c r="S317" s="197">
        <f>S318+S321+S324</f>
        <v>6222.4</v>
      </c>
    </row>
    <row r="318" spans="1:19" ht="38.25" customHeight="1">
      <c r="A318" s="95"/>
      <c r="B318" s="94"/>
      <c r="C318" s="93"/>
      <c r="D318" s="97"/>
      <c r="E318" s="111"/>
      <c r="F318" s="111"/>
      <c r="G318" s="85"/>
      <c r="H318" s="17" t="s">
        <v>533</v>
      </c>
      <c r="I318" s="7">
        <v>27</v>
      </c>
      <c r="J318" s="18">
        <v>5</v>
      </c>
      <c r="K318" s="15">
        <v>1</v>
      </c>
      <c r="L318" s="91" t="s">
        <v>39</v>
      </c>
      <c r="M318" s="92" t="s">
        <v>347</v>
      </c>
      <c r="N318" s="92" t="s">
        <v>540</v>
      </c>
      <c r="O318" s="92" t="s">
        <v>543</v>
      </c>
      <c r="P318" s="5"/>
      <c r="Q318" s="197">
        <f>Q319+Q320</f>
        <v>37436.2</v>
      </c>
      <c r="R318" s="197">
        <f>R319</f>
        <v>37475.5</v>
      </c>
      <c r="S318" s="197">
        <f>S319</f>
        <v>0</v>
      </c>
    </row>
    <row r="319" spans="1:19" ht="23.25" customHeight="1">
      <c r="A319" s="95"/>
      <c r="B319" s="94"/>
      <c r="C319" s="93"/>
      <c r="D319" s="97"/>
      <c r="E319" s="111"/>
      <c r="F319" s="111"/>
      <c r="G319" s="85"/>
      <c r="H319" s="17" t="s">
        <v>311</v>
      </c>
      <c r="I319" s="7">
        <v>27</v>
      </c>
      <c r="J319" s="18">
        <v>5</v>
      </c>
      <c r="K319" s="15">
        <v>1</v>
      </c>
      <c r="L319" s="91" t="s">
        <v>39</v>
      </c>
      <c r="M319" s="92" t="s">
        <v>347</v>
      </c>
      <c r="N319" s="92" t="s">
        <v>540</v>
      </c>
      <c r="O319" s="92" t="s">
        <v>543</v>
      </c>
      <c r="P319" s="5">
        <v>410</v>
      </c>
      <c r="Q319" s="195">
        <f>'Приложение 8'!Q204</f>
        <v>30224.699999999997</v>
      </c>
      <c r="R319" s="197">
        <f>'Приложение 8'!R204</f>
        <v>37475.5</v>
      </c>
      <c r="S319" s="197">
        <v>0</v>
      </c>
    </row>
    <row r="320" spans="1:19" ht="23.25" customHeight="1">
      <c r="A320" s="95"/>
      <c r="B320" s="94"/>
      <c r="C320" s="93"/>
      <c r="D320" s="97"/>
      <c r="E320" s="111"/>
      <c r="F320" s="111"/>
      <c r="G320" s="85"/>
      <c r="H320" s="17" t="str">
        <f>'Приложение 8'!H205</f>
        <v>Уплата налогов, сборов и иных платежей</v>
      </c>
      <c r="I320" s="7">
        <f>'Приложение 8'!I205</f>
        <v>27</v>
      </c>
      <c r="J320" s="18">
        <f>'Приложение 8'!J205</f>
        <v>5</v>
      </c>
      <c r="K320" s="15">
        <f>'Приложение 8'!K205</f>
        <v>1</v>
      </c>
      <c r="L320" s="91" t="str">
        <f>'Приложение 8'!L205</f>
        <v>26</v>
      </c>
      <c r="M320" s="92" t="str">
        <f>'Приложение 8'!M205</f>
        <v>0</v>
      </c>
      <c r="N320" s="92" t="str">
        <f>'Приложение 8'!N205</f>
        <v>F3</v>
      </c>
      <c r="O320" s="92" t="str">
        <f>'Приложение 8'!O205</f>
        <v>67483</v>
      </c>
      <c r="P320" s="5">
        <f>'Приложение 8'!P205</f>
        <v>850</v>
      </c>
      <c r="Q320" s="197">
        <f>'Приложение 8'!Q205</f>
        <v>7211.5</v>
      </c>
      <c r="R320" s="197">
        <f>'Приложение 8'!R205</f>
        <v>0</v>
      </c>
      <c r="S320" s="197">
        <f>'Приложение 8'!S205</f>
        <v>0</v>
      </c>
    </row>
    <row r="321" spans="1:19" ht="39.75" customHeight="1">
      <c r="A321" s="95"/>
      <c r="B321" s="94"/>
      <c r="C321" s="93"/>
      <c r="D321" s="97"/>
      <c r="E321" s="111"/>
      <c r="F321" s="111"/>
      <c r="G321" s="85"/>
      <c r="H321" s="17" t="s">
        <v>534</v>
      </c>
      <c r="I321" s="7">
        <v>27</v>
      </c>
      <c r="J321" s="18">
        <v>5</v>
      </c>
      <c r="K321" s="15">
        <v>1</v>
      </c>
      <c r="L321" s="91" t="s">
        <v>39</v>
      </c>
      <c r="M321" s="92" t="s">
        <v>347</v>
      </c>
      <c r="N321" s="92" t="s">
        <v>540</v>
      </c>
      <c r="O321" s="92" t="s">
        <v>544</v>
      </c>
      <c r="P321" s="5"/>
      <c r="Q321" s="197">
        <f>Q322+Q323</f>
        <v>1559.8000000000002</v>
      </c>
      <c r="R321" s="197">
        <f>R322</f>
        <v>4389.7</v>
      </c>
      <c r="S321" s="197">
        <f>S322</f>
        <v>5222.4</v>
      </c>
    </row>
    <row r="322" spans="1:19" ht="24" customHeight="1">
      <c r="A322" s="95"/>
      <c r="B322" s="94"/>
      <c r="C322" s="93"/>
      <c r="D322" s="97"/>
      <c r="E322" s="111"/>
      <c r="F322" s="111"/>
      <c r="G322" s="85"/>
      <c r="H322" s="17" t="s">
        <v>311</v>
      </c>
      <c r="I322" s="7">
        <v>27</v>
      </c>
      <c r="J322" s="18">
        <v>5</v>
      </c>
      <c r="K322" s="15">
        <v>1</v>
      </c>
      <c r="L322" s="91" t="s">
        <v>39</v>
      </c>
      <c r="M322" s="92" t="s">
        <v>347</v>
      </c>
      <c r="N322" s="92" t="s">
        <v>540</v>
      </c>
      <c r="O322" s="92" t="s">
        <v>544</v>
      </c>
      <c r="P322" s="5">
        <v>410</v>
      </c>
      <c r="Q322" s="195">
        <f>'Приложение 8'!Q207</f>
        <v>1259.3000000000002</v>
      </c>
      <c r="R322" s="197">
        <f>'Приложение 8'!R207</f>
        <v>4389.7</v>
      </c>
      <c r="S322" s="197">
        <v>5222.4</v>
      </c>
    </row>
    <row r="323" spans="1:19" ht="24" customHeight="1">
      <c r="A323" s="95"/>
      <c r="B323" s="94"/>
      <c r="C323" s="93"/>
      <c r="D323" s="97"/>
      <c r="E323" s="111"/>
      <c r="F323" s="111"/>
      <c r="G323" s="85"/>
      <c r="H323" s="17" t="str">
        <f>'Приложение 8'!H208</f>
        <v>Уплата налогов, сборов и иных платежей</v>
      </c>
      <c r="I323" s="7">
        <f>'Приложение 8'!I208</f>
        <v>27</v>
      </c>
      <c r="J323" s="18">
        <f>'Приложение 8'!J208</f>
        <v>5</v>
      </c>
      <c r="K323" s="15">
        <f>'Приложение 8'!K208</f>
        <v>1</v>
      </c>
      <c r="L323" s="91" t="str">
        <f>'Приложение 8'!L208</f>
        <v>26</v>
      </c>
      <c r="M323" s="92" t="str">
        <f>'Приложение 8'!M208</f>
        <v>0</v>
      </c>
      <c r="N323" s="92" t="str">
        <f>'Приложение 8'!N208</f>
        <v>F3</v>
      </c>
      <c r="O323" s="92" t="str">
        <f>'Приложение 8'!O208</f>
        <v>67484</v>
      </c>
      <c r="P323" s="5">
        <f>'Приложение 8'!P208</f>
        <v>850</v>
      </c>
      <c r="Q323" s="197">
        <f>'Приложение 8'!Q208</f>
        <v>300.5</v>
      </c>
      <c r="R323" s="197">
        <f>'Приложение 8'!R208</f>
        <v>0</v>
      </c>
      <c r="S323" s="197">
        <f>'Приложение 8'!S208</f>
        <v>0</v>
      </c>
    </row>
    <row r="324" spans="1:19" ht="42" customHeight="1">
      <c r="A324" s="95"/>
      <c r="B324" s="94"/>
      <c r="C324" s="93"/>
      <c r="D324" s="97"/>
      <c r="E324" s="111"/>
      <c r="F324" s="111"/>
      <c r="G324" s="85"/>
      <c r="H324" s="17" t="s">
        <v>548</v>
      </c>
      <c r="I324" s="7">
        <v>27</v>
      </c>
      <c r="J324" s="18">
        <v>5</v>
      </c>
      <c r="K324" s="15">
        <v>1</v>
      </c>
      <c r="L324" s="91" t="s">
        <v>39</v>
      </c>
      <c r="M324" s="92" t="s">
        <v>347</v>
      </c>
      <c r="N324" s="92" t="s">
        <v>540</v>
      </c>
      <c r="O324" s="92" t="s">
        <v>547</v>
      </c>
      <c r="P324" s="5"/>
      <c r="Q324" s="197">
        <f>Q325+Q326</f>
        <v>644.4000000000001</v>
      </c>
      <c r="R324" s="197">
        <f>R325</f>
        <v>1000</v>
      </c>
      <c r="S324" s="197">
        <f>S325</f>
        <v>1000</v>
      </c>
    </row>
    <row r="325" spans="1:19" ht="24" customHeight="1">
      <c r="A325" s="95"/>
      <c r="B325" s="94"/>
      <c r="C325" s="93"/>
      <c r="D325" s="97"/>
      <c r="E325" s="111"/>
      <c r="F325" s="111"/>
      <c r="G325" s="85"/>
      <c r="H325" s="17" t="s">
        <v>454</v>
      </c>
      <c r="I325" s="7">
        <v>27</v>
      </c>
      <c r="J325" s="18">
        <v>5</v>
      </c>
      <c r="K325" s="15">
        <v>1</v>
      </c>
      <c r="L325" s="91" t="s">
        <v>39</v>
      </c>
      <c r="M325" s="92" t="s">
        <v>347</v>
      </c>
      <c r="N325" s="92" t="s">
        <v>540</v>
      </c>
      <c r="O325" s="92" t="s">
        <v>547</v>
      </c>
      <c r="P325" s="5">
        <v>240</v>
      </c>
      <c r="Q325" s="197">
        <f>'Приложение 8'!Q210</f>
        <v>524.4000000000001</v>
      </c>
      <c r="R325" s="197">
        <v>1000</v>
      </c>
      <c r="S325" s="197">
        <v>1000</v>
      </c>
    </row>
    <row r="326" spans="1:19" ht="24" customHeight="1">
      <c r="A326" s="95"/>
      <c r="B326" s="94"/>
      <c r="C326" s="93"/>
      <c r="D326" s="97"/>
      <c r="E326" s="111"/>
      <c r="F326" s="111"/>
      <c r="G326" s="85"/>
      <c r="H326" s="17" t="str">
        <f>'Приложение 8'!H211</f>
        <v>Субсидии автономным учреждениям</v>
      </c>
      <c r="I326" s="7">
        <f>'Приложение 8'!I211</f>
        <v>27</v>
      </c>
      <c r="J326" s="18">
        <f>'Приложение 8'!J211</f>
        <v>5</v>
      </c>
      <c r="K326" s="15">
        <f>'Приложение 8'!K211</f>
        <v>1</v>
      </c>
      <c r="L326" s="91" t="str">
        <f>'Приложение 8'!L211</f>
        <v>26</v>
      </c>
      <c r="M326" s="92" t="str">
        <f>'Приложение 8'!M211</f>
        <v>0</v>
      </c>
      <c r="N326" s="92" t="str">
        <f>'Приложение 8'!N211</f>
        <v>F3</v>
      </c>
      <c r="O326" s="92" t="str">
        <f>'Приложение 8'!O211</f>
        <v>6748S</v>
      </c>
      <c r="P326" s="5">
        <f>'Приложение 8'!P211</f>
        <v>620</v>
      </c>
      <c r="Q326" s="197">
        <f>'Приложение 8'!Q211</f>
        <v>120</v>
      </c>
      <c r="R326" s="197">
        <f>'Приложение 8'!R211</f>
        <v>0</v>
      </c>
      <c r="S326" s="197">
        <f>'Приложение 8'!S211</f>
        <v>0</v>
      </c>
    </row>
    <row r="327" spans="1:19" s="171" customFormat="1" ht="21" customHeight="1">
      <c r="A327" s="135"/>
      <c r="B327" s="136"/>
      <c r="C327" s="135"/>
      <c r="D327" s="143"/>
      <c r="E327" s="144"/>
      <c r="F327" s="144"/>
      <c r="G327" s="129"/>
      <c r="H327" s="268" t="s">
        <v>468</v>
      </c>
      <c r="I327" s="139">
        <v>27</v>
      </c>
      <c r="J327" s="140">
        <v>5</v>
      </c>
      <c r="K327" s="132">
        <v>2</v>
      </c>
      <c r="L327" s="133"/>
      <c r="M327" s="134"/>
      <c r="N327" s="134"/>
      <c r="O327" s="134"/>
      <c r="P327" s="139"/>
      <c r="Q327" s="198">
        <f>Q332+Q341+Q328</f>
        <v>29149</v>
      </c>
      <c r="R327" s="198">
        <f>R332+R341</f>
        <v>10450.4</v>
      </c>
      <c r="S327" s="198">
        <f>S332+S341</f>
        <v>500</v>
      </c>
    </row>
    <row r="328" spans="1:19" s="171" customFormat="1" ht="26.25" customHeight="1">
      <c r="A328" s="135"/>
      <c r="B328" s="136"/>
      <c r="C328" s="135"/>
      <c r="D328" s="143"/>
      <c r="E328" s="144"/>
      <c r="F328" s="144"/>
      <c r="G328" s="129"/>
      <c r="H328" s="17" t="str">
        <f>'Приложение 8'!H213</f>
        <v>Муниципальная программа "Энергосбережение на территории Белозерского муниципального района на 2017-2021 г.г."</v>
      </c>
      <c r="I328" s="26">
        <f>'Приложение 8'!I213</f>
        <v>27</v>
      </c>
      <c r="J328" s="18">
        <f>'Приложение 8'!J213</f>
        <v>5</v>
      </c>
      <c r="K328" s="15">
        <f>'Приложение 8'!K213</f>
        <v>2</v>
      </c>
      <c r="L328" s="91" t="str">
        <f>'Приложение 8'!L213</f>
        <v>18</v>
      </c>
      <c r="M328" s="92" t="str">
        <f>'Приложение 8'!M213</f>
        <v>0</v>
      </c>
      <c r="N328" s="92" t="str">
        <f>'Приложение 8'!N213</f>
        <v>00</v>
      </c>
      <c r="O328" s="92" t="str">
        <f>'Приложение 8'!O213</f>
        <v>00000</v>
      </c>
      <c r="P328" s="5" t="s">
        <v>393</v>
      </c>
      <c r="Q328" s="197">
        <f>'Приложение 8'!Q213</f>
        <v>7040.4</v>
      </c>
      <c r="R328" s="197">
        <f>'Приложение 8'!R213</f>
        <v>0</v>
      </c>
      <c r="S328" s="197">
        <f>'Приложение 8'!S213</f>
        <v>0</v>
      </c>
    </row>
    <row r="329" spans="1:19" s="171" customFormat="1" ht="26.25" customHeight="1">
      <c r="A329" s="135"/>
      <c r="B329" s="136"/>
      <c r="C329" s="135"/>
      <c r="D329" s="143"/>
      <c r="E329" s="144"/>
      <c r="F329" s="144"/>
      <c r="G329" s="129"/>
      <c r="H329" s="17" t="str">
        <f>'Приложение 8'!H214</f>
        <v>Основное мероприятие "Приобретение материалов для замены участка тепловой сети от котельной "Оптика"</v>
      </c>
      <c r="I329" s="26">
        <f>'Приложение 8'!I214</f>
        <v>27</v>
      </c>
      <c r="J329" s="18">
        <f>'Приложение 8'!J214</f>
        <v>5</v>
      </c>
      <c r="K329" s="15">
        <f>'Приложение 8'!K214</f>
        <v>2</v>
      </c>
      <c r="L329" s="91" t="str">
        <f>'Приложение 8'!L214</f>
        <v>18</v>
      </c>
      <c r="M329" s="92" t="str">
        <f>'Приложение 8'!M214</f>
        <v>0</v>
      </c>
      <c r="N329" s="92" t="str">
        <f>'Приложение 8'!N214</f>
        <v>05</v>
      </c>
      <c r="O329" s="92" t="str">
        <f>'Приложение 8'!O214</f>
        <v>00000</v>
      </c>
      <c r="P329" s="5" t="s">
        <v>393</v>
      </c>
      <c r="Q329" s="197">
        <f>'Приложение 8'!Q214</f>
        <v>7040.4</v>
      </c>
      <c r="R329" s="197">
        <f>'Приложение 8'!R214</f>
        <v>0</v>
      </c>
      <c r="S329" s="197">
        <f>'Приложение 8'!S214</f>
        <v>0</v>
      </c>
    </row>
    <row r="330" spans="1:19" s="171" customFormat="1" ht="26.25" customHeight="1">
      <c r="A330" s="135"/>
      <c r="B330" s="136"/>
      <c r="C330" s="135"/>
      <c r="D330" s="143"/>
      <c r="E330" s="144"/>
      <c r="F330" s="144"/>
      <c r="G330" s="129"/>
      <c r="H330" s="17" t="str">
        <f>'Приложение 8'!H215</f>
        <v>Мероприятия по подготовке объектов теплоэнергетики, находящихся в муниципальной собственности, к работе в осенне-зимний период</v>
      </c>
      <c r="I330" s="26">
        <f>'Приложение 8'!I215</f>
        <v>27</v>
      </c>
      <c r="J330" s="18">
        <f>'Приложение 8'!J215</f>
        <v>5</v>
      </c>
      <c r="K330" s="15">
        <f>'Приложение 8'!K215</f>
        <v>2</v>
      </c>
      <c r="L330" s="91" t="str">
        <f>'Приложение 8'!L215</f>
        <v>18</v>
      </c>
      <c r="M330" s="92" t="str">
        <f>'Приложение 8'!M215</f>
        <v>0</v>
      </c>
      <c r="N330" s="92" t="str">
        <f>'Приложение 8'!N215</f>
        <v>05</v>
      </c>
      <c r="O330" s="92" t="str">
        <f>'Приложение 8'!O215</f>
        <v>S3150</v>
      </c>
      <c r="P330" s="5" t="s">
        <v>393</v>
      </c>
      <c r="Q330" s="197">
        <f>'Приложение 8'!Q215</f>
        <v>7040.4</v>
      </c>
      <c r="R330" s="197">
        <f>'Приложение 8'!R215</f>
        <v>0</v>
      </c>
      <c r="S330" s="197">
        <f>'Приложение 8'!S215</f>
        <v>0</v>
      </c>
    </row>
    <row r="331" spans="1:19" s="171" customFormat="1" ht="21" customHeight="1">
      <c r="A331" s="135"/>
      <c r="B331" s="136"/>
      <c r="C331" s="135"/>
      <c r="D331" s="143"/>
      <c r="E331" s="144"/>
      <c r="F331" s="144"/>
      <c r="G331" s="129"/>
      <c r="H331" s="17" t="str">
        <f>'Приложение 8'!H216</f>
        <v>Иные закупки товаров, работ и услуг для обеспечения государственных (муниципальных) нужд</v>
      </c>
      <c r="I331" s="26">
        <f>'Приложение 8'!I216</f>
        <v>27</v>
      </c>
      <c r="J331" s="18">
        <f>'Приложение 8'!J216</f>
        <v>5</v>
      </c>
      <c r="K331" s="15">
        <f>'Приложение 8'!K216</f>
        <v>2</v>
      </c>
      <c r="L331" s="91" t="str">
        <f>'Приложение 8'!L216</f>
        <v>18</v>
      </c>
      <c r="M331" s="92" t="str">
        <f>'Приложение 8'!M216</f>
        <v>0</v>
      </c>
      <c r="N331" s="92" t="str">
        <f>'Приложение 8'!N216</f>
        <v>05</v>
      </c>
      <c r="O331" s="92" t="str">
        <f>'Приложение 8'!O216</f>
        <v>S3150</v>
      </c>
      <c r="P331" s="5">
        <f>'Приложение 8'!P216</f>
        <v>240</v>
      </c>
      <c r="Q331" s="197">
        <f>'Приложение 8'!Q216</f>
        <v>7040.4</v>
      </c>
      <c r="R331" s="197">
        <f>'Приложение 8'!R216</f>
        <v>0</v>
      </c>
      <c r="S331" s="197">
        <f>'Приложение 8'!S216</f>
        <v>0</v>
      </c>
    </row>
    <row r="332" spans="1:19" ht="39.75" customHeight="1">
      <c r="A332" s="95"/>
      <c r="B332" s="94"/>
      <c r="C332" s="93"/>
      <c r="D332" s="97"/>
      <c r="E332" s="111"/>
      <c r="F332" s="111"/>
      <c r="G332" s="85"/>
      <c r="H332" s="17" t="s">
        <v>778</v>
      </c>
      <c r="I332" s="26">
        <v>27</v>
      </c>
      <c r="J332" s="18">
        <v>5</v>
      </c>
      <c r="K332" s="15">
        <v>2</v>
      </c>
      <c r="L332" s="91" t="s">
        <v>777</v>
      </c>
      <c r="M332" s="92" t="s">
        <v>347</v>
      </c>
      <c r="N332" s="92" t="s">
        <v>357</v>
      </c>
      <c r="O332" s="92" t="s">
        <v>392</v>
      </c>
      <c r="P332" s="5"/>
      <c r="Q332" s="197">
        <f>Q333</f>
        <v>21968.6</v>
      </c>
      <c r="R332" s="197">
        <f>R333</f>
        <v>10450.4</v>
      </c>
      <c r="S332" s="197">
        <f>S333</f>
        <v>500</v>
      </c>
    </row>
    <row r="333" spans="1:19" ht="39.75" customHeight="1">
      <c r="A333" s="95"/>
      <c r="B333" s="94"/>
      <c r="C333" s="93"/>
      <c r="D333" s="97"/>
      <c r="E333" s="111"/>
      <c r="F333" s="111"/>
      <c r="G333" s="85"/>
      <c r="H333" s="17" t="s">
        <v>623</v>
      </c>
      <c r="I333" s="26">
        <v>27</v>
      </c>
      <c r="J333" s="18">
        <v>5</v>
      </c>
      <c r="K333" s="15">
        <v>2</v>
      </c>
      <c r="L333" s="91" t="s">
        <v>777</v>
      </c>
      <c r="M333" s="92" t="s">
        <v>347</v>
      </c>
      <c r="N333" s="92" t="s">
        <v>348</v>
      </c>
      <c r="O333" s="92" t="s">
        <v>392</v>
      </c>
      <c r="P333" s="5"/>
      <c r="Q333" s="197">
        <f>Q334+Q336+Q338</f>
        <v>21968.6</v>
      </c>
      <c r="R333" s="197">
        <f>R334+R336+R338</f>
        <v>10450.4</v>
      </c>
      <c r="S333" s="197">
        <f>S334+S336+S338</f>
        <v>500</v>
      </c>
    </row>
    <row r="334" spans="1:19" ht="27" customHeight="1">
      <c r="A334" s="95"/>
      <c r="B334" s="94"/>
      <c r="C334" s="93"/>
      <c r="D334" s="97"/>
      <c r="E334" s="111"/>
      <c r="F334" s="111"/>
      <c r="G334" s="85"/>
      <c r="H334" s="17" t="s">
        <v>29</v>
      </c>
      <c r="I334" s="26">
        <v>27</v>
      </c>
      <c r="J334" s="18">
        <v>5</v>
      </c>
      <c r="K334" s="15">
        <v>2</v>
      </c>
      <c r="L334" s="91" t="s">
        <v>777</v>
      </c>
      <c r="M334" s="92" t="s">
        <v>347</v>
      </c>
      <c r="N334" s="92" t="s">
        <v>348</v>
      </c>
      <c r="O334" s="92" t="s">
        <v>28</v>
      </c>
      <c r="P334" s="5"/>
      <c r="Q334" s="197">
        <f>Q335</f>
        <v>0</v>
      </c>
      <c r="R334" s="197">
        <f>R335</f>
        <v>0</v>
      </c>
      <c r="S334" s="197">
        <f>S335</f>
        <v>500</v>
      </c>
    </row>
    <row r="335" spans="1:19" ht="22.5" customHeight="1">
      <c r="A335" s="95"/>
      <c r="B335" s="94"/>
      <c r="C335" s="93"/>
      <c r="D335" s="97"/>
      <c r="E335" s="111"/>
      <c r="F335" s="111"/>
      <c r="G335" s="85"/>
      <c r="H335" s="17" t="s">
        <v>454</v>
      </c>
      <c r="I335" s="26">
        <v>27</v>
      </c>
      <c r="J335" s="18">
        <v>5</v>
      </c>
      <c r="K335" s="15">
        <v>2</v>
      </c>
      <c r="L335" s="91" t="s">
        <v>777</v>
      </c>
      <c r="M335" s="92" t="s">
        <v>347</v>
      </c>
      <c r="N335" s="92" t="s">
        <v>348</v>
      </c>
      <c r="O335" s="92" t="s">
        <v>28</v>
      </c>
      <c r="P335" s="5">
        <v>240</v>
      </c>
      <c r="Q335" s="197">
        <v>0</v>
      </c>
      <c r="R335" s="197">
        <v>0</v>
      </c>
      <c r="S335" s="197">
        <v>500</v>
      </c>
    </row>
    <row r="336" spans="1:19" ht="22.5" customHeight="1">
      <c r="A336" s="95"/>
      <c r="B336" s="94"/>
      <c r="C336" s="93"/>
      <c r="D336" s="97"/>
      <c r="E336" s="111"/>
      <c r="F336" s="111"/>
      <c r="G336" s="85"/>
      <c r="H336" s="17" t="s">
        <v>625</v>
      </c>
      <c r="I336" s="26">
        <v>27</v>
      </c>
      <c r="J336" s="18">
        <v>5</v>
      </c>
      <c r="K336" s="15">
        <v>2</v>
      </c>
      <c r="L336" s="91" t="s">
        <v>777</v>
      </c>
      <c r="M336" s="92" t="s">
        <v>347</v>
      </c>
      <c r="N336" s="92" t="s">
        <v>348</v>
      </c>
      <c r="O336" s="92" t="s">
        <v>624</v>
      </c>
      <c r="P336" s="5"/>
      <c r="Q336" s="197">
        <f>Q337</f>
        <v>21968.6</v>
      </c>
      <c r="R336" s="197">
        <f>R337</f>
        <v>0</v>
      </c>
      <c r="S336" s="197">
        <f>S337</f>
        <v>0</v>
      </c>
    </row>
    <row r="337" spans="1:19" ht="22.5" customHeight="1">
      <c r="A337" s="95"/>
      <c r="B337" s="94"/>
      <c r="C337" s="93"/>
      <c r="D337" s="97"/>
      <c r="E337" s="111"/>
      <c r="F337" s="111"/>
      <c r="G337" s="85"/>
      <c r="H337" s="17" t="s">
        <v>454</v>
      </c>
      <c r="I337" s="26">
        <v>27</v>
      </c>
      <c r="J337" s="18">
        <v>5</v>
      </c>
      <c r="K337" s="15">
        <v>2</v>
      </c>
      <c r="L337" s="91" t="s">
        <v>777</v>
      </c>
      <c r="M337" s="92" t="s">
        <v>347</v>
      </c>
      <c r="N337" s="92" t="s">
        <v>348</v>
      </c>
      <c r="O337" s="92" t="s">
        <v>624</v>
      </c>
      <c r="P337" s="5">
        <v>240</v>
      </c>
      <c r="Q337" s="197">
        <f>'Приложение 8'!Q222</f>
        <v>21968.6</v>
      </c>
      <c r="R337" s="197">
        <v>0</v>
      </c>
      <c r="S337" s="197">
        <v>0</v>
      </c>
    </row>
    <row r="338" spans="1:19" ht="35.25" customHeight="1">
      <c r="A338" s="95"/>
      <c r="B338" s="94"/>
      <c r="C338" s="93"/>
      <c r="D338" s="97"/>
      <c r="E338" s="111"/>
      <c r="F338" s="111"/>
      <c r="G338" s="85"/>
      <c r="H338" s="112" t="s">
        <v>700</v>
      </c>
      <c r="I338" s="26">
        <v>27</v>
      </c>
      <c r="J338" s="18">
        <v>5</v>
      </c>
      <c r="K338" s="15">
        <v>2</v>
      </c>
      <c r="L338" s="91" t="s">
        <v>777</v>
      </c>
      <c r="M338" s="92" t="s">
        <v>347</v>
      </c>
      <c r="N338" s="92" t="s">
        <v>862</v>
      </c>
      <c r="O338" s="92" t="s">
        <v>392</v>
      </c>
      <c r="P338" s="5"/>
      <c r="Q338" s="197">
        <f aca="true" t="shared" si="28" ref="Q338:S339">Q339</f>
        <v>0</v>
      </c>
      <c r="R338" s="197">
        <f t="shared" si="28"/>
        <v>10450.4</v>
      </c>
      <c r="S338" s="197">
        <f t="shared" si="28"/>
        <v>0</v>
      </c>
    </row>
    <row r="339" spans="1:19" ht="22.5" customHeight="1">
      <c r="A339" s="95"/>
      <c r="B339" s="94"/>
      <c r="C339" s="93"/>
      <c r="D339" s="97"/>
      <c r="E339" s="111"/>
      <c r="F339" s="111"/>
      <c r="G339" s="85"/>
      <c r="H339" s="17" t="s">
        <v>412</v>
      </c>
      <c r="I339" s="26">
        <v>27</v>
      </c>
      <c r="J339" s="6">
        <v>5</v>
      </c>
      <c r="K339" s="15">
        <v>2</v>
      </c>
      <c r="L339" s="91" t="s">
        <v>777</v>
      </c>
      <c r="M339" s="92" t="s">
        <v>347</v>
      </c>
      <c r="N339" s="92" t="s">
        <v>862</v>
      </c>
      <c r="O339" s="92" t="s">
        <v>603</v>
      </c>
      <c r="P339" s="5"/>
      <c r="Q339" s="197">
        <f t="shared" si="28"/>
        <v>0</v>
      </c>
      <c r="R339" s="197">
        <f t="shared" si="28"/>
        <v>10450.4</v>
      </c>
      <c r="S339" s="197">
        <f t="shared" si="28"/>
        <v>0</v>
      </c>
    </row>
    <row r="340" spans="1:19" ht="22.5" customHeight="1">
      <c r="A340" s="95"/>
      <c r="B340" s="94"/>
      <c r="C340" s="93"/>
      <c r="D340" s="97"/>
      <c r="E340" s="111"/>
      <c r="F340" s="111"/>
      <c r="G340" s="85"/>
      <c r="H340" s="17" t="s">
        <v>454</v>
      </c>
      <c r="I340" s="26">
        <v>27</v>
      </c>
      <c r="J340" s="6">
        <v>5</v>
      </c>
      <c r="K340" s="15">
        <v>2</v>
      </c>
      <c r="L340" s="91" t="s">
        <v>777</v>
      </c>
      <c r="M340" s="92" t="s">
        <v>347</v>
      </c>
      <c r="N340" s="92" t="s">
        <v>862</v>
      </c>
      <c r="O340" s="92" t="s">
        <v>603</v>
      </c>
      <c r="P340" s="5">
        <v>240</v>
      </c>
      <c r="Q340" s="197">
        <f>17883.5-17883.5</f>
        <v>0</v>
      </c>
      <c r="R340" s="197">
        <f>'Приложение 8'!R225</f>
        <v>10450.4</v>
      </c>
      <c r="S340" s="197">
        <f>17883.5-17883.5</f>
        <v>0</v>
      </c>
    </row>
    <row r="341" spans="1:19" ht="42" customHeight="1">
      <c r="A341" s="95"/>
      <c r="B341" s="94"/>
      <c r="C341" s="93"/>
      <c r="D341" s="97"/>
      <c r="E341" s="111"/>
      <c r="F341" s="111"/>
      <c r="G341" s="85"/>
      <c r="H341" s="10" t="s">
        <v>53</v>
      </c>
      <c r="I341" s="5">
        <v>27</v>
      </c>
      <c r="J341" s="6">
        <v>5</v>
      </c>
      <c r="K341" s="15">
        <v>2</v>
      </c>
      <c r="L341" s="91" t="s">
        <v>559</v>
      </c>
      <c r="M341" s="92" t="s">
        <v>347</v>
      </c>
      <c r="N341" s="92" t="s">
        <v>357</v>
      </c>
      <c r="O341" s="92" t="s">
        <v>392</v>
      </c>
      <c r="P341" s="5"/>
      <c r="Q341" s="197">
        <f>Q342</f>
        <v>140</v>
      </c>
      <c r="R341" s="197">
        <f aca="true" t="shared" si="29" ref="R341:S343">R342</f>
        <v>0</v>
      </c>
      <c r="S341" s="197">
        <f t="shared" si="29"/>
        <v>0</v>
      </c>
    </row>
    <row r="342" spans="1:19" ht="40.5" customHeight="1">
      <c r="A342" s="95"/>
      <c r="B342" s="94"/>
      <c r="C342" s="93"/>
      <c r="D342" s="97"/>
      <c r="E342" s="111"/>
      <c r="F342" s="111"/>
      <c r="G342" s="85"/>
      <c r="H342" s="4" t="s">
        <v>54</v>
      </c>
      <c r="I342" s="26">
        <v>27</v>
      </c>
      <c r="J342" s="6">
        <v>5</v>
      </c>
      <c r="K342" s="15">
        <v>2</v>
      </c>
      <c r="L342" s="91" t="s">
        <v>559</v>
      </c>
      <c r="M342" s="92" t="s">
        <v>347</v>
      </c>
      <c r="N342" s="92" t="s">
        <v>348</v>
      </c>
      <c r="O342" s="92" t="s">
        <v>392</v>
      </c>
      <c r="P342" s="5"/>
      <c r="Q342" s="197">
        <f>Q343</f>
        <v>140</v>
      </c>
      <c r="R342" s="197">
        <f t="shared" si="29"/>
        <v>0</v>
      </c>
      <c r="S342" s="197">
        <f t="shared" si="29"/>
        <v>0</v>
      </c>
    </row>
    <row r="343" spans="1:19" ht="21" customHeight="1">
      <c r="A343" s="95"/>
      <c r="B343" s="94"/>
      <c r="C343" s="93"/>
      <c r="D343" s="97"/>
      <c r="E343" s="111"/>
      <c r="F343" s="111"/>
      <c r="G343" s="85"/>
      <c r="H343" s="17" t="s">
        <v>878</v>
      </c>
      <c r="I343" s="26">
        <v>27</v>
      </c>
      <c r="J343" s="6">
        <v>5</v>
      </c>
      <c r="K343" s="15">
        <v>2</v>
      </c>
      <c r="L343" s="91" t="s">
        <v>559</v>
      </c>
      <c r="M343" s="92" t="s">
        <v>347</v>
      </c>
      <c r="N343" s="92" t="s">
        <v>348</v>
      </c>
      <c r="O343" s="92" t="s">
        <v>473</v>
      </c>
      <c r="P343" s="5"/>
      <c r="Q343" s="197">
        <f>Q344</f>
        <v>140</v>
      </c>
      <c r="R343" s="197">
        <f t="shared" si="29"/>
        <v>0</v>
      </c>
      <c r="S343" s="197">
        <f t="shared" si="29"/>
        <v>0</v>
      </c>
    </row>
    <row r="344" spans="1:19" ht="21" customHeight="1">
      <c r="A344" s="95"/>
      <c r="B344" s="94"/>
      <c r="C344" s="93"/>
      <c r="D344" s="97"/>
      <c r="E344" s="111"/>
      <c r="F344" s="111"/>
      <c r="G344" s="85"/>
      <c r="H344" s="17" t="s">
        <v>397</v>
      </c>
      <c r="I344" s="26">
        <v>27</v>
      </c>
      <c r="J344" s="6">
        <v>5</v>
      </c>
      <c r="K344" s="15">
        <v>2</v>
      </c>
      <c r="L344" s="91" t="s">
        <v>559</v>
      </c>
      <c r="M344" s="92" t="s">
        <v>347</v>
      </c>
      <c r="N344" s="92" t="s">
        <v>348</v>
      </c>
      <c r="O344" s="92" t="s">
        <v>473</v>
      </c>
      <c r="P344" s="5">
        <v>540</v>
      </c>
      <c r="Q344" s="197">
        <f>'Приложение 8'!Q229</f>
        <v>140</v>
      </c>
      <c r="R344" s="197">
        <v>0</v>
      </c>
      <c r="S344" s="197">
        <v>0</v>
      </c>
    </row>
    <row r="345" spans="1:19" s="171" customFormat="1" ht="26.25" customHeight="1">
      <c r="A345" s="135"/>
      <c r="B345" s="136"/>
      <c r="C345" s="135"/>
      <c r="D345" s="143"/>
      <c r="E345" s="144"/>
      <c r="F345" s="144"/>
      <c r="G345" s="129"/>
      <c r="H345" s="208" t="s">
        <v>38</v>
      </c>
      <c r="I345" s="219">
        <v>27</v>
      </c>
      <c r="J345" s="141">
        <v>5</v>
      </c>
      <c r="K345" s="132">
        <v>3</v>
      </c>
      <c r="L345" s="133"/>
      <c r="M345" s="134"/>
      <c r="N345" s="134"/>
      <c r="O345" s="134"/>
      <c r="P345" s="139"/>
      <c r="Q345" s="198">
        <f>Q346</f>
        <v>250.8</v>
      </c>
      <c r="R345" s="198">
        <f>R346</f>
        <v>203.4</v>
      </c>
      <c r="S345" s="198">
        <f>S350</f>
        <v>203.4</v>
      </c>
    </row>
    <row r="346" spans="1:19" ht="34.5" customHeight="1">
      <c r="A346" s="93"/>
      <c r="B346" s="94"/>
      <c r="C346" s="93"/>
      <c r="D346" s="97"/>
      <c r="E346" s="111"/>
      <c r="F346" s="111"/>
      <c r="G346" s="85"/>
      <c r="H346" s="17" t="s">
        <v>531</v>
      </c>
      <c r="I346" s="5">
        <v>27</v>
      </c>
      <c r="J346" s="6">
        <v>5</v>
      </c>
      <c r="K346" s="15">
        <v>3</v>
      </c>
      <c r="L346" s="91" t="s">
        <v>529</v>
      </c>
      <c r="M346" s="92" t="s">
        <v>347</v>
      </c>
      <c r="N346" s="92" t="s">
        <v>357</v>
      </c>
      <c r="O346" s="92" t="s">
        <v>392</v>
      </c>
      <c r="P346" s="5"/>
      <c r="Q346" s="197">
        <f>Q347</f>
        <v>250.8</v>
      </c>
      <c r="R346" s="197">
        <f>R347</f>
        <v>203.4</v>
      </c>
      <c r="S346" s="197">
        <f>S347</f>
        <v>0</v>
      </c>
    </row>
    <row r="347" spans="1:19" ht="31.5" customHeight="1">
      <c r="A347" s="93"/>
      <c r="B347" s="94"/>
      <c r="C347" s="93"/>
      <c r="D347" s="97"/>
      <c r="E347" s="111"/>
      <c r="F347" s="111"/>
      <c r="G347" s="85"/>
      <c r="H347" s="122" t="s">
        <v>701</v>
      </c>
      <c r="I347" s="5">
        <v>27</v>
      </c>
      <c r="J347" s="6">
        <v>5</v>
      </c>
      <c r="K347" s="15">
        <v>3</v>
      </c>
      <c r="L347" s="91" t="s">
        <v>529</v>
      </c>
      <c r="M347" s="92" t="s">
        <v>347</v>
      </c>
      <c r="N347" s="92" t="s">
        <v>541</v>
      </c>
      <c r="O347" s="92" t="s">
        <v>392</v>
      </c>
      <c r="P347" s="5"/>
      <c r="Q347" s="197">
        <f aca="true" t="shared" si="30" ref="Q347:S348">Q348</f>
        <v>250.8</v>
      </c>
      <c r="R347" s="197">
        <f t="shared" si="30"/>
        <v>203.4</v>
      </c>
      <c r="S347" s="197">
        <f t="shared" si="30"/>
        <v>0</v>
      </c>
    </row>
    <row r="348" spans="1:19" ht="33" customHeight="1">
      <c r="A348" s="93"/>
      <c r="B348" s="94"/>
      <c r="C348" s="93"/>
      <c r="D348" s="97"/>
      <c r="E348" s="111"/>
      <c r="F348" s="111"/>
      <c r="G348" s="85"/>
      <c r="H348" s="17" t="s">
        <v>530</v>
      </c>
      <c r="I348" s="5">
        <v>27</v>
      </c>
      <c r="J348" s="6">
        <v>5</v>
      </c>
      <c r="K348" s="15">
        <v>3</v>
      </c>
      <c r="L348" s="91" t="s">
        <v>529</v>
      </c>
      <c r="M348" s="92" t="s">
        <v>347</v>
      </c>
      <c r="N348" s="92" t="s">
        <v>541</v>
      </c>
      <c r="O348" s="92" t="s">
        <v>542</v>
      </c>
      <c r="P348" s="5"/>
      <c r="Q348" s="197">
        <f t="shared" si="30"/>
        <v>250.8</v>
      </c>
      <c r="R348" s="197">
        <f t="shared" si="30"/>
        <v>203.4</v>
      </c>
      <c r="S348" s="197">
        <f t="shared" si="30"/>
        <v>0</v>
      </c>
    </row>
    <row r="349" spans="1:19" ht="27" customHeight="1">
      <c r="A349" s="93"/>
      <c r="B349" s="94"/>
      <c r="C349" s="93"/>
      <c r="D349" s="97"/>
      <c r="E349" s="111"/>
      <c r="F349" s="111"/>
      <c r="G349" s="85"/>
      <c r="H349" s="17" t="s">
        <v>454</v>
      </c>
      <c r="I349" s="5">
        <v>27</v>
      </c>
      <c r="J349" s="6">
        <v>5</v>
      </c>
      <c r="K349" s="15">
        <v>3</v>
      </c>
      <c r="L349" s="91" t="s">
        <v>529</v>
      </c>
      <c r="M349" s="92" t="s">
        <v>347</v>
      </c>
      <c r="N349" s="92" t="s">
        <v>541</v>
      </c>
      <c r="O349" s="92" t="s">
        <v>542</v>
      </c>
      <c r="P349" s="5">
        <v>240</v>
      </c>
      <c r="Q349" s="197">
        <f>'Приложение 8'!Q234</f>
        <v>250.8</v>
      </c>
      <c r="R349" s="197">
        <v>203.4</v>
      </c>
      <c r="S349" s="197">
        <v>0</v>
      </c>
    </row>
    <row r="350" spans="1:19" ht="34.5" customHeight="1">
      <c r="A350" s="93"/>
      <c r="B350" s="94"/>
      <c r="C350" s="93"/>
      <c r="D350" s="97"/>
      <c r="E350" s="111"/>
      <c r="F350" s="111"/>
      <c r="G350" s="85"/>
      <c r="H350" s="17" t="s">
        <v>645</v>
      </c>
      <c r="I350" s="5">
        <v>27</v>
      </c>
      <c r="J350" s="6">
        <v>5</v>
      </c>
      <c r="K350" s="15">
        <v>3</v>
      </c>
      <c r="L350" s="91" t="s">
        <v>644</v>
      </c>
      <c r="M350" s="92" t="s">
        <v>347</v>
      </c>
      <c r="N350" s="92" t="s">
        <v>357</v>
      </c>
      <c r="O350" s="92" t="s">
        <v>392</v>
      </c>
      <c r="P350" s="5"/>
      <c r="Q350" s="197">
        <f>Q351</f>
        <v>0</v>
      </c>
      <c r="R350" s="197">
        <f>R351</f>
        <v>0</v>
      </c>
      <c r="S350" s="197">
        <f>S351</f>
        <v>203.4</v>
      </c>
    </row>
    <row r="351" spans="1:19" ht="31.5" customHeight="1">
      <c r="A351" s="93"/>
      <c r="B351" s="94"/>
      <c r="C351" s="93"/>
      <c r="D351" s="97"/>
      <c r="E351" s="111"/>
      <c r="F351" s="111"/>
      <c r="G351" s="85"/>
      <c r="H351" s="122" t="s">
        <v>701</v>
      </c>
      <c r="I351" s="5">
        <v>27</v>
      </c>
      <c r="J351" s="6">
        <v>5</v>
      </c>
      <c r="K351" s="15">
        <v>3</v>
      </c>
      <c r="L351" s="91" t="s">
        <v>644</v>
      </c>
      <c r="M351" s="92" t="s">
        <v>347</v>
      </c>
      <c r="N351" s="92" t="s">
        <v>541</v>
      </c>
      <c r="O351" s="92" t="s">
        <v>392</v>
      </c>
      <c r="P351" s="5"/>
      <c r="Q351" s="197">
        <f aca="true" t="shared" si="31" ref="Q351:S352">Q352</f>
        <v>0</v>
      </c>
      <c r="R351" s="197">
        <f t="shared" si="31"/>
        <v>0</v>
      </c>
      <c r="S351" s="197">
        <f t="shared" si="31"/>
        <v>203.4</v>
      </c>
    </row>
    <row r="352" spans="1:19" ht="33" customHeight="1">
      <c r="A352" s="93"/>
      <c r="B352" s="94"/>
      <c r="C352" s="93"/>
      <c r="D352" s="97"/>
      <c r="E352" s="111"/>
      <c r="F352" s="111"/>
      <c r="G352" s="85"/>
      <c r="H352" s="17" t="s">
        <v>530</v>
      </c>
      <c r="I352" s="5">
        <v>27</v>
      </c>
      <c r="J352" s="6">
        <v>5</v>
      </c>
      <c r="K352" s="15">
        <v>3</v>
      </c>
      <c r="L352" s="91" t="s">
        <v>644</v>
      </c>
      <c r="M352" s="92" t="s">
        <v>347</v>
      </c>
      <c r="N352" s="92" t="s">
        <v>541</v>
      </c>
      <c r="O352" s="92" t="s">
        <v>542</v>
      </c>
      <c r="P352" s="5"/>
      <c r="Q352" s="197">
        <f t="shared" si="31"/>
        <v>0</v>
      </c>
      <c r="R352" s="197">
        <f t="shared" si="31"/>
        <v>0</v>
      </c>
      <c r="S352" s="197">
        <f t="shared" si="31"/>
        <v>203.4</v>
      </c>
    </row>
    <row r="353" spans="1:19" ht="27" customHeight="1">
      <c r="A353" s="93"/>
      <c r="B353" s="94"/>
      <c r="C353" s="93"/>
      <c r="D353" s="97"/>
      <c r="E353" s="111"/>
      <c r="F353" s="111"/>
      <c r="G353" s="85"/>
      <c r="H353" s="17" t="s">
        <v>454</v>
      </c>
      <c r="I353" s="5">
        <v>27</v>
      </c>
      <c r="J353" s="6">
        <v>5</v>
      </c>
      <c r="K353" s="15">
        <v>3</v>
      </c>
      <c r="L353" s="91" t="s">
        <v>644</v>
      </c>
      <c r="M353" s="92" t="s">
        <v>347</v>
      </c>
      <c r="N353" s="92" t="s">
        <v>541</v>
      </c>
      <c r="O353" s="92" t="s">
        <v>542</v>
      </c>
      <c r="P353" s="5">
        <v>240</v>
      </c>
      <c r="Q353" s="197">
        <v>0</v>
      </c>
      <c r="R353" s="197">
        <v>0</v>
      </c>
      <c r="S353" s="197">
        <v>203.4</v>
      </c>
    </row>
    <row r="354" spans="1:19" s="171" customFormat="1" ht="24.75" customHeight="1">
      <c r="A354" s="135"/>
      <c r="B354" s="136"/>
      <c r="C354" s="135"/>
      <c r="D354" s="143"/>
      <c r="E354" s="144"/>
      <c r="F354" s="144"/>
      <c r="G354" s="129"/>
      <c r="H354" s="220" t="s">
        <v>396</v>
      </c>
      <c r="I354" s="221">
        <v>27</v>
      </c>
      <c r="J354" s="141">
        <v>5</v>
      </c>
      <c r="K354" s="132">
        <v>5</v>
      </c>
      <c r="L354" s="133"/>
      <c r="M354" s="134"/>
      <c r="N354" s="134"/>
      <c r="O354" s="134"/>
      <c r="P354" s="139"/>
      <c r="Q354" s="198">
        <f aca="true" t="shared" si="32" ref="Q354:S355">Q355</f>
        <v>6580.8</v>
      </c>
      <c r="R354" s="198">
        <f t="shared" si="32"/>
        <v>350.1</v>
      </c>
      <c r="S354" s="198">
        <f t="shared" si="32"/>
        <v>350.1</v>
      </c>
    </row>
    <row r="355" spans="1:19" s="171" customFormat="1" ht="35.25" customHeight="1">
      <c r="A355" s="135"/>
      <c r="B355" s="136"/>
      <c r="C355" s="135"/>
      <c r="D355" s="143"/>
      <c r="E355" s="144"/>
      <c r="F355" s="144"/>
      <c r="G355" s="129"/>
      <c r="H355" s="10" t="s">
        <v>53</v>
      </c>
      <c r="I355" s="5">
        <v>27</v>
      </c>
      <c r="J355" s="6">
        <v>5</v>
      </c>
      <c r="K355" s="15">
        <v>5</v>
      </c>
      <c r="L355" s="91" t="s">
        <v>559</v>
      </c>
      <c r="M355" s="92" t="s">
        <v>347</v>
      </c>
      <c r="N355" s="92" t="s">
        <v>357</v>
      </c>
      <c r="O355" s="92" t="s">
        <v>392</v>
      </c>
      <c r="P355" s="139"/>
      <c r="Q355" s="197">
        <f t="shared" si="32"/>
        <v>6580.8</v>
      </c>
      <c r="R355" s="197">
        <f t="shared" si="32"/>
        <v>350.1</v>
      </c>
      <c r="S355" s="197">
        <f t="shared" si="32"/>
        <v>350.1</v>
      </c>
    </row>
    <row r="356" spans="1:19" s="171" customFormat="1" ht="32.25" customHeight="1">
      <c r="A356" s="135"/>
      <c r="B356" s="136"/>
      <c r="C356" s="135"/>
      <c r="D356" s="143"/>
      <c r="E356" s="144"/>
      <c r="F356" s="144"/>
      <c r="G356" s="129"/>
      <c r="H356" s="10" t="s">
        <v>54</v>
      </c>
      <c r="I356" s="5">
        <v>27</v>
      </c>
      <c r="J356" s="6">
        <v>5</v>
      </c>
      <c r="K356" s="15">
        <v>5</v>
      </c>
      <c r="L356" s="91" t="s">
        <v>559</v>
      </c>
      <c r="M356" s="92" t="s">
        <v>347</v>
      </c>
      <c r="N356" s="92" t="s">
        <v>348</v>
      </c>
      <c r="O356" s="92" t="s">
        <v>392</v>
      </c>
      <c r="P356" s="139"/>
      <c r="Q356" s="197">
        <f>Q357+Q360+Q363</f>
        <v>6580.8</v>
      </c>
      <c r="R356" s="197">
        <f>R357+R360+R363</f>
        <v>350.1</v>
      </c>
      <c r="S356" s="197">
        <f>S357+S360+S363</f>
        <v>350.1</v>
      </c>
    </row>
    <row r="357" spans="1:19" ht="48" customHeight="1">
      <c r="A357" s="95"/>
      <c r="B357" s="94"/>
      <c r="C357" s="93"/>
      <c r="D357" s="97"/>
      <c r="E357" s="111"/>
      <c r="F357" s="111"/>
      <c r="G357" s="85"/>
      <c r="H357" s="112" t="s">
        <v>24</v>
      </c>
      <c r="I357" s="7">
        <v>27</v>
      </c>
      <c r="J357" s="18">
        <v>5</v>
      </c>
      <c r="K357" s="15">
        <v>5</v>
      </c>
      <c r="L357" s="91" t="s">
        <v>559</v>
      </c>
      <c r="M357" s="92" t="s">
        <v>347</v>
      </c>
      <c r="N357" s="92" t="s">
        <v>348</v>
      </c>
      <c r="O357" s="92" t="s">
        <v>402</v>
      </c>
      <c r="P357" s="5"/>
      <c r="Q357" s="197">
        <f>Q358+Q359</f>
        <v>1890</v>
      </c>
      <c r="R357" s="197">
        <f>R359</f>
        <v>0</v>
      </c>
      <c r="S357" s="197">
        <f>S359</f>
        <v>0</v>
      </c>
    </row>
    <row r="358" spans="1:19" ht="32.25" customHeight="1">
      <c r="A358" s="95"/>
      <c r="B358" s="94"/>
      <c r="C358" s="93"/>
      <c r="D358" s="97"/>
      <c r="E358" s="111"/>
      <c r="F358" s="111"/>
      <c r="G358" s="85"/>
      <c r="H358" s="112" t="str">
        <f>'Приложение 8'!H243</f>
        <v>Иные закупки товаров, работ и услуг для обеспечения государственных (муниципальных) нужд</v>
      </c>
      <c r="I358" s="7">
        <f>'Приложение 8'!I243</f>
        <v>27</v>
      </c>
      <c r="J358" s="18">
        <f>'Приложение 8'!J243</f>
        <v>5</v>
      </c>
      <c r="K358" s="15">
        <f>'Приложение 8'!K243</f>
        <v>5</v>
      </c>
      <c r="L358" s="91" t="str">
        <f>'Приложение 8'!L243</f>
        <v>50</v>
      </c>
      <c r="M358" s="92" t="str">
        <f>'Приложение 8'!M243</f>
        <v>0</v>
      </c>
      <c r="N358" s="92" t="str">
        <f>'Приложение 8'!N243</f>
        <v>01</v>
      </c>
      <c r="O358" s="92" t="str">
        <f>'Приложение 8'!O243</f>
        <v>90010</v>
      </c>
      <c r="P358" s="5">
        <f>'Приложение 8'!P243</f>
        <v>240</v>
      </c>
      <c r="Q358" s="197">
        <f>'Приложение 8'!Q243</f>
        <v>11.3</v>
      </c>
      <c r="R358" s="197">
        <f>'Приложение 8'!R243</f>
        <v>0</v>
      </c>
      <c r="S358" s="197">
        <f>'Приложение 8'!S243</f>
        <v>0</v>
      </c>
    </row>
    <row r="359" spans="1:19" ht="26.25" customHeight="1">
      <c r="A359" s="95"/>
      <c r="B359" s="94"/>
      <c r="C359" s="93"/>
      <c r="D359" s="97"/>
      <c r="E359" s="111"/>
      <c r="F359" s="111"/>
      <c r="G359" s="85"/>
      <c r="H359" s="112" t="s">
        <v>397</v>
      </c>
      <c r="I359" s="7">
        <v>27</v>
      </c>
      <c r="J359" s="18">
        <v>5</v>
      </c>
      <c r="K359" s="15">
        <v>5</v>
      </c>
      <c r="L359" s="91" t="s">
        <v>559</v>
      </c>
      <c r="M359" s="92" t="s">
        <v>347</v>
      </c>
      <c r="N359" s="92" t="s">
        <v>348</v>
      </c>
      <c r="O359" s="92" t="s">
        <v>402</v>
      </c>
      <c r="P359" s="5">
        <v>540</v>
      </c>
      <c r="Q359" s="195">
        <f>'Приложение 8'!Q244</f>
        <v>1878.7</v>
      </c>
      <c r="R359" s="195">
        <v>0</v>
      </c>
      <c r="S359" s="195">
        <v>0</v>
      </c>
    </row>
    <row r="360" spans="1:19" ht="39" customHeight="1">
      <c r="A360" s="95"/>
      <c r="B360" s="94"/>
      <c r="C360" s="93"/>
      <c r="D360" s="97"/>
      <c r="E360" s="111"/>
      <c r="F360" s="111"/>
      <c r="G360" s="85"/>
      <c r="H360" s="112" t="s">
        <v>26</v>
      </c>
      <c r="I360" s="7">
        <v>27</v>
      </c>
      <c r="J360" s="6">
        <v>5</v>
      </c>
      <c r="K360" s="15">
        <v>5</v>
      </c>
      <c r="L360" s="91" t="s">
        <v>559</v>
      </c>
      <c r="M360" s="92" t="s">
        <v>347</v>
      </c>
      <c r="N360" s="92" t="s">
        <v>348</v>
      </c>
      <c r="O360" s="92" t="s">
        <v>25</v>
      </c>
      <c r="P360" s="5"/>
      <c r="Q360" s="197">
        <f>Q362+Q361</f>
        <v>4340.7</v>
      </c>
      <c r="R360" s="197">
        <f>R362+R361</f>
        <v>0</v>
      </c>
      <c r="S360" s="197">
        <f>S362+S361</f>
        <v>0</v>
      </c>
    </row>
    <row r="361" spans="1:19" ht="39" customHeight="1">
      <c r="A361" s="95"/>
      <c r="B361" s="94"/>
      <c r="C361" s="93"/>
      <c r="D361" s="97"/>
      <c r="E361" s="111"/>
      <c r="F361" s="111"/>
      <c r="G361" s="85"/>
      <c r="H361" s="17" t="s">
        <v>454</v>
      </c>
      <c r="I361" s="7">
        <v>27</v>
      </c>
      <c r="J361" s="6">
        <v>5</v>
      </c>
      <c r="K361" s="15">
        <v>5</v>
      </c>
      <c r="L361" s="91" t="s">
        <v>559</v>
      </c>
      <c r="M361" s="92" t="s">
        <v>347</v>
      </c>
      <c r="N361" s="92" t="s">
        <v>348</v>
      </c>
      <c r="O361" s="92" t="s">
        <v>25</v>
      </c>
      <c r="P361" s="5">
        <v>240</v>
      </c>
      <c r="Q361" s="197">
        <f>'Приложение 8'!Q246</f>
        <v>167.2000000000001</v>
      </c>
      <c r="R361" s="197">
        <v>0</v>
      </c>
      <c r="S361" s="197">
        <v>0</v>
      </c>
    </row>
    <row r="362" spans="1:19" ht="26.25" customHeight="1">
      <c r="A362" s="95"/>
      <c r="B362" s="94"/>
      <c r="C362" s="93"/>
      <c r="D362" s="97"/>
      <c r="E362" s="111"/>
      <c r="F362" s="111"/>
      <c r="G362" s="85"/>
      <c r="H362" s="112" t="s">
        <v>397</v>
      </c>
      <c r="I362" s="7">
        <v>27</v>
      </c>
      <c r="J362" s="6">
        <v>5</v>
      </c>
      <c r="K362" s="15">
        <v>5</v>
      </c>
      <c r="L362" s="91" t="s">
        <v>559</v>
      </c>
      <c r="M362" s="92" t="s">
        <v>347</v>
      </c>
      <c r="N362" s="92" t="s">
        <v>348</v>
      </c>
      <c r="O362" s="92" t="s">
        <v>25</v>
      </c>
      <c r="P362" s="5">
        <v>540</v>
      </c>
      <c r="Q362" s="195">
        <f>'Приложение 8'!Q247</f>
        <v>4173.5</v>
      </c>
      <c r="R362" s="195">
        <v>0</v>
      </c>
      <c r="S362" s="195">
        <v>0</v>
      </c>
    </row>
    <row r="363" spans="1:19" ht="28.5" customHeight="1">
      <c r="A363" s="95"/>
      <c r="B363" s="94"/>
      <c r="C363" s="93"/>
      <c r="D363" s="97"/>
      <c r="E363" s="111"/>
      <c r="F363" s="111"/>
      <c r="G363" s="85"/>
      <c r="H363" s="4" t="s">
        <v>27</v>
      </c>
      <c r="I363" s="7">
        <v>27</v>
      </c>
      <c r="J363" s="6">
        <v>5</v>
      </c>
      <c r="K363" s="15">
        <v>5</v>
      </c>
      <c r="L363" s="91" t="s">
        <v>559</v>
      </c>
      <c r="M363" s="92" t="s">
        <v>347</v>
      </c>
      <c r="N363" s="92" t="s">
        <v>348</v>
      </c>
      <c r="O363" s="92" t="s">
        <v>112</v>
      </c>
      <c r="P363" s="5"/>
      <c r="Q363" s="197">
        <f>Q364</f>
        <v>350.1</v>
      </c>
      <c r="R363" s="197">
        <f>R364</f>
        <v>350.1</v>
      </c>
      <c r="S363" s="197">
        <f>S364</f>
        <v>350.1</v>
      </c>
    </row>
    <row r="364" spans="1:19" ht="28.5" customHeight="1">
      <c r="A364" s="95"/>
      <c r="B364" s="94"/>
      <c r="C364" s="93"/>
      <c r="D364" s="97"/>
      <c r="E364" s="111"/>
      <c r="F364" s="111"/>
      <c r="G364" s="85"/>
      <c r="H364" s="113" t="s">
        <v>454</v>
      </c>
      <c r="I364" s="5">
        <v>27</v>
      </c>
      <c r="J364" s="6">
        <v>5</v>
      </c>
      <c r="K364" s="15">
        <v>5</v>
      </c>
      <c r="L364" s="91" t="s">
        <v>559</v>
      </c>
      <c r="M364" s="92" t="s">
        <v>347</v>
      </c>
      <c r="N364" s="92" t="s">
        <v>348</v>
      </c>
      <c r="O364" s="92" t="s">
        <v>112</v>
      </c>
      <c r="P364" s="5">
        <v>240</v>
      </c>
      <c r="Q364" s="197">
        <v>350.1</v>
      </c>
      <c r="R364" s="197">
        <v>350.1</v>
      </c>
      <c r="S364" s="197">
        <v>350.1</v>
      </c>
    </row>
    <row r="365" spans="1:19" s="171" customFormat="1" ht="24" customHeight="1">
      <c r="A365" s="135"/>
      <c r="B365" s="136"/>
      <c r="C365" s="146"/>
      <c r="D365" s="143"/>
      <c r="E365" s="147"/>
      <c r="F365" s="147"/>
      <c r="G365" s="148">
        <v>611</v>
      </c>
      <c r="H365" s="142" t="s">
        <v>336</v>
      </c>
      <c r="I365" s="145">
        <v>27</v>
      </c>
      <c r="J365" s="141">
        <v>6</v>
      </c>
      <c r="K365" s="132"/>
      <c r="L365" s="133"/>
      <c r="M365" s="134"/>
      <c r="N365" s="134"/>
      <c r="O365" s="134"/>
      <c r="P365" s="139"/>
      <c r="Q365" s="198">
        <f>Q366+Q371</f>
        <v>761.4</v>
      </c>
      <c r="R365" s="198">
        <f>R366+R371</f>
        <v>9552.699999999999</v>
      </c>
      <c r="S365" s="198">
        <f>S366+S371</f>
        <v>642.8</v>
      </c>
    </row>
    <row r="366" spans="1:19" s="171" customFormat="1" ht="24" customHeight="1">
      <c r="A366" s="135"/>
      <c r="B366" s="136"/>
      <c r="C366" s="146"/>
      <c r="D366" s="143"/>
      <c r="E366" s="147"/>
      <c r="F366" s="147"/>
      <c r="G366" s="148"/>
      <c r="H366" s="142" t="s">
        <v>335</v>
      </c>
      <c r="I366" s="145">
        <v>27</v>
      </c>
      <c r="J366" s="141">
        <v>6</v>
      </c>
      <c r="K366" s="132">
        <v>3</v>
      </c>
      <c r="L366" s="133"/>
      <c r="M366" s="134"/>
      <c r="N366" s="134"/>
      <c r="O366" s="134"/>
      <c r="P366" s="139"/>
      <c r="Q366" s="198">
        <f aca="true" t="shared" si="33" ref="Q366:S369">Q367</f>
        <v>10.4</v>
      </c>
      <c r="R366" s="198">
        <f t="shared" si="33"/>
        <v>10.4</v>
      </c>
      <c r="S366" s="198">
        <f t="shared" si="33"/>
        <v>10.4</v>
      </c>
    </row>
    <row r="367" spans="1:19" ht="38.25" customHeight="1">
      <c r="A367" s="93"/>
      <c r="B367" s="94"/>
      <c r="C367" s="99"/>
      <c r="D367" s="97"/>
      <c r="E367" s="109"/>
      <c r="F367" s="109"/>
      <c r="G367" s="101"/>
      <c r="H367" s="10" t="s">
        <v>53</v>
      </c>
      <c r="I367" s="5">
        <v>27</v>
      </c>
      <c r="J367" s="6">
        <v>6</v>
      </c>
      <c r="K367" s="15">
        <v>3</v>
      </c>
      <c r="L367" s="91" t="s">
        <v>559</v>
      </c>
      <c r="M367" s="92" t="s">
        <v>347</v>
      </c>
      <c r="N367" s="92" t="s">
        <v>357</v>
      </c>
      <c r="O367" s="92" t="s">
        <v>392</v>
      </c>
      <c r="P367" s="5"/>
      <c r="Q367" s="197">
        <f t="shared" si="33"/>
        <v>10.4</v>
      </c>
      <c r="R367" s="197">
        <f t="shared" si="33"/>
        <v>10.4</v>
      </c>
      <c r="S367" s="197">
        <f t="shared" si="33"/>
        <v>10.4</v>
      </c>
    </row>
    <row r="368" spans="1:19" ht="33.75" customHeight="1">
      <c r="A368" s="93"/>
      <c r="B368" s="94"/>
      <c r="C368" s="99"/>
      <c r="D368" s="97"/>
      <c r="E368" s="109"/>
      <c r="F368" s="109"/>
      <c r="G368" s="101"/>
      <c r="H368" s="10" t="s">
        <v>55</v>
      </c>
      <c r="I368" s="5">
        <v>27</v>
      </c>
      <c r="J368" s="6">
        <v>6</v>
      </c>
      <c r="K368" s="15">
        <v>3</v>
      </c>
      <c r="L368" s="91" t="s">
        <v>559</v>
      </c>
      <c r="M368" s="92" t="s">
        <v>347</v>
      </c>
      <c r="N368" s="92" t="s">
        <v>365</v>
      </c>
      <c r="O368" s="92" t="s">
        <v>392</v>
      </c>
      <c r="P368" s="5"/>
      <c r="Q368" s="197">
        <f t="shared" si="33"/>
        <v>10.4</v>
      </c>
      <c r="R368" s="197">
        <f t="shared" si="33"/>
        <v>10.4</v>
      </c>
      <c r="S368" s="197">
        <f t="shared" si="33"/>
        <v>10.4</v>
      </c>
    </row>
    <row r="369" spans="1:19" ht="48" customHeight="1">
      <c r="A369" s="93"/>
      <c r="B369" s="94"/>
      <c r="C369" s="99"/>
      <c r="D369" s="97"/>
      <c r="E369" s="109"/>
      <c r="F369" s="109"/>
      <c r="G369" s="101"/>
      <c r="H369" s="4" t="s">
        <v>503</v>
      </c>
      <c r="I369" s="5">
        <v>27</v>
      </c>
      <c r="J369" s="6">
        <v>6</v>
      </c>
      <c r="K369" s="15">
        <v>3</v>
      </c>
      <c r="L369" s="91" t="s">
        <v>559</v>
      </c>
      <c r="M369" s="92" t="s">
        <v>347</v>
      </c>
      <c r="N369" s="92" t="s">
        <v>365</v>
      </c>
      <c r="O369" s="92" t="s">
        <v>502</v>
      </c>
      <c r="P369" s="5"/>
      <c r="Q369" s="197">
        <f t="shared" si="33"/>
        <v>10.4</v>
      </c>
      <c r="R369" s="197">
        <f t="shared" si="33"/>
        <v>10.4</v>
      </c>
      <c r="S369" s="197">
        <f t="shared" si="33"/>
        <v>10.4</v>
      </c>
    </row>
    <row r="370" spans="1:19" ht="24" customHeight="1">
      <c r="A370" s="93"/>
      <c r="B370" s="94"/>
      <c r="C370" s="99"/>
      <c r="D370" s="97"/>
      <c r="E370" s="109"/>
      <c r="F370" s="109"/>
      <c r="G370" s="101"/>
      <c r="H370" s="4" t="s">
        <v>454</v>
      </c>
      <c r="I370" s="5">
        <v>27</v>
      </c>
      <c r="J370" s="6">
        <v>6</v>
      </c>
      <c r="K370" s="15">
        <v>3</v>
      </c>
      <c r="L370" s="91" t="s">
        <v>559</v>
      </c>
      <c r="M370" s="92" t="s">
        <v>347</v>
      </c>
      <c r="N370" s="92" t="s">
        <v>365</v>
      </c>
      <c r="O370" s="92" t="s">
        <v>502</v>
      </c>
      <c r="P370" s="5">
        <v>240</v>
      </c>
      <c r="Q370" s="197">
        <v>10.4</v>
      </c>
      <c r="R370" s="197">
        <v>10.4</v>
      </c>
      <c r="S370" s="197">
        <v>10.4</v>
      </c>
    </row>
    <row r="371" spans="1:19" s="171" customFormat="1" ht="24.75" customHeight="1">
      <c r="A371" s="135"/>
      <c r="B371" s="136"/>
      <c r="C371" s="146"/>
      <c r="D371" s="143"/>
      <c r="E371" s="147"/>
      <c r="F371" s="147"/>
      <c r="G371" s="148">
        <v>621</v>
      </c>
      <c r="H371" s="142" t="s">
        <v>334</v>
      </c>
      <c r="I371" s="139">
        <v>27</v>
      </c>
      <c r="J371" s="141">
        <v>6</v>
      </c>
      <c r="K371" s="132">
        <v>5</v>
      </c>
      <c r="L371" s="133"/>
      <c r="M371" s="134"/>
      <c r="N371" s="134"/>
      <c r="O371" s="134"/>
      <c r="P371" s="139"/>
      <c r="Q371" s="198">
        <f>Q382+Q372+Q378</f>
        <v>751</v>
      </c>
      <c r="R371" s="198">
        <f>R382+R372</f>
        <v>9542.3</v>
      </c>
      <c r="S371" s="198">
        <f>S382+S372</f>
        <v>632.4</v>
      </c>
    </row>
    <row r="372" spans="1:19" ht="35.25" customHeight="1">
      <c r="A372" s="95"/>
      <c r="B372" s="94"/>
      <c r="C372" s="99"/>
      <c r="D372" s="105"/>
      <c r="E372" s="100"/>
      <c r="F372" s="100"/>
      <c r="G372" s="101">
        <v>622</v>
      </c>
      <c r="H372" s="17" t="s">
        <v>778</v>
      </c>
      <c r="I372" s="5">
        <v>27</v>
      </c>
      <c r="J372" s="6">
        <v>6</v>
      </c>
      <c r="K372" s="15">
        <v>5</v>
      </c>
      <c r="L372" s="91" t="s">
        <v>777</v>
      </c>
      <c r="M372" s="92" t="s">
        <v>347</v>
      </c>
      <c r="N372" s="92" t="s">
        <v>357</v>
      </c>
      <c r="O372" s="92" t="s">
        <v>392</v>
      </c>
      <c r="P372" s="5"/>
      <c r="Q372" s="197">
        <f>Q373</f>
        <v>600</v>
      </c>
      <c r="R372" s="197">
        <f aca="true" t="shared" si="34" ref="R372:S374">R373</f>
        <v>9410</v>
      </c>
      <c r="S372" s="197">
        <f t="shared" si="34"/>
        <v>500</v>
      </c>
    </row>
    <row r="373" spans="1:19" ht="33.75" customHeight="1">
      <c r="A373" s="95"/>
      <c r="B373" s="94"/>
      <c r="C373" s="102"/>
      <c r="D373" s="103"/>
      <c r="E373" s="100"/>
      <c r="F373" s="100"/>
      <c r="G373" s="101"/>
      <c r="H373" s="112" t="s">
        <v>72</v>
      </c>
      <c r="I373" s="5">
        <v>27</v>
      </c>
      <c r="J373" s="6">
        <v>6</v>
      </c>
      <c r="K373" s="15">
        <v>5</v>
      </c>
      <c r="L373" s="91" t="s">
        <v>777</v>
      </c>
      <c r="M373" s="92" t="s">
        <v>347</v>
      </c>
      <c r="N373" s="92" t="s">
        <v>365</v>
      </c>
      <c r="O373" s="92" t="s">
        <v>392</v>
      </c>
      <c r="P373" s="5"/>
      <c r="Q373" s="197">
        <f>Q374</f>
        <v>600</v>
      </c>
      <c r="R373" s="197">
        <f>R374+R376</f>
        <v>9410</v>
      </c>
      <c r="S373" s="197">
        <f t="shared" si="34"/>
        <v>500</v>
      </c>
    </row>
    <row r="374" spans="1:19" ht="24.75" customHeight="1">
      <c r="A374" s="95"/>
      <c r="B374" s="94"/>
      <c r="C374" s="102"/>
      <c r="D374" s="103"/>
      <c r="E374" s="100"/>
      <c r="F374" s="100"/>
      <c r="G374" s="101"/>
      <c r="H374" s="112" t="s">
        <v>29</v>
      </c>
      <c r="I374" s="5">
        <v>27</v>
      </c>
      <c r="J374" s="6">
        <v>6</v>
      </c>
      <c r="K374" s="15">
        <v>5</v>
      </c>
      <c r="L374" s="91" t="s">
        <v>777</v>
      </c>
      <c r="M374" s="92" t="s">
        <v>347</v>
      </c>
      <c r="N374" s="92" t="s">
        <v>365</v>
      </c>
      <c r="O374" s="92" t="s">
        <v>28</v>
      </c>
      <c r="P374" s="5"/>
      <c r="Q374" s="197">
        <f>Q375</f>
        <v>600</v>
      </c>
      <c r="R374" s="197">
        <f t="shared" si="34"/>
        <v>500</v>
      </c>
      <c r="S374" s="197">
        <f t="shared" si="34"/>
        <v>500</v>
      </c>
    </row>
    <row r="375" spans="1:19" ht="33.75" customHeight="1">
      <c r="A375" s="95"/>
      <c r="B375" s="94"/>
      <c r="C375" s="102"/>
      <c r="D375" s="103"/>
      <c r="E375" s="100"/>
      <c r="F375" s="100"/>
      <c r="G375" s="101"/>
      <c r="H375" s="112" t="s">
        <v>454</v>
      </c>
      <c r="I375" s="5">
        <v>27</v>
      </c>
      <c r="J375" s="6">
        <v>6</v>
      </c>
      <c r="K375" s="15">
        <v>5</v>
      </c>
      <c r="L375" s="91" t="s">
        <v>777</v>
      </c>
      <c r="M375" s="92" t="s">
        <v>347</v>
      </c>
      <c r="N375" s="92" t="s">
        <v>365</v>
      </c>
      <c r="O375" s="92" t="s">
        <v>28</v>
      </c>
      <c r="P375" s="5">
        <v>240</v>
      </c>
      <c r="Q375" s="197">
        <f>'Приложение 8'!Q260</f>
        <v>600</v>
      </c>
      <c r="R375" s="197">
        <f>'Приложение 8'!R260</f>
        <v>500</v>
      </c>
      <c r="S375" s="197">
        <v>500</v>
      </c>
    </row>
    <row r="376" spans="1:19" ht="33.75" customHeight="1">
      <c r="A376" s="95"/>
      <c r="B376" s="94"/>
      <c r="C376" s="102"/>
      <c r="D376" s="103"/>
      <c r="E376" s="100"/>
      <c r="F376" s="100"/>
      <c r="G376" s="101"/>
      <c r="H376" s="112" t="s">
        <v>854</v>
      </c>
      <c r="I376" s="5"/>
      <c r="J376" s="6">
        <v>6</v>
      </c>
      <c r="K376" s="15">
        <v>5</v>
      </c>
      <c r="L376" s="91" t="s">
        <v>777</v>
      </c>
      <c r="M376" s="92" t="s">
        <v>347</v>
      </c>
      <c r="N376" s="92" t="s">
        <v>365</v>
      </c>
      <c r="O376" s="92" t="s">
        <v>853</v>
      </c>
      <c r="P376" s="5"/>
      <c r="Q376" s="197">
        <f>Q377</f>
        <v>0</v>
      </c>
      <c r="R376" s="197">
        <f>R377</f>
        <v>8910</v>
      </c>
      <c r="S376" s="197">
        <f>S377</f>
        <v>0</v>
      </c>
    </row>
    <row r="377" spans="1:19" ht="33.75" customHeight="1">
      <c r="A377" s="95"/>
      <c r="B377" s="94"/>
      <c r="C377" s="102"/>
      <c r="D377" s="103"/>
      <c r="E377" s="100"/>
      <c r="F377" s="100"/>
      <c r="G377" s="101"/>
      <c r="H377" s="112" t="s">
        <v>454</v>
      </c>
      <c r="I377" s="5"/>
      <c r="J377" s="6">
        <v>6</v>
      </c>
      <c r="K377" s="15">
        <v>5</v>
      </c>
      <c r="L377" s="91" t="s">
        <v>777</v>
      </c>
      <c r="M377" s="92" t="s">
        <v>347</v>
      </c>
      <c r="N377" s="92" t="s">
        <v>365</v>
      </c>
      <c r="O377" s="92" t="s">
        <v>853</v>
      </c>
      <c r="P377" s="5">
        <v>240</v>
      </c>
      <c r="Q377" s="197">
        <v>0</v>
      </c>
      <c r="R377" s="197">
        <f>'Приложение 8'!R262</f>
        <v>8910</v>
      </c>
      <c r="S377" s="197">
        <v>0</v>
      </c>
    </row>
    <row r="378" spans="1:19" ht="33.75" customHeight="1">
      <c r="A378" s="95"/>
      <c r="B378" s="94"/>
      <c r="C378" s="102"/>
      <c r="D378" s="103"/>
      <c r="E378" s="100"/>
      <c r="F378" s="100"/>
      <c r="G378" s="101"/>
      <c r="H378" s="112" t="str">
        <f>'Приложение 8'!H263</f>
        <v>Муниципальная программа «Молодежь Белозерья» на 2020-2025 годы</v>
      </c>
      <c r="I378" s="5">
        <f>'Приложение 8'!I263</f>
        <v>27</v>
      </c>
      <c r="J378" s="6">
        <f>'Приложение 8'!J263</f>
        <v>6</v>
      </c>
      <c r="K378" s="15">
        <f>'Приложение 8'!K263</f>
        <v>5</v>
      </c>
      <c r="L378" s="91" t="str">
        <f>'Приложение 8'!L263</f>
        <v>36</v>
      </c>
      <c r="M378" s="92" t="str">
        <f>'Приложение 8'!M263</f>
        <v>0</v>
      </c>
      <c r="N378" s="92" t="str">
        <f>'Приложение 8'!N263</f>
        <v>00</v>
      </c>
      <c r="O378" s="92" t="str">
        <f>'Приложение 8'!O263</f>
        <v>00000</v>
      </c>
      <c r="P378" s="5" t="s">
        <v>393</v>
      </c>
      <c r="Q378" s="197">
        <f>'Приложение 8'!Q263</f>
        <v>10.5</v>
      </c>
      <c r="R378" s="197">
        <f>'Приложение 8'!R263</f>
        <v>0</v>
      </c>
      <c r="S378" s="197">
        <f>'Приложение 8'!S263</f>
        <v>0</v>
      </c>
    </row>
    <row r="379" spans="1:19" ht="33.75" customHeight="1">
      <c r="A379" s="95"/>
      <c r="B379" s="94"/>
      <c r="C379" s="102"/>
      <c r="D379" s="103"/>
      <c r="E379" s="100"/>
      <c r="F379" s="100"/>
      <c r="G379" s="101"/>
      <c r="H379" s="112" t="str">
        <f>'Приложение 8'!H264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79" s="5">
        <f>'Приложение 8'!I264</f>
        <v>27</v>
      </c>
      <c r="J379" s="6">
        <f>'Приложение 8'!J264</f>
        <v>6</v>
      </c>
      <c r="K379" s="15">
        <f>'Приложение 8'!K264</f>
        <v>5</v>
      </c>
      <c r="L379" s="91" t="str">
        <f>'Приложение 8'!L264</f>
        <v>36</v>
      </c>
      <c r="M379" s="92" t="str">
        <f>'Приложение 8'!M264</f>
        <v>0</v>
      </c>
      <c r="N379" s="92" t="str">
        <f>'Приложение 8'!N264</f>
        <v>01</v>
      </c>
      <c r="O379" s="92" t="str">
        <f>'Приложение 8'!O264</f>
        <v>00000</v>
      </c>
      <c r="P379" s="5" t="s">
        <v>393</v>
      </c>
      <c r="Q379" s="197">
        <f>'Приложение 8'!Q264</f>
        <v>10.5</v>
      </c>
      <c r="R379" s="197">
        <f>'Приложение 8'!R264</f>
        <v>0</v>
      </c>
      <c r="S379" s="197">
        <f>'Приложение 8'!S264</f>
        <v>0</v>
      </c>
    </row>
    <row r="380" spans="1:19" ht="33.75" customHeight="1">
      <c r="A380" s="95"/>
      <c r="B380" s="94"/>
      <c r="C380" s="102"/>
      <c r="D380" s="103"/>
      <c r="E380" s="100"/>
      <c r="F380" s="100"/>
      <c r="G380" s="101"/>
      <c r="H380" s="112" t="str">
        <f>'Приложение 8'!H265</f>
        <v>Учреждения культуры</v>
      </c>
      <c r="I380" s="5">
        <f>'Приложение 8'!I265</f>
        <v>27</v>
      </c>
      <c r="J380" s="6">
        <f>'Приложение 8'!J265</f>
        <v>6</v>
      </c>
      <c r="K380" s="15">
        <f>'Приложение 8'!K265</f>
        <v>5</v>
      </c>
      <c r="L380" s="91" t="str">
        <f>'Приложение 8'!L265</f>
        <v>36</v>
      </c>
      <c r="M380" s="92" t="str">
        <f>'Приложение 8'!M265</f>
        <v>0</v>
      </c>
      <c r="N380" s="92" t="str">
        <f>'Приложение 8'!N265</f>
        <v>01</v>
      </c>
      <c r="O380" s="92" t="str">
        <f>'Приложение 8'!O265</f>
        <v>01590</v>
      </c>
      <c r="P380" s="5" t="s">
        <v>393</v>
      </c>
      <c r="Q380" s="197">
        <f>'Приложение 8'!Q265</f>
        <v>10.5</v>
      </c>
      <c r="R380" s="197">
        <f>'Приложение 8'!R265</f>
        <v>0</v>
      </c>
      <c r="S380" s="197">
        <f>'Приложение 8'!S265</f>
        <v>0</v>
      </c>
    </row>
    <row r="381" spans="1:19" ht="33.75" customHeight="1">
      <c r="A381" s="95"/>
      <c r="B381" s="94"/>
      <c r="C381" s="102"/>
      <c r="D381" s="103"/>
      <c r="E381" s="100"/>
      <c r="F381" s="100"/>
      <c r="G381" s="101"/>
      <c r="H381" s="112" t="str">
        <f>'Приложение 8'!H266</f>
        <v>Субсидии бюджетным учреждениям</v>
      </c>
      <c r="I381" s="5">
        <f>'Приложение 8'!I266</f>
        <v>27</v>
      </c>
      <c r="J381" s="6">
        <f>'Приложение 8'!J266</f>
        <v>6</v>
      </c>
      <c r="K381" s="15">
        <f>'Приложение 8'!K266</f>
        <v>5</v>
      </c>
      <c r="L381" s="91" t="str">
        <f>'Приложение 8'!L266</f>
        <v>36</v>
      </c>
      <c r="M381" s="92" t="str">
        <f>'Приложение 8'!M266</f>
        <v>0</v>
      </c>
      <c r="N381" s="92" t="str">
        <f>'Приложение 8'!N266</f>
        <v>01</v>
      </c>
      <c r="O381" s="92" t="str">
        <f>'Приложение 8'!O266</f>
        <v>01590</v>
      </c>
      <c r="P381" s="5">
        <f>'Приложение 8'!P266</f>
        <v>610</v>
      </c>
      <c r="Q381" s="197">
        <f>'Приложение 8'!Q266</f>
        <v>10.5</v>
      </c>
      <c r="R381" s="197">
        <f>'Приложение 8'!R266</f>
        <v>0</v>
      </c>
      <c r="S381" s="197">
        <f>'Приложение 8'!S266</f>
        <v>0</v>
      </c>
    </row>
    <row r="382" spans="1:19" ht="39" customHeight="1">
      <c r="A382" s="93"/>
      <c r="B382" s="94"/>
      <c r="C382" s="99"/>
      <c r="D382" s="103"/>
      <c r="E382" s="100"/>
      <c r="F382" s="100"/>
      <c r="G382" s="101"/>
      <c r="H382" s="4" t="s">
        <v>53</v>
      </c>
      <c r="I382" s="5">
        <v>27</v>
      </c>
      <c r="J382" s="6">
        <v>6</v>
      </c>
      <c r="K382" s="15">
        <v>5</v>
      </c>
      <c r="L382" s="91" t="s">
        <v>559</v>
      </c>
      <c r="M382" s="92" t="s">
        <v>347</v>
      </c>
      <c r="N382" s="92" t="s">
        <v>357</v>
      </c>
      <c r="O382" s="92" t="s">
        <v>392</v>
      </c>
      <c r="P382" s="5"/>
      <c r="Q382" s="197">
        <f aca="true" t="shared" si="35" ref="Q382:S383">Q383</f>
        <v>140.5</v>
      </c>
      <c r="R382" s="197">
        <f t="shared" si="35"/>
        <v>132.3</v>
      </c>
      <c r="S382" s="197">
        <f t="shared" si="35"/>
        <v>132.4</v>
      </c>
    </row>
    <row r="383" spans="1:19" ht="24.75" customHeight="1">
      <c r="A383" s="93"/>
      <c r="B383" s="94"/>
      <c r="C383" s="99"/>
      <c r="D383" s="103"/>
      <c r="E383" s="100"/>
      <c r="F383" s="100"/>
      <c r="G383" s="101"/>
      <c r="H383" s="4" t="s">
        <v>55</v>
      </c>
      <c r="I383" s="5">
        <v>27</v>
      </c>
      <c r="J383" s="6">
        <v>6</v>
      </c>
      <c r="K383" s="15">
        <v>5</v>
      </c>
      <c r="L383" s="91" t="s">
        <v>559</v>
      </c>
      <c r="M383" s="92" t="s">
        <v>347</v>
      </c>
      <c r="N383" s="92" t="s">
        <v>365</v>
      </c>
      <c r="O383" s="92" t="s">
        <v>392</v>
      </c>
      <c r="P383" s="5"/>
      <c r="Q383" s="197">
        <f t="shared" si="35"/>
        <v>140.5</v>
      </c>
      <c r="R383" s="197">
        <f t="shared" si="35"/>
        <v>132.3</v>
      </c>
      <c r="S383" s="197">
        <f t="shared" si="35"/>
        <v>132.4</v>
      </c>
    </row>
    <row r="384" spans="1:19" ht="18.75" customHeight="1">
      <c r="A384" s="95"/>
      <c r="B384" s="94"/>
      <c r="C384" s="99"/>
      <c r="D384" s="103"/>
      <c r="E384" s="100"/>
      <c r="F384" s="100"/>
      <c r="G384" s="101"/>
      <c r="H384" s="164" t="s">
        <v>538</v>
      </c>
      <c r="I384" s="5">
        <v>27</v>
      </c>
      <c r="J384" s="6">
        <v>6</v>
      </c>
      <c r="K384" s="15">
        <v>5</v>
      </c>
      <c r="L384" s="91" t="s">
        <v>559</v>
      </c>
      <c r="M384" s="92" t="s">
        <v>347</v>
      </c>
      <c r="N384" s="92" t="s">
        <v>365</v>
      </c>
      <c r="O384" s="92" t="s">
        <v>537</v>
      </c>
      <c r="P384" s="5"/>
      <c r="Q384" s="197">
        <f>SUM(Q385:Q386)</f>
        <v>140.5</v>
      </c>
      <c r="R384" s="197">
        <f>SUM(R385:R386)</f>
        <v>132.3</v>
      </c>
      <c r="S384" s="197">
        <f>SUM(S385:S386)</f>
        <v>132.4</v>
      </c>
    </row>
    <row r="385" spans="1:19" ht="23.25" customHeight="1">
      <c r="A385" s="95"/>
      <c r="B385" s="94"/>
      <c r="C385" s="99"/>
      <c r="D385" s="103"/>
      <c r="E385" s="100"/>
      <c r="F385" s="100"/>
      <c r="G385" s="101"/>
      <c r="H385" s="4" t="s">
        <v>319</v>
      </c>
      <c r="I385" s="5">
        <v>27</v>
      </c>
      <c r="J385" s="6">
        <v>6</v>
      </c>
      <c r="K385" s="15">
        <v>5</v>
      </c>
      <c r="L385" s="91" t="s">
        <v>559</v>
      </c>
      <c r="M385" s="92" t="s">
        <v>347</v>
      </c>
      <c r="N385" s="92" t="s">
        <v>365</v>
      </c>
      <c r="O385" s="92" t="s">
        <v>537</v>
      </c>
      <c r="P385" s="5">
        <v>120</v>
      </c>
      <c r="Q385" s="197">
        <f>'Приложение 8'!Q270</f>
        <v>122.7</v>
      </c>
      <c r="R385" s="211">
        <v>113.7</v>
      </c>
      <c r="S385" s="211">
        <v>113.7</v>
      </c>
    </row>
    <row r="386" spans="1:19" ht="23.25" customHeight="1">
      <c r="A386" s="95"/>
      <c r="B386" s="94"/>
      <c r="C386" s="99"/>
      <c r="D386" s="103"/>
      <c r="E386" s="100"/>
      <c r="F386" s="100"/>
      <c r="G386" s="101"/>
      <c r="H386" s="4" t="s">
        <v>454</v>
      </c>
      <c r="I386" s="5">
        <v>27</v>
      </c>
      <c r="J386" s="6">
        <v>6</v>
      </c>
      <c r="K386" s="15">
        <v>5</v>
      </c>
      <c r="L386" s="91" t="s">
        <v>559</v>
      </c>
      <c r="M386" s="92" t="s">
        <v>347</v>
      </c>
      <c r="N386" s="92" t="s">
        <v>365</v>
      </c>
      <c r="O386" s="92" t="s">
        <v>537</v>
      </c>
      <c r="P386" s="5">
        <v>240</v>
      </c>
      <c r="Q386" s="197">
        <v>17.8</v>
      </c>
      <c r="R386" s="211">
        <v>18.6</v>
      </c>
      <c r="S386" s="211">
        <v>18.7</v>
      </c>
    </row>
    <row r="387" spans="1:19" s="171" customFormat="1" ht="26.25" customHeight="1">
      <c r="A387" s="135"/>
      <c r="B387" s="136"/>
      <c r="C387" s="150"/>
      <c r="D387" s="137"/>
      <c r="E387" s="138"/>
      <c r="F387" s="138"/>
      <c r="G387" s="148">
        <v>612</v>
      </c>
      <c r="H387" s="142" t="s">
        <v>331</v>
      </c>
      <c r="I387" s="139">
        <v>27</v>
      </c>
      <c r="J387" s="141">
        <v>7</v>
      </c>
      <c r="K387" s="132"/>
      <c r="L387" s="133"/>
      <c r="M387" s="134"/>
      <c r="N387" s="134"/>
      <c r="O387" s="134"/>
      <c r="P387" s="139"/>
      <c r="Q387" s="198">
        <f>Q388+Q410+Q458+Q478+Q493</f>
        <v>288407.9000000001</v>
      </c>
      <c r="R387" s="198">
        <f>R388+R410+R458+R478+R493</f>
        <v>279328.6</v>
      </c>
      <c r="S387" s="198">
        <f>S388+S410+S458+S478+S493</f>
        <v>282609.1</v>
      </c>
    </row>
    <row r="388" spans="1:19" s="171" customFormat="1" ht="18.75" customHeight="1">
      <c r="A388" s="135"/>
      <c r="B388" s="136"/>
      <c r="C388" s="146"/>
      <c r="D388" s="143"/>
      <c r="E388" s="373">
        <v>5551700</v>
      </c>
      <c r="F388" s="373"/>
      <c r="G388" s="129">
        <v>314</v>
      </c>
      <c r="H388" s="130" t="s">
        <v>124</v>
      </c>
      <c r="I388" s="131">
        <v>663</v>
      </c>
      <c r="J388" s="132">
        <v>7</v>
      </c>
      <c r="K388" s="132">
        <v>1</v>
      </c>
      <c r="L388" s="133" t="s">
        <v>320</v>
      </c>
      <c r="M388" s="134" t="s">
        <v>320</v>
      </c>
      <c r="N388" s="134"/>
      <c r="O388" s="134" t="s">
        <v>320</v>
      </c>
      <c r="P388" s="131"/>
      <c r="Q388" s="194">
        <f>Q399+Q389</f>
        <v>79538.7</v>
      </c>
      <c r="R388" s="194">
        <f>R399+R389</f>
        <v>78895.9</v>
      </c>
      <c r="S388" s="194">
        <f>S399+S389</f>
        <v>78895.79999999999</v>
      </c>
    </row>
    <row r="389" spans="1:19" ht="33" customHeight="1">
      <c r="A389" s="95"/>
      <c r="B389" s="94"/>
      <c r="C389" s="99"/>
      <c r="D389" s="97"/>
      <c r="E389" s="100"/>
      <c r="F389" s="100"/>
      <c r="G389" s="85"/>
      <c r="H389" s="4" t="s">
        <v>865</v>
      </c>
      <c r="I389" s="9">
        <v>663</v>
      </c>
      <c r="J389" s="15">
        <v>7</v>
      </c>
      <c r="K389" s="15">
        <v>1</v>
      </c>
      <c r="L389" s="91" t="s">
        <v>442</v>
      </c>
      <c r="M389" s="92" t="s">
        <v>347</v>
      </c>
      <c r="N389" s="92" t="s">
        <v>357</v>
      </c>
      <c r="O389" s="92" t="s">
        <v>392</v>
      </c>
      <c r="P389" s="9"/>
      <c r="Q389" s="195">
        <f>Q390+Q393+Q396</f>
        <v>90.1</v>
      </c>
      <c r="R389" s="195">
        <f>R390+R393+R396</f>
        <v>143.5</v>
      </c>
      <c r="S389" s="195">
        <f>S390+S393+S396</f>
        <v>143.5</v>
      </c>
    </row>
    <row r="390" spans="1:19" ht="33" customHeight="1">
      <c r="A390" s="95"/>
      <c r="B390" s="94"/>
      <c r="C390" s="99"/>
      <c r="D390" s="97"/>
      <c r="E390" s="100"/>
      <c r="F390" s="100"/>
      <c r="G390" s="85"/>
      <c r="H390" s="4" t="s">
        <v>84</v>
      </c>
      <c r="I390" s="9">
        <v>663</v>
      </c>
      <c r="J390" s="15">
        <v>7</v>
      </c>
      <c r="K390" s="15">
        <v>1</v>
      </c>
      <c r="L390" s="91" t="s">
        <v>442</v>
      </c>
      <c r="M390" s="92" t="s">
        <v>347</v>
      </c>
      <c r="N390" s="92" t="s">
        <v>365</v>
      </c>
      <c r="O390" s="92" t="s">
        <v>392</v>
      </c>
      <c r="P390" s="9"/>
      <c r="Q390" s="195">
        <f aca="true" t="shared" si="36" ref="Q390:S391">Q391</f>
        <v>82.6</v>
      </c>
      <c r="R390" s="195">
        <f t="shared" si="36"/>
        <v>130</v>
      </c>
      <c r="S390" s="195">
        <f t="shared" si="36"/>
        <v>130</v>
      </c>
    </row>
    <row r="391" spans="1:19" ht="24" customHeight="1">
      <c r="A391" s="95"/>
      <c r="B391" s="94"/>
      <c r="C391" s="99"/>
      <c r="D391" s="97"/>
      <c r="E391" s="100"/>
      <c r="F391" s="100"/>
      <c r="G391" s="85"/>
      <c r="H391" s="4" t="s">
        <v>90</v>
      </c>
      <c r="I391" s="9">
        <v>663</v>
      </c>
      <c r="J391" s="15">
        <v>7</v>
      </c>
      <c r="K391" s="15">
        <v>1</v>
      </c>
      <c r="L391" s="91" t="s">
        <v>442</v>
      </c>
      <c r="M391" s="92" t="s">
        <v>347</v>
      </c>
      <c r="N391" s="92" t="s">
        <v>365</v>
      </c>
      <c r="O391" s="92" t="s">
        <v>81</v>
      </c>
      <c r="P391" s="9"/>
      <c r="Q391" s="195">
        <f t="shared" si="36"/>
        <v>82.6</v>
      </c>
      <c r="R391" s="195">
        <f t="shared" si="36"/>
        <v>130</v>
      </c>
      <c r="S391" s="195">
        <f t="shared" si="36"/>
        <v>130</v>
      </c>
    </row>
    <row r="392" spans="1:19" ht="24" customHeight="1">
      <c r="A392" s="95"/>
      <c r="B392" s="94"/>
      <c r="C392" s="99"/>
      <c r="D392" s="97"/>
      <c r="E392" s="100"/>
      <c r="F392" s="100"/>
      <c r="G392" s="85"/>
      <c r="H392" s="4" t="s">
        <v>456</v>
      </c>
      <c r="I392" s="9">
        <v>663</v>
      </c>
      <c r="J392" s="15">
        <v>7</v>
      </c>
      <c r="K392" s="15">
        <v>1</v>
      </c>
      <c r="L392" s="91" t="s">
        <v>442</v>
      </c>
      <c r="M392" s="92" t="s">
        <v>347</v>
      </c>
      <c r="N392" s="92" t="s">
        <v>365</v>
      </c>
      <c r="O392" s="92" t="s">
        <v>81</v>
      </c>
      <c r="P392" s="9">
        <v>610</v>
      </c>
      <c r="Q392" s="195">
        <f>'Приложение 8'!Q530</f>
        <v>82.6</v>
      </c>
      <c r="R392" s="195">
        <v>130</v>
      </c>
      <c r="S392" s="195">
        <v>130</v>
      </c>
    </row>
    <row r="393" spans="1:19" ht="26.25" customHeight="1">
      <c r="A393" s="95"/>
      <c r="B393" s="94"/>
      <c r="C393" s="99"/>
      <c r="D393" s="97"/>
      <c r="E393" s="100"/>
      <c r="F393" s="100"/>
      <c r="G393" s="85"/>
      <c r="H393" s="188" t="s">
        <v>80</v>
      </c>
      <c r="I393" s="9">
        <v>663</v>
      </c>
      <c r="J393" s="15">
        <v>7</v>
      </c>
      <c r="K393" s="15">
        <v>1</v>
      </c>
      <c r="L393" s="91" t="s">
        <v>442</v>
      </c>
      <c r="M393" s="92" t="s">
        <v>347</v>
      </c>
      <c r="N393" s="92" t="s">
        <v>366</v>
      </c>
      <c r="O393" s="92" t="s">
        <v>392</v>
      </c>
      <c r="P393" s="9"/>
      <c r="Q393" s="195">
        <f aca="true" t="shared" si="37" ref="Q393:S394">Q394</f>
        <v>6.1</v>
      </c>
      <c r="R393" s="195">
        <f t="shared" si="37"/>
        <v>4.5</v>
      </c>
      <c r="S393" s="195">
        <f t="shared" si="37"/>
        <v>4.5</v>
      </c>
    </row>
    <row r="394" spans="1:19" ht="22.5" customHeight="1">
      <c r="A394" s="95"/>
      <c r="B394" s="94"/>
      <c r="C394" s="99"/>
      <c r="D394" s="97"/>
      <c r="E394" s="100"/>
      <c r="F394" s="100"/>
      <c r="G394" s="85"/>
      <c r="H394" s="17" t="s">
        <v>82</v>
      </c>
      <c r="I394" s="9">
        <v>663</v>
      </c>
      <c r="J394" s="15">
        <v>7</v>
      </c>
      <c r="K394" s="15">
        <v>1</v>
      </c>
      <c r="L394" s="91" t="s">
        <v>442</v>
      </c>
      <c r="M394" s="92" t="s">
        <v>347</v>
      </c>
      <c r="N394" s="92" t="s">
        <v>366</v>
      </c>
      <c r="O394" s="92" t="s">
        <v>81</v>
      </c>
      <c r="P394" s="9"/>
      <c r="Q394" s="195">
        <f t="shared" si="37"/>
        <v>6.1</v>
      </c>
      <c r="R394" s="195">
        <f t="shared" si="37"/>
        <v>4.5</v>
      </c>
      <c r="S394" s="195">
        <f t="shared" si="37"/>
        <v>4.5</v>
      </c>
    </row>
    <row r="395" spans="1:19" ht="22.5" customHeight="1">
      <c r="A395" s="95"/>
      <c r="B395" s="94"/>
      <c r="C395" s="99"/>
      <c r="D395" s="97"/>
      <c r="E395" s="100"/>
      <c r="F395" s="100"/>
      <c r="G395" s="85"/>
      <c r="H395" s="17" t="s">
        <v>456</v>
      </c>
      <c r="I395" s="9">
        <v>663</v>
      </c>
      <c r="J395" s="15">
        <v>7</v>
      </c>
      <c r="K395" s="15">
        <v>1</v>
      </c>
      <c r="L395" s="91" t="s">
        <v>442</v>
      </c>
      <c r="M395" s="92" t="s">
        <v>347</v>
      </c>
      <c r="N395" s="92" t="s">
        <v>366</v>
      </c>
      <c r="O395" s="92" t="s">
        <v>81</v>
      </c>
      <c r="P395" s="9">
        <v>610</v>
      </c>
      <c r="Q395" s="195">
        <f>'Приложение 8'!Q533</f>
        <v>6.1</v>
      </c>
      <c r="R395" s="195">
        <v>4.5</v>
      </c>
      <c r="S395" s="195">
        <v>4.5</v>
      </c>
    </row>
    <row r="396" spans="1:19" ht="44.25" customHeight="1">
      <c r="A396" s="95"/>
      <c r="B396" s="94"/>
      <c r="C396" s="99"/>
      <c r="D396" s="97"/>
      <c r="E396" s="100"/>
      <c r="F396" s="100"/>
      <c r="G396" s="85"/>
      <c r="H396" s="17" t="s">
        <v>440</v>
      </c>
      <c r="I396" s="9">
        <v>663</v>
      </c>
      <c r="J396" s="15">
        <v>7</v>
      </c>
      <c r="K396" s="15">
        <v>1</v>
      </c>
      <c r="L396" s="91" t="s">
        <v>442</v>
      </c>
      <c r="M396" s="92" t="s">
        <v>347</v>
      </c>
      <c r="N396" s="92" t="s">
        <v>361</v>
      </c>
      <c r="O396" s="92" t="s">
        <v>392</v>
      </c>
      <c r="P396" s="9"/>
      <c r="Q396" s="195">
        <f aca="true" t="shared" si="38" ref="Q396:S397">Q397</f>
        <v>1.4000000000000004</v>
      </c>
      <c r="R396" s="195">
        <f t="shared" si="38"/>
        <v>9</v>
      </c>
      <c r="S396" s="195">
        <f t="shared" si="38"/>
        <v>9</v>
      </c>
    </row>
    <row r="397" spans="1:19" ht="29.25" customHeight="1">
      <c r="A397" s="95"/>
      <c r="B397" s="94"/>
      <c r="C397" s="99"/>
      <c r="D397" s="97"/>
      <c r="E397" s="100"/>
      <c r="F397" s="100"/>
      <c r="G397" s="85"/>
      <c r="H397" s="17" t="s">
        <v>90</v>
      </c>
      <c r="I397" s="9">
        <v>663</v>
      </c>
      <c r="J397" s="15">
        <v>7</v>
      </c>
      <c r="K397" s="15">
        <v>1</v>
      </c>
      <c r="L397" s="91" t="s">
        <v>442</v>
      </c>
      <c r="M397" s="92" t="s">
        <v>347</v>
      </c>
      <c r="N397" s="92" t="s">
        <v>361</v>
      </c>
      <c r="O397" s="92" t="s">
        <v>81</v>
      </c>
      <c r="P397" s="9"/>
      <c r="Q397" s="195">
        <f t="shared" si="38"/>
        <v>1.4000000000000004</v>
      </c>
      <c r="R397" s="195">
        <f t="shared" si="38"/>
        <v>9</v>
      </c>
      <c r="S397" s="195">
        <f t="shared" si="38"/>
        <v>9</v>
      </c>
    </row>
    <row r="398" spans="1:19" ht="32.25" customHeight="1">
      <c r="A398" s="95"/>
      <c r="B398" s="94"/>
      <c r="C398" s="99"/>
      <c r="D398" s="97"/>
      <c r="E398" s="100"/>
      <c r="F398" s="100"/>
      <c r="G398" s="85"/>
      <c r="H398" s="17" t="s">
        <v>456</v>
      </c>
      <c r="I398" s="9">
        <v>663</v>
      </c>
      <c r="J398" s="15">
        <v>7</v>
      </c>
      <c r="K398" s="15">
        <v>1</v>
      </c>
      <c r="L398" s="91" t="s">
        <v>442</v>
      </c>
      <c r="M398" s="92" t="s">
        <v>347</v>
      </c>
      <c r="N398" s="92" t="s">
        <v>361</v>
      </c>
      <c r="O398" s="92" t="s">
        <v>81</v>
      </c>
      <c r="P398" s="9">
        <v>610</v>
      </c>
      <c r="Q398" s="195">
        <f>'Приложение 8'!Q536</f>
        <v>1.4000000000000004</v>
      </c>
      <c r="R398" s="195">
        <v>9</v>
      </c>
      <c r="S398" s="195">
        <v>9</v>
      </c>
    </row>
    <row r="399" spans="1:19" ht="41.25" customHeight="1">
      <c r="A399" s="95"/>
      <c r="B399" s="94"/>
      <c r="C399" s="99"/>
      <c r="D399" s="97"/>
      <c r="E399" s="100"/>
      <c r="F399" s="100"/>
      <c r="G399" s="85"/>
      <c r="H399" s="223" t="s">
        <v>649</v>
      </c>
      <c r="I399" s="9">
        <v>663</v>
      </c>
      <c r="J399" s="15">
        <v>7</v>
      </c>
      <c r="K399" s="15">
        <v>1</v>
      </c>
      <c r="L399" s="91" t="s">
        <v>60</v>
      </c>
      <c r="M399" s="92" t="s">
        <v>347</v>
      </c>
      <c r="N399" s="92" t="s">
        <v>357</v>
      </c>
      <c r="O399" s="92" t="s">
        <v>392</v>
      </c>
      <c r="P399" s="9"/>
      <c r="Q399" s="195">
        <f>Q400+Q407</f>
        <v>79448.59999999999</v>
      </c>
      <c r="R399" s="195">
        <f>R400+R407</f>
        <v>78752.4</v>
      </c>
      <c r="S399" s="195">
        <f>S400+S407</f>
        <v>78752.29999999999</v>
      </c>
    </row>
    <row r="400" spans="1:19" ht="27" customHeight="1">
      <c r="A400" s="95"/>
      <c r="B400" s="94"/>
      <c r="C400" s="99"/>
      <c r="D400" s="97"/>
      <c r="E400" s="100"/>
      <c r="F400" s="100"/>
      <c r="G400" s="85"/>
      <c r="H400" s="224" t="s">
        <v>406</v>
      </c>
      <c r="I400" s="9">
        <v>663</v>
      </c>
      <c r="J400" s="15">
        <v>7</v>
      </c>
      <c r="K400" s="15">
        <v>1</v>
      </c>
      <c r="L400" s="91" t="s">
        <v>60</v>
      </c>
      <c r="M400" s="92" t="s">
        <v>347</v>
      </c>
      <c r="N400" s="92" t="s">
        <v>348</v>
      </c>
      <c r="O400" s="92" t="s">
        <v>392</v>
      </c>
      <c r="P400" s="9"/>
      <c r="Q400" s="195">
        <f>Q401+Q405+Q403</f>
        <v>78752.2</v>
      </c>
      <c r="R400" s="195">
        <f>R401+R405+R403</f>
        <v>78752.4</v>
      </c>
      <c r="S400" s="195">
        <f>S401+S405+S403</f>
        <v>78752.29999999999</v>
      </c>
    </row>
    <row r="401" spans="1:19" ht="24.75" customHeight="1">
      <c r="A401" s="95"/>
      <c r="B401" s="94"/>
      <c r="C401" s="99"/>
      <c r="D401" s="97"/>
      <c r="E401" s="100"/>
      <c r="F401" s="100"/>
      <c r="G401" s="85"/>
      <c r="H401" s="2" t="s">
        <v>90</v>
      </c>
      <c r="I401" s="9">
        <v>663</v>
      </c>
      <c r="J401" s="15">
        <v>7</v>
      </c>
      <c r="K401" s="15">
        <v>1</v>
      </c>
      <c r="L401" s="91" t="s">
        <v>60</v>
      </c>
      <c r="M401" s="92" t="s">
        <v>347</v>
      </c>
      <c r="N401" s="92" t="s">
        <v>348</v>
      </c>
      <c r="O401" s="92" t="s">
        <v>81</v>
      </c>
      <c r="P401" s="9"/>
      <c r="Q401" s="195">
        <f>Q402</f>
        <v>16216.5</v>
      </c>
      <c r="R401" s="195">
        <f>R402</f>
        <v>17764.6</v>
      </c>
      <c r="S401" s="195">
        <f>S402</f>
        <v>17764.5</v>
      </c>
    </row>
    <row r="402" spans="1:19" ht="25.5" customHeight="1">
      <c r="A402" s="95"/>
      <c r="B402" s="94"/>
      <c r="C402" s="99"/>
      <c r="D402" s="97"/>
      <c r="E402" s="100"/>
      <c r="F402" s="100"/>
      <c r="G402" s="85"/>
      <c r="H402" s="2" t="s">
        <v>456</v>
      </c>
      <c r="I402" s="9">
        <v>663</v>
      </c>
      <c r="J402" s="15">
        <v>7</v>
      </c>
      <c r="K402" s="15">
        <v>1</v>
      </c>
      <c r="L402" s="91" t="s">
        <v>60</v>
      </c>
      <c r="M402" s="92" t="s">
        <v>347</v>
      </c>
      <c r="N402" s="92" t="s">
        <v>348</v>
      </c>
      <c r="O402" s="92" t="s">
        <v>81</v>
      </c>
      <c r="P402" s="9">
        <v>610</v>
      </c>
      <c r="Q402" s="195">
        <f>'Приложение 8'!Q540</f>
        <v>16216.5</v>
      </c>
      <c r="R402" s="195">
        <f>'Приложение 8'!R540</f>
        <v>17764.6</v>
      </c>
      <c r="S402" s="195">
        <f>'Приложение 8'!S540</f>
        <v>17764.5</v>
      </c>
    </row>
    <row r="403" spans="1:19" ht="36.75" customHeight="1">
      <c r="A403" s="95"/>
      <c r="B403" s="94"/>
      <c r="C403" s="99"/>
      <c r="D403" s="97"/>
      <c r="E403" s="100"/>
      <c r="F403" s="100"/>
      <c r="G403" s="85"/>
      <c r="H403" s="263" t="s">
        <v>595</v>
      </c>
      <c r="I403" s="9">
        <v>663</v>
      </c>
      <c r="J403" s="15">
        <v>7</v>
      </c>
      <c r="K403" s="15">
        <v>1</v>
      </c>
      <c r="L403" s="91" t="s">
        <v>60</v>
      </c>
      <c r="M403" s="92" t="s">
        <v>347</v>
      </c>
      <c r="N403" s="92" t="s">
        <v>348</v>
      </c>
      <c r="O403" s="92" t="s">
        <v>594</v>
      </c>
      <c r="P403" s="9"/>
      <c r="Q403" s="195">
        <f>Q404</f>
        <v>4887.799999999999</v>
      </c>
      <c r="R403" s="195">
        <f>R404</f>
        <v>4477.9</v>
      </c>
      <c r="S403" s="195">
        <f>S404</f>
        <v>4477.9</v>
      </c>
    </row>
    <row r="404" spans="1:19" ht="25.5" customHeight="1">
      <c r="A404" s="95"/>
      <c r="B404" s="94"/>
      <c r="C404" s="99"/>
      <c r="D404" s="97"/>
      <c r="E404" s="100"/>
      <c r="F404" s="100"/>
      <c r="G404" s="85"/>
      <c r="H404" s="2" t="s">
        <v>456</v>
      </c>
      <c r="I404" s="9">
        <v>663</v>
      </c>
      <c r="J404" s="15">
        <v>7</v>
      </c>
      <c r="K404" s="15">
        <v>1</v>
      </c>
      <c r="L404" s="91" t="s">
        <v>60</v>
      </c>
      <c r="M404" s="92" t="s">
        <v>347</v>
      </c>
      <c r="N404" s="92" t="s">
        <v>348</v>
      </c>
      <c r="O404" s="92" t="s">
        <v>594</v>
      </c>
      <c r="P404" s="9">
        <v>610</v>
      </c>
      <c r="Q404" s="195">
        <f>'Приложение 8'!Q542</f>
        <v>4887.799999999999</v>
      </c>
      <c r="R404" s="195">
        <v>4477.9</v>
      </c>
      <c r="S404" s="195">
        <v>4477.9</v>
      </c>
    </row>
    <row r="405" spans="1:19" ht="39" customHeight="1">
      <c r="A405" s="95"/>
      <c r="B405" s="94"/>
      <c r="C405" s="99"/>
      <c r="D405" s="97"/>
      <c r="E405" s="100"/>
      <c r="F405" s="100"/>
      <c r="G405" s="85"/>
      <c r="H405" s="225" t="s">
        <v>92</v>
      </c>
      <c r="I405" s="9">
        <v>663</v>
      </c>
      <c r="J405" s="15">
        <v>7</v>
      </c>
      <c r="K405" s="15">
        <v>1</v>
      </c>
      <c r="L405" s="91" t="s">
        <v>60</v>
      </c>
      <c r="M405" s="92" t="s">
        <v>347</v>
      </c>
      <c r="N405" s="92" t="s">
        <v>348</v>
      </c>
      <c r="O405" s="92" t="s">
        <v>91</v>
      </c>
      <c r="P405" s="9"/>
      <c r="Q405" s="195">
        <f>Q406</f>
        <v>57647.9</v>
      </c>
      <c r="R405" s="195">
        <f>R406</f>
        <v>56509.9</v>
      </c>
      <c r="S405" s="195">
        <f>S406</f>
        <v>56509.9</v>
      </c>
    </row>
    <row r="406" spans="1:19" ht="23.25" customHeight="1">
      <c r="A406" s="95"/>
      <c r="B406" s="94"/>
      <c r="C406" s="99"/>
      <c r="D406" s="97"/>
      <c r="E406" s="100"/>
      <c r="F406" s="100"/>
      <c r="G406" s="85"/>
      <c r="H406" s="225" t="s">
        <v>456</v>
      </c>
      <c r="I406" s="9">
        <v>663</v>
      </c>
      <c r="J406" s="15">
        <v>7</v>
      </c>
      <c r="K406" s="15">
        <v>1</v>
      </c>
      <c r="L406" s="91" t="s">
        <v>60</v>
      </c>
      <c r="M406" s="92" t="s">
        <v>347</v>
      </c>
      <c r="N406" s="92" t="s">
        <v>348</v>
      </c>
      <c r="O406" s="92" t="s">
        <v>91</v>
      </c>
      <c r="P406" s="9">
        <v>610</v>
      </c>
      <c r="Q406" s="195">
        <f>'Приложение 8'!Q544</f>
        <v>57647.9</v>
      </c>
      <c r="R406" s="195">
        <v>56509.9</v>
      </c>
      <c r="S406" s="195">
        <v>56509.9</v>
      </c>
    </row>
    <row r="407" spans="1:19" ht="23.25" customHeight="1">
      <c r="A407" s="95"/>
      <c r="B407" s="94"/>
      <c r="C407" s="99"/>
      <c r="D407" s="97"/>
      <c r="E407" s="100"/>
      <c r="F407" s="100"/>
      <c r="G407" s="85"/>
      <c r="H407" s="2" t="s">
        <v>520</v>
      </c>
      <c r="I407" s="9">
        <v>663</v>
      </c>
      <c r="J407" s="15">
        <v>7</v>
      </c>
      <c r="K407" s="15">
        <v>1</v>
      </c>
      <c r="L407" s="91" t="s">
        <v>60</v>
      </c>
      <c r="M407" s="92" t="s">
        <v>347</v>
      </c>
      <c r="N407" s="92" t="s">
        <v>350</v>
      </c>
      <c r="O407" s="92" t="s">
        <v>392</v>
      </c>
      <c r="P407" s="9"/>
      <c r="Q407" s="195">
        <f aca="true" t="shared" si="39" ref="Q407:S408">Q408</f>
        <v>696.4</v>
      </c>
      <c r="R407" s="195">
        <f t="shared" si="39"/>
        <v>0</v>
      </c>
      <c r="S407" s="195">
        <f t="shared" si="39"/>
        <v>0</v>
      </c>
    </row>
    <row r="408" spans="1:19" ht="30.75" customHeight="1">
      <c r="A408" s="95"/>
      <c r="B408" s="94"/>
      <c r="C408" s="99"/>
      <c r="D408" s="97"/>
      <c r="E408" s="100"/>
      <c r="F408" s="100"/>
      <c r="G408" s="85"/>
      <c r="H408" s="2" t="s">
        <v>90</v>
      </c>
      <c r="I408" s="9">
        <v>663</v>
      </c>
      <c r="J408" s="15">
        <v>7</v>
      </c>
      <c r="K408" s="15">
        <v>1</v>
      </c>
      <c r="L408" s="91" t="s">
        <v>60</v>
      </c>
      <c r="M408" s="92" t="s">
        <v>347</v>
      </c>
      <c r="N408" s="92" t="s">
        <v>350</v>
      </c>
      <c r="O408" s="92" t="s">
        <v>81</v>
      </c>
      <c r="P408" s="9"/>
      <c r="Q408" s="195">
        <f t="shared" si="39"/>
        <v>696.4</v>
      </c>
      <c r="R408" s="195">
        <f t="shared" si="39"/>
        <v>0</v>
      </c>
      <c r="S408" s="195">
        <f t="shared" si="39"/>
        <v>0</v>
      </c>
    </row>
    <row r="409" spans="1:19" ht="27.75" customHeight="1">
      <c r="A409" s="95"/>
      <c r="B409" s="94"/>
      <c r="C409" s="99"/>
      <c r="D409" s="97"/>
      <c r="E409" s="100"/>
      <c r="F409" s="100"/>
      <c r="G409" s="85"/>
      <c r="H409" s="2" t="s">
        <v>456</v>
      </c>
      <c r="I409" s="9">
        <v>663</v>
      </c>
      <c r="J409" s="15">
        <v>7</v>
      </c>
      <c r="K409" s="15">
        <v>1</v>
      </c>
      <c r="L409" s="91" t="s">
        <v>60</v>
      </c>
      <c r="M409" s="92" t="s">
        <v>347</v>
      </c>
      <c r="N409" s="92" t="s">
        <v>350</v>
      </c>
      <c r="O409" s="92" t="s">
        <v>81</v>
      </c>
      <c r="P409" s="9">
        <v>610</v>
      </c>
      <c r="Q409" s="195">
        <f>'Приложение 8'!Q547</f>
        <v>696.4</v>
      </c>
      <c r="R409" s="195">
        <f>'Приложение 8'!R547</f>
        <v>0</v>
      </c>
      <c r="S409" s="195">
        <f>'Приложение 8'!S547</f>
        <v>0</v>
      </c>
    </row>
    <row r="410" spans="1:19" s="171" customFormat="1" ht="27" customHeight="1">
      <c r="A410" s="135"/>
      <c r="B410" s="136"/>
      <c r="C410" s="146"/>
      <c r="D410" s="143"/>
      <c r="E410" s="138"/>
      <c r="F410" s="138"/>
      <c r="G410" s="129"/>
      <c r="H410" s="142" t="s">
        <v>330</v>
      </c>
      <c r="I410" s="131">
        <v>663</v>
      </c>
      <c r="J410" s="132">
        <v>7</v>
      </c>
      <c r="K410" s="132">
        <v>2</v>
      </c>
      <c r="L410" s="132"/>
      <c r="M410" s="134" t="s">
        <v>393</v>
      </c>
      <c r="N410" s="134"/>
      <c r="O410" s="134"/>
      <c r="P410" s="131"/>
      <c r="Q410" s="226">
        <f>Q424+Q411</f>
        <v>180227.80000000005</v>
      </c>
      <c r="R410" s="226">
        <f>R424+R411</f>
        <v>170979.40000000002</v>
      </c>
      <c r="S410" s="226">
        <f>S424+S411</f>
        <v>174259.8</v>
      </c>
    </row>
    <row r="411" spans="1:19" ht="30.75" customHeight="1">
      <c r="A411" s="95"/>
      <c r="B411" s="94"/>
      <c r="C411" s="99"/>
      <c r="D411" s="97"/>
      <c r="E411" s="100"/>
      <c r="F411" s="100"/>
      <c r="G411" s="85"/>
      <c r="H411" s="4" t="s">
        <v>865</v>
      </c>
      <c r="I411" s="9">
        <v>663</v>
      </c>
      <c r="J411" s="15">
        <v>7</v>
      </c>
      <c r="K411" s="15">
        <v>2</v>
      </c>
      <c r="L411" s="91" t="s">
        <v>442</v>
      </c>
      <c r="M411" s="92" t="s">
        <v>347</v>
      </c>
      <c r="N411" s="92" t="s">
        <v>357</v>
      </c>
      <c r="O411" s="92" t="s">
        <v>392</v>
      </c>
      <c r="P411" s="9"/>
      <c r="Q411" s="195">
        <f>Q412+Q415+Q418+Q421</f>
        <v>155.2</v>
      </c>
      <c r="R411" s="195">
        <f>R412+R415+R418+R421</f>
        <v>205.5</v>
      </c>
      <c r="S411" s="195">
        <f>S412+S415+S418+S421</f>
        <v>205.5</v>
      </c>
    </row>
    <row r="412" spans="1:19" ht="34.5" customHeight="1" hidden="1">
      <c r="A412" s="95"/>
      <c r="B412" s="94"/>
      <c r="C412" s="99"/>
      <c r="D412" s="97"/>
      <c r="E412" s="100"/>
      <c r="F412" s="100"/>
      <c r="G412" s="85"/>
      <c r="H412" s="17" t="s">
        <v>84</v>
      </c>
      <c r="I412" s="9">
        <v>663</v>
      </c>
      <c r="J412" s="15">
        <v>7</v>
      </c>
      <c r="K412" s="15">
        <v>2</v>
      </c>
      <c r="L412" s="91" t="s">
        <v>442</v>
      </c>
      <c r="M412" s="92" t="s">
        <v>347</v>
      </c>
      <c r="N412" s="92" t="s">
        <v>365</v>
      </c>
      <c r="O412" s="92" t="s">
        <v>392</v>
      </c>
      <c r="P412" s="9"/>
      <c r="Q412" s="195">
        <f aca="true" t="shared" si="40" ref="Q412:S413">Q413</f>
        <v>0</v>
      </c>
      <c r="R412" s="195">
        <f t="shared" si="40"/>
        <v>0</v>
      </c>
      <c r="S412" s="195">
        <f t="shared" si="40"/>
        <v>0</v>
      </c>
    </row>
    <row r="413" spans="1:19" ht="24.75" customHeight="1" hidden="1">
      <c r="A413" s="95"/>
      <c r="B413" s="94"/>
      <c r="C413" s="99"/>
      <c r="D413" s="97"/>
      <c r="E413" s="100"/>
      <c r="F413" s="100"/>
      <c r="G413" s="85"/>
      <c r="H413" s="17" t="s">
        <v>85</v>
      </c>
      <c r="I413" s="9">
        <v>663</v>
      </c>
      <c r="J413" s="15">
        <v>7</v>
      </c>
      <c r="K413" s="15">
        <v>2</v>
      </c>
      <c r="L413" s="91" t="s">
        <v>442</v>
      </c>
      <c r="M413" s="92" t="s">
        <v>347</v>
      </c>
      <c r="N413" s="92" t="s">
        <v>365</v>
      </c>
      <c r="O413" s="92" t="s">
        <v>83</v>
      </c>
      <c r="P413" s="9"/>
      <c r="Q413" s="195">
        <f t="shared" si="40"/>
        <v>0</v>
      </c>
      <c r="R413" s="195">
        <f t="shared" si="40"/>
        <v>0</v>
      </c>
      <c r="S413" s="195">
        <f t="shared" si="40"/>
        <v>0</v>
      </c>
    </row>
    <row r="414" spans="1:19" ht="24.75" customHeight="1" hidden="1">
      <c r="A414" s="95"/>
      <c r="B414" s="94"/>
      <c r="C414" s="99"/>
      <c r="D414" s="97"/>
      <c r="E414" s="100"/>
      <c r="F414" s="100"/>
      <c r="G414" s="85"/>
      <c r="H414" s="17" t="s">
        <v>456</v>
      </c>
      <c r="I414" s="9">
        <v>663</v>
      </c>
      <c r="J414" s="15">
        <v>7</v>
      </c>
      <c r="K414" s="15">
        <v>2</v>
      </c>
      <c r="L414" s="91" t="s">
        <v>442</v>
      </c>
      <c r="M414" s="92" t="s">
        <v>347</v>
      </c>
      <c r="N414" s="92" t="s">
        <v>365</v>
      </c>
      <c r="O414" s="92" t="s">
        <v>83</v>
      </c>
      <c r="P414" s="9">
        <v>610</v>
      </c>
      <c r="Q414" s="195">
        <f>9-9</f>
        <v>0</v>
      </c>
      <c r="R414" s="195">
        <v>0</v>
      </c>
      <c r="S414" s="195">
        <v>0</v>
      </c>
    </row>
    <row r="415" spans="1:19" ht="30" customHeight="1">
      <c r="A415" s="95"/>
      <c r="B415" s="94"/>
      <c r="C415" s="99"/>
      <c r="D415" s="97"/>
      <c r="E415" s="100"/>
      <c r="F415" s="100"/>
      <c r="G415" s="85"/>
      <c r="H415" s="4" t="s">
        <v>86</v>
      </c>
      <c r="I415" s="9">
        <v>663</v>
      </c>
      <c r="J415" s="15">
        <v>7</v>
      </c>
      <c r="K415" s="15">
        <v>2</v>
      </c>
      <c r="L415" s="91" t="s">
        <v>442</v>
      </c>
      <c r="M415" s="92" t="s">
        <v>347</v>
      </c>
      <c r="N415" s="92" t="s">
        <v>366</v>
      </c>
      <c r="O415" s="92" t="s">
        <v>392</v>
      </c>
      <c r="P415" s="9"/>
      <c r="Q415" s="195">
        <f aca="true" t="shared" si="41" ref="Q415:S416">Q416</f>
        <v>43.7</v>
      </c>
      <c r="R415" s="195">
        <f t="shared" si="41"/>
        <v>12.5</v>
      </c>
      <c r="S415" s="195">
        <f t="shared" si="41"/>
        <v>12.5</v>
      </c>
    </row>
    <row r="416" spans="1:19" ht="30" customHeight="1">
      <c r="A416" s="95"/>
      <c r="B416" s="94"/>
      <c r="C416" s="99"/>
      <c r="D416" s="97"/>
      <c r="E416" s="100"/>
      <c r="F416" s="100"/>
      <c r="G416" s="85"/>
      <c r="H416" s="4" t="s">
        <v>85</v>
      </c>
      <c r="I416" s="9">
        <v>663</v>
      </c>
      <c r="J416" s="15">
        <v>7</v>
      </c>
      <c r="K416" s="15">
        <v>2</v>
      </c>
      <c r="L416" s="91" t="s">
        <v>442</v>
      </c>
      <c r="M416" s="92" t="s">
        <v>347</v>
      </c>
      <c r="N416" s="92" t="s">
        <v>366</v>
      </c>
      <c r="O416" s="92" t="s">
        <v>83</v>
      </c>
      <c r="P416" s="9"/>
      <c r="Q416" s="195">
        <f t="shared" si="41"/>
        <v>43.7</v>
      </c>
      <c r="R416" s="195">
        <f t="shared" si="41"/>
        <v>12.5</v>
      </c>
      <c r="S416" s="195">
        <f t="shared" si="41"/>
        <v>12.5</v>
      </c>
    </row>
    <row r="417" spans="1:19" ht="30" customHeight="1">
      <c r="A417" s="95"/>
      <c r="B417" s="94"/>
      <c r="C417" s="99"/>
      <c r="D417" s="97"/>
      <c r="E417" s="100"/>
      <c r="F417" s="100"/>
      <c r="G417" s="85"/>
      <c r="H417" s="4" t="s">
        <v>456</v>
      </c>
      <c r="I417" s="9">
        <v>663</v>
      </c>
      <c r="J417" s="15">
        <v>7</v>
      </c>
      <c r="K417" s="15">
        <v>2</v>
      </c>
      <c r="L417" s="91" t="s">
        <v>442</v>
      </c>
      <c r="M417" s="92" t="s">
        <v>347</v>
      </c>
      <c r="N417" s="92" t="s">
        <v>366</v>
      </c>
      <c r="O417" s="92" t="s">
        <v>83</v>
      </c>
      <c r="P417" s="9">
        <v>610</v>
      </c>
      <c r="Q417" s="195">
        <f>'Приложение 8'!Q555</f>
        <v>43.7</v>
      </c>
      <c r="R417" s="195">
        <v>12.5</v>
      </c>
      <c r="S417" s="195">
        <v>12.5</v>
      </c>
    </row>
    <row r="418" spans="1:19" ht="41.25" customHeight="1">
      <c r="A418" s="95"/>
      <c r="B418" s="94"/>
      <c r="C418" s="99"/>
      <c r="D418" s="97"/>
      <c r="E418" s="100"/>
      <c r="F418" s="100"/>
      <c r="G418" s="85"/>
      <c r="H418" s="4" t="s">
        <v>440</v>
      </c>
      <c r="I418" s="9">
        <v>663</v>
      </c>
      <c r="J418" s="15">
        <v>7</v>
      </c>
      <c r="K418" s="15">
        <v>2</v>
      </c>
      <c r="L418" s="91" t="s">
        <v>442</v>
      </c>
      <c r="M418" s="92" t="s">
        <v>347</v>
      </c>
      <c r="N418" s="92" t="s">
        <v>361</v>
      </c>
      <c r="O418" s="92" t="s">
        <v>392</v>
      </c>
      <c r="P418" s="9"/>
      <c r="Q418" s="195">
        <f aca="true" t="shared" si="42" ref="Q418:S419">Q419</f>
        <v>34.3</v>
      </c>
      <c r="R418" s="195">
        <f t="shared" si="42"/>
        <v>68</v>
      </c>
      <c r="S418" s="195">
        <f t="shared" si="42"/>
        <v>68</v>
      </c>
    </row>
    <row r="419" spans="1:19" ht="28.5" customHeight="1">
      <c r="A419" s="95"/>
      <c r="B419" s="94"/>
      <c r="C419" s="99"/>
      <c r="D419" s="97"/>
      <c r="E419" s="100"/>
      <c r="F419" s="100"/>
      <c r="G419" s="85"/>
      <c r="H419" s="4" t="s">
        <v>85</v>
      </c>
      <c r="I419" s="9">
        <v>663</v>
      </c>
      <c r="J419" s="15">
        <v>7</v>
      </c>
      <c r="K419" s="15">
        <v>2</v>
      </c>
      <c r="L419" s="91" t="s">
        <v>442</v>
      </c>
      <c r="M419" s="92" t="s">
        <v>347</v>
      </c>
      <c r="N419" s="92" t="s">
        <v>361</v>
      </c>
      <c r="O419" s="92" t="s">
        <v>83</v>
      </c>
      <c r="P419" s="9"/>
      <c r="Q419" s="195">
        <f t="shared" si="42"/>
        <v>34.3</v>
      </c>
      <c r="R419" s="195">
        <f t="shared" si="42"/>
        <v>68</v>
      </c>
      <c r="S419" s="195">
        <f t="shared" si="42"/>
        <v>68</v>
      </c>
    </row>
    <row r="420" spans="1:19" ht="30" customHeight="1">
      <c r="A420" s="95"/>
      <c r="B420" s="94"/>
      <c r="C420" s="99"/>
      <c r="D420" s="97"/>
      <c r="E420" s="100"/>
      <c r="F420" s="100"/>
      <c r="G420" s="85"/>
      <c r="H420" s="4" t="s">
        <v>456</v>
      </c>
      <c r="I420" s="9">
        <v>663</v>
      </c>
      <c r="J420" s="15">
        <v>7</v>
      </c>
      <c r="K420" s="15">
        <v>2</v>
      </c>
      <c r="L420" s="91" t="s">
        <v>442</v>
      </c>
      <c r="M420" s="92" t="s">
        <v>347</v>
      </c>
      <c r="N420" s="92" t="s">
        <v>361</v>
      </c>
      <c r="O420" s="92" t="s">
        <v>83</v>
      </c>
      <c r="P420" s="9">
        <v>610</v>
      </c>
      <c r="Q420" s="195">
        <f>'Приложение 8'!Q558</f>
        <v>34.3</v>
      </c>
      <c r="R420" s="195">
        <v>68</v>
      </c>
      <c r="S420" s="195">
        <v>68</v>
      </c>
    </row>
    <row r="421" spans="1:19" ht="41.25" customHeight="1">
      <c r="A421" s="95"/>
      <c r="B421" s="94"/>
      <c r="C421" s="99"/>
      <c r="D421" s="97"/>
      <c r="E421" s="100"/>
      <c r="F421" s="100"/>
      <c r="G421" s="85"/>
      <c r="H421" s="113" t="s">
        <v>13</v>
      </c>
      <c r="I421" s="9">
        <v>663</v>
      </c>
      <c r="J421" s="15">
        <v>7</v>
      </c>
      <c r="K421" s="15">
        <v>2</v>
      </c>
      <c r="L421" s="91" t="s">
        <v>442</v>
      </c>
      <c r="M421" s="92" t="s">
        <v>347</v>
      </c>
      <c r="N421" s="92" t="s">
        <v>350</v>
      </c>
      <c r="O421" s="92" t="s">
        <v>392</v>
      </c>
      <c r="P421" s="9"/>
      <c r="Q421" s="195">
        <f aca="true" t="shared" si="43" ref="Q421:S422">Q422</f>
        <v>77.2</v>
      </c>
      <c r="R421" s="195">
        <f t="shared" si="43"/>
        <v>125</v>
      </c>
      <c r="S421" s="195">
        <f t="shared" si="43"/>
        <v>125</v>
      </c>
    </row>
    <row r="422" spans="1:19" ht="25.5" customHeight="1">
      <c r="A422" s="95"/>
      <c r="B422" s="94"/>
      <c r="C422" s="99"/>
      <c r="D422" s="97"/>
      <c r="E422" s="100"/>
      <c r="F422" s="100"/>
      <c r="G422" s="85"/>
      <c r="H422" s="4" t="s">
        <v>85</v>
      </c>
      <c r="I422" s="9">
        <v>663</v>
      </c>
      <c r="J422" s="15">
        <v>7</v>
      </c>
      <c r="K422" s="15">
        <v>2</v>
      </c>
      <c r="L422" s="91" t="s">
        <v>442</v>
      </c>
      <c r="M422" s="92" t="s">
        <v>347</v>
      </c>
      <c r="N422" s="92" t="s">
        <v>350</v>
      </c>
      <c r="O422" s="92" t="s">
        <v>83</v>
      </c>
      <c r="P422" s="9"/>
      <c r="Q422" s="195">
        <f t="shared" si="43"/>
        <v>77.2</v>
      </c>
      <c r="R422" s="195">
        <f t="shared" si="43"/>
        <v>125</v>
      </c>
      <c r="S422" s="195">
        <f t="shared" si="43"/>
        <v>125</v>
      </c>
    </row>
    <row r="423" spans="1:19" ht="27" customHeight="1">
      <c r="A423" s="95"/>
      <c r="B423" s="94"/>
      <c r="C423" s="99"/>
      <c r="D423" s="97"/>
      <c r="E423" s="100"/>
      <c r="F423" s="100"/>
      <c r="G423" s="85"/>
      <c r="H423" s="4" t="s">
        <v>456</v>
      </c>
      <c r="I423" s="9">
        <v>663</v>
      </c>
      <c r="J423" s="15">
        <v>7</v>
      </c>
      <c r="K423" s="15">
        <v>2</v>
      </c>
      <c r="L423" s="91" t="s">
        <v>442</v>
      </c>
      <c r="M423" s="92" t="s">
        <v>347</v>
      </c>
      <c r="N423" s="92" t="s">
        <v>350</v>
      </c>
      <c r="O423" s="92" t="s">
        <v>83</v>
      </c>
      <c r="P423" s="9">
        <v>610</v>
      </c>
      <c r="Q423" s="195">
        <f>'Приложение 8'!Q561</f>
        <v>77.2</v>
      </c>
      <c r="R423" s="195">
        <v>125</v>
      </c>
      <c r="S423" s="195">
        <v>125</v>
      </c>
    </row>
    <row r="424" spans="1:19" ht="30" customHeight="1">
      <c r="A424" s="95"/>
      <c r="B424" s="94"/>
      <c r="C424" s="99"/>
      <c r="D424" s="97"/>
      <c r="E424" s="100"/>
      <c r="F424" s="100"/>
      <c r="G424" s="85"/>
      <c r="H424" s="223" t="s">
        <v>649</v>
      </c>
      <c r="I424" s="9">
        <v>663</v>
      </c>
      <c r="J424" s="15">
        <v>7</v>
      </c>
      <c r="K424" s="15">
        <v>2</v>
      </c>
      <c r="L424" s="91" t="s">
        <v>60</v>
      </c>
      <c r="M424" s="92" t="s">
        <v>347</v>
      </c>
      <c r="N424" s="92" t="s">
        <v>357</v>
      </c>
      <c r="O424" s="92" t="s">
        <v>392</v>
      </c>
      <c r="P424" s="9"/>
      <c r="Q424" s="195">
        <f>Q425+Q428+Q442+Q445+Q452+Q455</f>
        <v>180072.60000000003</v>
      </c>
      <c r="R424" s="195">
        <f>R425+R428+R442+R445+R452+R455</f>
        <v>170773.90000000002</v>
      </c>
      <c r="S424" s="195">
        <f>S425+S428+S442+S445+S452+S455</f>
        <v>174054.3</v>
      </c>
    </row>
    <row r="425" spans="1:19" ht="30" customHeight="1">
      <c r="A425" s="95"/>
      <c r="B425" s="94"/>
      <c r="C425" s="99"/>
      <c r="D425" s="97"/>
      <c r="E425" s="100"/>
      <c r="F425" s="100"/>
      <c r="G425" s="85"/>
      <c r="H425" s="53" t="s">
        <v>406</v>
      </c>
      <c r="I425" s="9">
        <v>663</v>
      </c>
      <c r="J425" s="15">
        <v>7</v>
      </c>
      <c r="K425" s="15">
        <v>2</v>
      </c>
      <c r="L425" s="91" t="s">
        <v>60</v>
      </c>
      <c r="M425" s="92" t="s">
        <v>347</v>
      </c>
      <c r="N425" s="92" t="s">
        <v>348</v>
      </c>
      <c r="O425" s="92" t="s">
        <v>392</v>
      </c>
      <c r="P425" s="9"/>
      <c r="Q425" s="195">
        <f aca="true" t="shared" si="44" ref="Q425:S426">Q426</f>
        <v>172.5</v>
      </c>
      <c r="R425" s="195">
        <f t="shared" si="44"/>
        <v>172.5</v>
      </c>
      <c r="S425" s="195">
        <f t="shared" si="44"/>
        <v>172.5</v>
      </c>
    </row>
    <row r="426" spans="1:19" ht="24.75" customHeight="1">
      <c r="A426" s="95"/>
      <c r="B426" s="94"/>
      <c r="C426" s="99"/>
      <c r="D426" s="97"/>
      <c r="E426" s="100"/>
      <c r="F426" s="100"/>
      <c r="G426" s="85"/>
      <c r="H426" s="224" t="s">
        <v>93</v>
      </c>
      <c r="I426" s="9">
        <v>663</v>
      </c>
      <c r="J426" s="15">
        <v>7</v>
      </c>
      <c r="K426" s="15">
        <v>2</v>
      </c>
      <c r="L426" s="91" t="s">
        <v>60</v>
      </c>
      <c r="M426" s="92" t="s">
        <v>347</v>
      </c>
      <c r="N426" s="92" t="s">
        <v>348</v>
      </c>
      <c r="O426" s="92" t="s">
        <v>83</v>
      </c>
      <c r="P426" s="9"/>
      <c r="Q426" s="195">
        <f t="shared" si="44"/>
        <v>172.5</v>
      </c>
      <c r="R426" s="195">
        <f t="shared" si="44"/>
        <v>172.5</v>
      </c>
      <c r="S426" s="195">
        <f t="shared" si="44"/>
        <v>172.5</v>
      </c>
    </row>
    <row r="427" spans="1:19" ht="24.75" customHeight="1">
      <c r="A427" s="95"/>
      <c r="B427" s="94"/>
      <c r="C427" s="99"/>
      <c r="D427" s="97"/>
      <c r="E427" s="100"/>
      <c r="F427" s="100"/>
      <c r="G427" s="85"/>
      <c r="H427" s="224" t="s">
        <v>456</v>
      </c>
      <c r="I427" s="9">
        <v>663</v>
      </c>
      <c r="J427" s="15">
        <v>7</v>
      </c>
      <c r="K427" s="15">
        <v>2</v>
      </c>
      <c r="L427" s="91" t="s">
        <v>60</v>
      </c>
      <c r="M427" s="92" t="s">
        <v>347</v>
      </c>
      <c r="N427" s="92" t="s">
        <v>348</v>
      </c>
      <c r="O427" s="92" t="s">
        <v>83</v>
      </c>
      <c r="P427" s="9">
        <v>610</v>
      </c>
      <c r="Q427" s="195">
        <v>172.5</v>
      </c>
      <c r="R427" s="195">
        <v>172.5</v>
      </c>
      <c r="S427" s="195">
        <v>172.5</v>
      </c>
    </row>
    <row r="428" spans="1:19" ht="27" customHeight="1">
      <c r="A428" s="95"/>
      <c r="B428" s="94"/>
      <c r="C428" s="99"/>
      <c r="D428" s="97"/>
      <c r="E428" s="100"/>
      <c r="F428" s="100"/>
      <c r="G428" s="85"/>
      <c r="H428" s="17" t="s">
        <v>407</v>
      </c>
      <c r="I428" s="5">
        <v>663</v>
      </c>
      <c r="J428" s="18">
        <v>7</v>
      </c>
      <c r="K428" s="15">
        <v>2</v>
      </c>
      <c r="L428" s="91" t="s">
        <v>60</v>
      </c>
      <c r="M428" s="92" t="s">
        <v>347</v>
      </c>
      <c r="N428" s="92" t="s">
        <v>365</v>
      </c>
      <c r="O428" s="92" t="s">
        <v>392</v>
      </c>
      <c r="P428" s="5"/>
      <c r="Q428" s="197">
        <f>Q429+Q436+Q434+Q432+Q438+Q440</f>
        <v>177296.30000000002</v>
      </c>
      <c r="R428" s="197">
        <f>R429+R436+R434+R432+R438+R440</f>
        <v>167169.2</v>
      </c>
      <c r="S428" s="197">
        <f>S429+S436+S434+S432+S438+S440</f>
        <v>165740.1</v>
      </c>
    </row>
    <row r="429" spans="1:19" ht="27" customHeight="1">
      <c r="A429" s="95"/>
      <c r="B429" s="94"/>
      <c r="C429" s="99"/>
      <c r="D429" s="97"/>
      <c r="E429" s="100"/>
      <c r="F429" s="100"/>
      <c r="G429" s="85"/>
      <c r="H429" s="19" t="s">
        <v>93</v>
      </c>
      <c r="I429" s="5">
        <v>663</v>
      </c>
      <c r="J429" s="18">
        <v>7</v>
      </c>
      <c r="K429" s="15">
        <v>2</v>
      </c>
      <c r="L429" s="91" t="s">
        <v>60</v>
      </c>
      <c r="M429" s="92" t="s">
        <v>347</v>
      </c>
      <c r="N429" s="92" t="s">
        <v>365</v>
      </c>
      <c r="O429" s="92" t="s">
        <v>83</v>
      </c>
      <c r="P429" s="5"/>
      <c r="Q429" s="197">
        <f>SUM(Q430:Q431)</f>
        <v>44414.8</v>
      </c>
      <c r="R429" s="197">
        <f>SUM(R430:R431)</f>
        <v>36210.1</v>
      </c>
      <c r="S429" s="197">
        <f>SUM(S430:S431)</f>
        <v>36210.1</v>
      </c>
    </row>
    <row r="430" spans="1:19" ht="27" customHeight="1" hidden="1">
      <c r="A430" s="95"/>
      <c r="B430" s="94"/>
      <c r="C430" s="99"/>
      <c r="D430" s="97"/>
      <c r="E430" s="100"/>
      <c r="F430" s="100"/>
      <c r="G430" s="85"/>
      <c r="H430" s="4" t="s">
        <v>454</v>
      </c>
      <c r="I430" s="5">
        <v>663</v>
      </c>
      <c r="J430" s="18">
        <v>7</v>
      </c>
      <c r="K430" s="15">
        <v>2</v>
      </c>
      <c r="L430" s="91" t="s">
        <v>60</v>
      </c>
      <c r="M430" s="92" t="s">
        <v>347</v>
      </c>
      <c r="N430" s="92" t="s">
        <v>365</v>
      </c>
      <c r="O430" s="92" t="s">
        <v>83</v>
      </c>
      <c r="P430" s="5">
        <v>240</v>
      </c>
      <c r="Q430" s="197">
        <f>13.5-13.5</f>
        <v>0</v>
      </c>
      <c r="R430" s="197">
        <f>13.5-13.5</f>
        <v>0</v>
      </c>
      <c r="S430" s="197">
        <f>13.5-13.5</f>
        <v>0</v>
      </c>
    </row>
    <row r="431" spans="1:19" ht="27" customHeight="1">
      <c r="A431" s="95"/>
      <c r="B431" s="94"/>
      <c r="C431" s="99"/>
      <c r="D431" s="97"/>
      <c r="E431" s="100"/>
      <c r="F431" s="100"/>
      <c r="G431" s="85"/>
      <c r="H431" s="19" t="s">
        <v>456</v>
      </c>
      <c r="I431" s="5">
        <v>663</v>
      </c>
      <c r="J431" s="18">
        <v>7</v>
      </c>
      <c r="K431" s="15">
        <v>2</v>
      </c>
      <c r="L431" s="91" t="s">
        <v>60</v>
      </c>
      <c r="M431" s="92" t="s">
        <v>347</v>
      </c>
      <c r="N431" s="92" t="s">
        <v>365</v>
      </c>
      <c r="O431" s="92" t="s">
        <v>83</v>
      </c>
      <c r="P431" s="5">
        <v>610</v>
      </c>
      <c r="Q431" s="197">
        <f>'Приложение 8'!Q569</f>
        <v>44414.8</v>
      </c>
      <c r="R431" s="197">
        <f>41659-10448.9+5000</f>
        <v>36210.1</v>
      </c>
      <c r="S431" s="197">
        <f>41659-10448.9+5000</f>
        <v>36210.1</v>
      </c>
    </row>
    <row r="432" spans="1:19" ht="81" customHeight="1">
      <c r="A432" s="95"/>
      <c r="B432" s="94"/>
      <c r="C432" s="99"/>
      <c r="D432" s="97"/>
      <c r="E432" s="100"/>
      <c r="F432" s="100"/>
      <c r="G432" s="85"/>
      <c r="H432" s="19" t="s">
        <v>796</v>
      </c>
      <c r="I432" s="5">
        <v>663</v>
      </c>
      <c r="J432" s="18">
        <v>7</v>
      </c>
      <c r="K432" s="15">
        <v>2</v>
      </c>
      <c r="L432" s="91" t="s">
        <v>60</v>
      </c>
      <c r="M432" s="92" t="s">
        <v>347</v>
      </c>
      <c r="N432" s="92" t="s">
        <v>365</v>
      </c>
      <c r="O432" s="92" t="s">
        <v>795</v>
      </c>
      <c r="P432" s="5"/>
      <c r="Q432" s="197">
        <f>Q433</f>
        <v>9343.2</v>
      </c>
      <c r="R432" s="197">
        <f>R433</f>
        <v>9343.2</v>
      </c>
      <c r="S432" s="197">
        <f>S433</f>
        <v>9343.2</v>
      </c>
    </row>
    <row r="433" spans="1:19" ht="27" customHeight="1">
      <c r="A433" s="95"/>
      <c r="B433" s="94"/>
      <c r="C433" s="99"/>
      <c r="D433" s="97"/>
      <c r="E433" s="100"/>
      <c r="F433" s="100"/>
      <c r="G433" s="85"/>
      <c r="H433" s="19" t="s">
        <v>456</v>
      </c>
      <c r="I433" s="5">
        <v>663</v>
      </c>
      <c r="J433" s="18">
        <v>7</v>
      </c>
      <c r="K433" s="15">
        <v>2</v>
      </c>
      <c r="L433" s="91" t="s">
        <v>60</v>
      </c>
      <c r="M433" s="92" t="s">
        <v>347</v>
      </c>
      <c r="N433" s="92" t="s">
        <v>365</v>
      </c>
      <c r="O433" s="92" t="s">
        <v>795</v>
      </c>
      <c r="P433" s="5">
        <v>610</v>
      </c>
      <c r="Q433" s="197">
        <f>'Приложение 8'!Q571</f>
        <v>9343.2</v>
      </c>
      <c r="R433" s="197">
        <f>'Приложение 8'!R571</f>
        <v>9343.2</v>
      </c>
      <c r="S433" s="197">
        <f>'Приложение 8'!S571</f>
        <v>9343.2</v>
      </c>
    </row>
    <row r="434" spans="1:19" ht="33" customHeight="1">
      <c r="A434" s="95"/>
      <c r="B434" s="94"/>
      <c r="C434" s="99"/>
      <c r="D434" s="97"/>
      <c r="E434" s="100"/>
      <c r="F434" s="100"/>
      <c r="G434" s="85"/>
      <c r="H434" s="19" t="s">
        <v>595</v>
      </c>
      <c r="I434" s="5">
        <v>663</v>
      </c>
      <c r="J434" s="18">
        <v>7</v>
      </c>
      <c r="K434" s="15">
        <v>2</v>
      </c>
      <c r="L434" s="91" t="s">
        <v>60</v>
      </c>
      <c r="M434" s="92" t="s">
        <v>347</v>
      </c>
      <c r="N434" s="92" t="s">
        <v>365</v>
      </c>
      <c r="O434" s="92" t="s">
        <v>594</v>
      </c>
      <c r="P434" s="5"/>
      <c r="Q434" s="197">
        <f>Q435</f>
        <v>11776.6</v>
      </c>
      <c r="R434" s="197">
        <f>R435</f>
        <v>10448.9</v>
      </c>
      <c r="S434" s="197">
        <f>S435</f>
        <v>10448.9</v>
      </c>
    </row>
    <row r="435" spans="1:19" ht="27" customHeight="1">
      <c r="A435" s="95"/>
      <c r="B435" s="94"/>
      <c r="C435" s="99"/>
      <c r="D435" s="97"/>
      <c r="E435" s="100"/>
      <c r="F435" s="100"/>
      <c r="G435" s="85"/>
      <c r="H435" s="19" t="s">
        <v>456</v>
      </c>
      <c r="I435" s="5">
        <v>663</v>
      </c>
      <c r="J435" s="18">
        <v>7</v>
      </c>
      <c r="K435" s="15">
        <v>2</v>
      </c>
      <c r="L435" s="91" t="s">
        <v>60</v>
      </c>
      <c r="M435" s="92" t="s">
        <v>347</v>
      </c>
      <c r="N435" s="92" t="s">
        <v>365</v>
      </c>
      <c r="O435" s="92" t="s">
        <v>594</v>
      </c>
      <c r="P435" s="5">
        <v>610</v>
      </c>
      <c r="Q435" s="197">
        <f>'Приложение 8'!Q573</f>
        <v>11776.6</v>
      </c>
      <c r="R435" s="197">
        <v>10448.9</v>
      </c>
      <c r="S435" s="197">
        <v>10448.9</v>
      </c>
    </row>
    <row r="436" spans="1:19" ht="40.5" customHeight="1">
      <c r="A436" s="95"/>
      <c r="B436" s="94"/>
      <c r="C436" s="99"/>
      <c r="D436" s="97"/>
      <c r="E436" s="100"/>
      <c r="F436" s="100"/>
      <c r="G436" s="85"/>
      <c r="H436" s="19" t="s">
        <v>92</v>
      </c>
      <c r="I436" s="5">
        <v>663</v>
      </c>
      <c r="J436" s="18">
        <v>7</v>
      </c>
      <c r="K436" s="15">
        <v>2</v>
      </c>
      <c r="L436" s="91" t="s">
        <v>60</v>
      </c>
      <c r="M436" s="92" t="s">
        <v>347</v>
      </c>
      <c r="N436" s="92" t="s">
        <v>365</v>
      </c>
      <c r="O436" s="92" t="s">
        <v>91</v>
      </c>
      <c r="P436" s="5"/>
      <c r="Q436" s="197">
        <f>Q437</f>
        <v>103678.3</v>
      </c>
      <c r="R436" s="197">
        <f>R437</f>
        <v>101501.3</v>
      </c>
      <c r="S436" s="197">
        <f>S437</f>
        <v>101501.3</v>
      </c>
    </row>
    <row r="437" spans="1:19" ht="27" customHeight="1">
      <c r="A437" s="95"/>
      <c r="B437" s="94"/>
      <c r="C437" s="99"/>
      <c r="D437" s="97"/>
      <c r="E437" s="100"/>
      <c r="F437" s="100"/>
      <c r="G437" s="85"/>
      <c r="H437" s="19" t="s">
        <v>456</v>
      </c>
      <c r="I437" s="5">
        <v>663</v>
      </c>
      <c r="J437" s="18">
        <v>7</v>
      </c>
      <c r="K437" s="15">
        <v>2</v>
      </c>
      <c r="L437" s="91" t="s">
        <v>60</v>
      </c>
      <c r="M437" s="92" t="s">
        <v>347</v>
      </c>
      <c r="N437" s="92" t="s">
        <v>365</v>
      </c>
      <c r="O437" s="92" t="s">
        <v>91</v>
      </c>
      <c r="P437" s="5">
        <v>610</v>
      </c>
      <c r="Q437" s="197">
        <f>'Приложение 8'!Q575</f>
        <v>103678.3</v>
      </c>
      <c r="R437" s="197">
        <v>101501.3</v>
      </c>
      <c r="S437" s="197">
        <v>101501.3</v>
      </c>
    </row>
    <row r="438" spans="1:19" ht="33" customHeight="1">
      <c r="A438" s="95"/>
      <c r="B438" s="94"/>
      <c r="C438" s="99"/>
      <c r="D438" s="97"/>
      <c r="E438" s="100"/>
      <c r="F438" s="100"/>
      <c r="G438" s="85"/>
      <c r="H438" s="19" t="s">
        <v>797</v>
      </c>
      <c r="I438" s="7">
        <v>663</v>
      </c>
      <c r="J438" s="18">
        <v>7</v>
      </c>
      <c r="K438" s="15">
        <v>2</v>
      </c>
      <c r="L438" s="91" t="s">
        <v>60</v>
      </c>
      <c r="M438" s="92" t="s">
        <v>347</v>
      </c>
      <c r="N438" s="92" t="s">
        <v>365</v>
      </c>
      <c r="O438" s="92" t="s">
        <v>553</v>
      </c>
      <c r="P438" s="5"/>
      <c r="Q438" s="197">
        <f>Q439</f>
        <v>8083.4</v>
      </c>
      <c r="R438" s="197">
        <f>R439</f>
        <v>8444.7</v>
      </c>
      <c r="S438" s="197">
        <f>S439</f>
        <v>8236.6</v>
      </c>
    </row>
    <row r="439" spans="1:19" ht="27" customHeight="1">
      <c r="A439" s="95"/>
      <c r="B439" s="94"/>
      <c r="C439" s="99"/>
      <c r="D439" s="97"/>
      <c r="E439" s="100"/>
      <c r="F439" s="100"/>
      <c r="G439" s="85"/>
      <c r="H439" s="19" t="s">
        <v>456</v>
      </c>
      <c r="I439" s="7">
        <v>663</v>
      </c>
      <c r="J439" s="18">
        <v>7</v>
      </c>
      <c r="K439" s="15">
        <v>2</v>
      </c>
      <c r="L439" s="91" t="s">
        <v>60</v>
      </c>
      <c r="M439" s="92" t="s">
        <v>347</v>
      </c>
      <c r="N439" s="92" t="s">
        <v>365</v>
      </c>
      <c r="O439" s="92" t="s">
        <v>553</v>
      </c>
      <c r="P439" s="5">
        <v>610</v>
      </c>
      <c r="Q439" s="197">
        <f>'Приложение 8'!Q577</f>
        <v>8083.4</v>
      </c>
      <c r="R439" s="197">
        <f>'Приложение 8'!R577</f>
        <v>8444.7</v>
      </c>
      <c r="S439" s="197">
        <f>'Приложение 8'!S577</f>
        <v>8236.6</v>
      </c>
    </row>
    <row r="440" spans="1:19" ht="39" customHeight="1">
      <c r="A440" s="95"/>
      <c r="B440" s="94"/>
      <c r="C440" s="99"/>
      <c r="D440" s="97"/>
      <c r="E440" s="100"/>
      <c r="F440" s="100"/>
      <c r="G440" s="85"/>
      <c r="H440" s="19" t="s">
        <v>489</v>
      </c>
      <c r="I440" s="7">
        <v>663</v>
      </c>
      <c r="J440" s="18">
        <v>7</v>
      </c>
      <c r="K440" s="15">
        <v>2</v>
      </c>
      <c r="L440" s="91" t="s">
        <v>60</v>
      </c>
      <c r="M440" s="92" t="s">
        <v>347</v>
      </c>
      <c r="N440" s="92" t="s">
        <v>365</v>
      </c>
      <c r="O440" s="92" t="s">
        <v>646</v>
      </c>
      <c r="P440" s="5"/>
      <c r="Q440" s="197">
        <f>Q441</f>
        <v>0</v>
      </c>
      <c r="R440" s="197">
        <f>R441</f>
        <v>1221</v>
      </c>
      <c r="S440" s="197">
        <f>S441</f>
        <v>0</v>
      </c>
    </row>
    <row r="441" spans="1:19" ht="27" customHeight="1">
      <c r="A441" s="95"/>
      <c r="B441" s="94"/>
      <c r="C441" s="99"/>
      <c r="D441" s="97"/>
      <c r="E441" s="100"/>
      <c r="F441" s="100"/>
      <c r="G441" s="85"/>
      <c r="H441" s="19" t="s">
        <v>456</v>
      </c>
      <c r="I441" s="7">
        <v>663</v>
      </c>
      <c r="J441" s="18">
        <v>7</v>
      </c>
      <c r="K441" s="15">
        <v>2</v>
      </c>
      <c r="L441" s="91" t="s">
        <v>60</v>
      </c>
      <c r="M441" s="92" t="s">
        <v>347</v>
      </c>
      <c r="N441" s="92" t="s">
        <v>365</v>
      </c>
      <c r="O441" s="92" t="s">
        <v>646</v>
      </c>
      <c r="P441" s="5">
        <v>610</v>
      </c>
      <c r="Q441" s="197">
        <v>0</v>
      </c>
      <c r="R441" s="197">
        <v>1221</v>
      </c>
      <c r="S441" s="197">
        <v>0</v>
      </c>
    </row>
    <row r="442" spans="1:19" ht="24" customHeight="1">
      <c r="A442" s="95"/>
      <c r="B442" s="94"/>
      <c r="C442" s="99"/>
      <c r="D442" s="97"/>
      <c r="E442" s="100"/>
      <c r="F442" s="100"/>
      <c r="G442" s="85"/>
      <c r="H442" s="2" t="s">
        <v>519</v>
      </c>
      <c r="I442" s="7">
        <v>663</v>
      </c>
      <c r="J442" s="18">
        <v>7</v>
      </c>
      <c r="K442" s="15">
        <v>2</v>
      </c>
      <c r="L442" s="91" t="s">
        <v>60</v>
      </c>
      <c r="M442" s="92" t="s">
        <v>347</v>
      </c>
      <c r="N442" s="92" t="s">
        <v>366</v>
      </c>
      <c r="O442" s="92" t="s">
        <v>392</v>
      </c>
      <c r="P442" s="5"/>
      <c r="Q442" s="197">
        <f aca="true" t="shared" si="45" ref="Q442:S443">Q443</f>
        <v>108.1</v>
      </c>
      <c r="R442" s="197">
        <f t="shared" si="45"/>
        <v>122</v>
      </c>
      <c r="S442" s="197">
        <f t="shared" si="45"/>
        <v>122</v>
      </c>
    </row>
    <row r="443" spans="1:19" ht="24" customHeight="1">
      <c r="A443" s="95"/>
      <c r="B443" s="94"/>
      <c r="C443" s="99"/>
      <c r="D443" s="97"/>
      <c r="E443" s="100"/>
      <c r="F443" s="100"/>
      <c r="G443" s="85"/>
      <c r="H443" s="2" t="s">
        <v>93</v>
      </c>
      <c r="I443" s="7">
        <v>663</v>
      </c>
      <c r="J443" s="6">
        <v>7</v>
      </c>
      <c r="K443" s="15">
        <v>2</v>
      </c>
      <c r="L443" s="91" t="s">
        <v>60</v>
      </c>
      <c r="M443" s="92" t="s">
        <v>347</v>
      </c>
      <c r="N443" s="92" t="s">
        <v>366</v>
      </c>
      <c r="O443" s="92" t="s">
        <v>83</v>
      </c>
      <c r="P443" s="5"/>
      <c r="Q443" s="197">
        <f t="shared" si="45"/>
        <v>108.1</v>
      </c>
      <c r="R443" s="197">
        <f t="shared" si="45"/>
        <v>122</v>
      </c>
      <c r="S443" s="197">
        <f t="shared" si="45"/>
        <v>122</v>
      </c>
    </row>
    <row r="444" spans="1:19" ht="24" customHeight="1">
      <c r="A444" s="95"/>
      <c r="B444" s="94"/>
      <c r="C444" s="99"/>
      <c r="D444" s="97"/>
      <c r="E444" s="100"/>
      <c r="F444" s="100"/>
      <c r="G444" s="85"/>
      <c r="H444" s="2" t="s">
        <v>456</v>
      </c>
      <c r="I444" s="7">
        <v>663</v>
      </c>
      <c r="J444" s="6">
        <v>7</v>
      </c>
      <c r="K444" s="15">
        <v>2</v>
      </c>
      <c r="L444" s="91" t="s">
        <v>60</v>
      </c>
      <c r="M444" s="92" t="s">
        <v>347</v>
      </c>
      <c r="N444" s="92" t="s">
        <v>366</v>
      </c>
      <c r="O444" s="92" t="s">
        <v>83</v>
      </c>
      <c r="P444" s="5">
        <v>610</v>
      </c>
      <c r="Q444" s="197">
        <f>'Приложение 8'!Q582</f>
        <v>108.1</v>
      </c>
      <c r="R444" s="197">
        <v>122</v>
      </c>
      <c r="S444" s="197">
        <v>122</v>
      </c>
    </row>
    <row r="445" spans="1:19" ht="29.25" customHeight="1">
      <c r="A445" s="95"/>
      <c r="B445" s="94"/>
      <c r="C445" s="99"/>
      <c r="D445" s="97"/>
      <c r="E445" s="100"/>
      <c r="F445" s="100"/>
      <c r="G445" s="85"/>
      <c r="H445" s="2" t="s">
        <v>520</v>
      </c>
      <c r="I445" s="7">
        <v>663</v>
      </c>
      <c r="J445" s="6">
        <v>7</v>
      </c>
      <c r="K445" s="15">
        <v>2</v>
      </c>
      <c r="L445" s="91" t="s">
        <v>60</v>
      </c>
      <c r="M445" s="92" t="s">
        <v>347</v>
      </c>
      <c r="N445" s="92" t="s">
        <v>350</v>
      </c>
      <c r="O445" s="92" t="s">
        <v>392</v>
      </c>
      <c r="P445" s="5"/>
      <c r="Q445" s="197">
        <f>Q446+Q448+Q450</f>
        <v>2495.7</v>
      </c>
      <c r="R445" s="197">
        <f>R446+R448+R450</f>
        <v>0</v>
      </c>
      <c r="S445" s="197">
        <f>S446+S448+S450</f>
        <v>47</v>
      </c>
    </row>
    <row r="446" spans="1:19" ht="22.5" customHeight="1">
      <c r="A446" s="95"/>
      <c r="B446" s="94"/>
      <c r="C446" s="99"/>
      <c r="D446" s="97"/>
      <c r="E446" s="100"/>
      <c r="F446" s="100"/>
      <c r="G446" s="85"/>
      <c r="H446" s="2" t="s">
        <v>93</v>
      </c>
      <c r="I446" s="7">
        <v>663</v>
      </c>
      <c r="J446" s="6">
        <v>7</v>
      </c>
      <c r="K446" s="15">
        <v>2</v>
      </c>
      <c r="L446" s="91" t="s">
        <v>60</v>
      </c>
      <c r="M446" s="92" t="s">
        <v>347</v>
      </c>
      <c r="N446" s="92" t="s">
        <v>350</v>
      </c>
      <c r="O446" s="92" t="s">
        <v>83</v>
      </c>
      <c r="P446" s="5"/>
      <c r="Q446" s="197">
        <f>Q447</f>
        <v>2495.7</v>
      </c>
      <c r="R446" s="197">
        <f>R447</f>
        <v>0</v>
      </c>
      <c r="S446" s="197">
        <f>S447</f>
        <v>47</v>
      </c>
    </row>
    <row r="447" spans="1:19" ht="27.75" customHeight="1">
      <c r="A447" s="95"/>
      <c r="B447" s="94"/>
      <c r="C447" s="99"/>
      <c r="D447" s="97"/>
      <c r="E447" s="100"/>
      <c r="F447" s="100"/>
      <c r="G447" s="85"/>
      <c r="H447" s="2" t="s">
        <v>456</v>
      </c>
      <c r="I447" s="7">
        <v>663</v>
      </c>
      <c r="J447" s="6">
        <v>7</v>
      </c>
      <c r="K447" s="15">
        <v>2</v>
      </c>
      <c r="L447" s="91" t="s">
        <v>60</v>
      </c>
      <c r="M447" s="92" t="s">
        <v>347</v>
      </c>
      <c r="N447" s="92" t="s">
        <v>350</v>
      </c>
      <c r="O447" s="92" t="s">
        <v>83</v>
      </c>
      <c r="P447" s="9">
        <v>610</v>
      </c>
      <c r="Q447" s="195">
        <f>'Приложение 8'!Q585</f>
        <v>2495.7</v>
      </c>
      <c r="R447" s="195">
        <f>'Приложение 8'!R585</f>
        <v>0</v>
      </c>
      <c r="S447" s="195">
        <f>'Приложение 8'!S585</f>
        <v>47</v>
      </c>
    </row>
    <row r="448" spans="1:19" ht="36" customHeight="1" hidden="1">
      <c r="A448" s="95"/>
      <c r="B448" s="94"/>
      <c r="C448" s="99"/>
      <c r="D448" s="97"/>
      <c r="E448" s="109"/>
      <c r="F448" s="109"/>
      <c r="G448" s="85"/>
      <c r="H448" s="4" t="s">
        <v>49</v>
      </c>
      <c r="I448" s="7">
        <v>663</v>
      </c>
      <c r="J448" s="6">
        <v>7</v>
      </c>
      <c r="K448" s="15">
        <v>2</v>
      </c>
      <c r="L448" s="91" t="s">
        <v>60</v>
      </c>
      <c r="M448" s="92" t="s">
        <v>347</v>
      </c>
      <c r="N448" s="92" t="s">
        <v>350</v>
      </c>
      <c r="O448" s="92" t="s">
        <v>50</v>
      </c>
      <c r="P448" s="9"/>
      <c r="Q448" s="195">
        <f>Q449</f>
        <v>0</v>
      </c>
      <c r="R448" s="195">
        <f>R449</f>
        <v>0</v>
      </c>
      <c r="S448" s="195">
        <f>S449</f>
        <v>0</v>
      </c>
    </row>
    <row r="449" spans="1:19" ht="24.75" customHeight="1" hidden="1">
      <c r="A449" s="95"/>
      <c r="B449" s="94"/>
      <c r="C449" s="99"/>
      <c r="D449" s="97"/>
      <c r="E449" s="109"/>
      <c r="F449" s="109"/>
      <c r="G449" s="85"/>
      <c r="H449" s="4" t="s">
        <v>456</v>
      </c>
      <c r="I449" s="7">
        <v>663</v>
      </c>
      <c r="J449" s="6">
        <v>7</v>
      </c>
      <c r="K449" s="15">
        <v>2</v>
      </c>
      <c r="L449" s="91" t="s">
        <v>60</v>
      </c>
      <c r="M449" s="92" t="s">
        <v>347</v>
      </c>
      <c r="N449" s="92" t="s">
        <v>350</v>
      </c>
      <c r="O449" s="92" t="s">
        <v>50</v>
      </c>
      <c r="P449" s="9">
        <v>610</v>
      </c>
      <c r="Q449" s="195">
        <v>0</v>
      </c>
      <c r="R449" s="195">
        <v>0</v>
      </c>
      <c r="S449" s="195">
        <v>0</v>
      </c>
    </row>
    <row r="450" spans="1:19" ht="24.75" customHeight="1" hidden="1">
      <c r="A450" s="95"/>
      <c r="B450" s="94"/>
      <c r="C450" s="93"/>
      <c r="D450" s="97"/>
      <c r="E450" s="109"/>
      <c r="F450" s="109"/>
      <c r="G450" s="85"/>
      <c r="H450" s="274" t="s">
        <v>792</v>
      </c>
      <c r="I450" s="5">
        <v>663</v>
      </c>
      <c r="J450" s="6">
        <v>7</v>
      </c>
      <c r="K450" s="15">
        <v>2</v>
      </c>
      <c r="L450" s="91" t="s">
        <v>60</v>
      </c>
      <c r="M450" s="92" t="s">
        <v>347</v>
      </c>
      <c r="N450" s="92" t="s">
        <v>350</v>
      </c>
      <c r="O450" s="92" t="s">
        <v>791</v>
      </c>
      <c r="P450" s="9"/>
      <c r="Q450" s="195">
        <f>Q451</f>
        <v>0</v>
      </c>
      <c r="R450" s="195">
        <f>R451</f>
        <v>0</v>
      </c>
      <c r="S450" s="195">
        <f>S451</f>
        <v>0</v>
      </c>
    </row>
    <row r="451" spans="1:19" ht="24.75" customHeight="1" hidden="1">
      <c r="A451" s="95"/>
      <c r="B451" s="94"/>
      <c r="C451" s="93"/>
      <c r="D451" s="97"/>
      <c r="E451" s="109"/>
      <c r="F451" s="109"/>
      <c r="G451" s="85"/>
      <c r="H451" s="4" t="s">
        <v>456</v>
      </c>
      <c r="I451" s="5">
        <v>663</v>
      </c>
      <c r="J451" s="6">
        <v>7</v>
      </c>
      <c r="K451" s="15">
        <v>2</v>
      </c>
      <c r="L451" s="91" t="s">
        <v>60</v>
      </c>
      <c r="M451" s="92" t="s">
        <v>347</v>
      </c>
      <c r="N451" s="92" t="s">
        <v>350</v>
      </c>
      <c r="O451" s="92" t="s">
        <v>791</v>
      </c>
      <c r="P451" s="9">
        <v>610</v>
      </c>
      <c r="Q451" s="195">
        <v>0</v>
      </c>
      <c r="R451" s="195">
        <v>0</v>
      </c>
      <c r="S451" s="195">
        <v>0</v>
      </c>
    </row>
    <row r="452" spans="1:19" ht="24.75" customHeight="1">
      <c r="A452" s="95"/>
      <c r="B452" s="94"/>
      <c r="C452" s="93"/>
      <c r="D452" s="97"/>
      <c r="E452" s="109"/>
      <c r="F452" s="109"/>
      <c r="G452" s="85"/>
      <c r="H452" s="229" t="s">
        <v>706</v>
      </c>
      <c r="I452" s="5">
        <v>663</v>
      </c>
      <c r="J452" s="6">
        <v>7</v>
      </c>
      <c r="K452" s="15">
        <v>2</v>
      </c>
      <c r="L452" s="91" t="s">
        <v>60</v>
      </c>
      <c r="M452" s="92" t="s">
        <v>347</v>
      </c>
      <c r="N452" s="92" t="s">
        <v>443</v>
      </c>
      <c r="O452" s="92" t="s">
        <v>392</v>
      </c>
      <c r="P452" s="9"/>
      <c r="Q452" s="195">
        <f aca="true" t="shared" si="46" ref="Q452:S453">Q453</f>
        <v>0</v>
      </c>
      <c r="R452" s="195">
        <f t="shared" si="46"/>
        <v>0</v>
      </c>
      <c r="S452" s="195">
        <f t="shared" si="46"/>
        <v>4705.9</v>
      </c>
    </row>
    <row r="453" spans="1:19" ht="49.5" customHeight="1">
      <c r="A453" s="95"/>
      <c r="B453" s="94"/>
      <c r="C453" s="93"/>
      <c r="D453" s="97"/>
      <c r="E453" s="109"/>
      <c r="F453" s="109"/>
      <c r="G453" s="85"/>
      <c r="H453" s="229" t="s">
        <v>444</v>
      </c>
      <c r="I453" s="5">
        <v>663</v>
      </c>
      <c r="J453" s="6">
        <v>7</v>
      </c>
      <c r="K453" s="15">
        <v>2</v>
      </c>
      <c r="L453" s="91" t="s">
        <v>60</v>
      </c>
      <c r="M453" s="92" t="s">
        <v>347</v>
      </c>
      <c r="N453" s="92" t="s">
        <v>443</v>
      </c>
      <c r="O453" s="92" t="s">
        <v>601</v>
      </c>
      <c r="P453" s="9"/>
      <c r="Q453" s="195">
        <f t="shared" si="46"/>
        <v>0</v>
      </c>
      <c r="R453" s="195">
        <f t="shared" si="46"/>
        <v>0</v>
      </c>
      <c r="S453" s="195">
        <f t="shared" si="46"/>
        <v>4705.9</v>
      </c>
    </row>
    <row r="454" spans="1:19" ht="24.75" customHeight="1">
      <c r="A454" s="95"/>
      <c r="B454" s="94"/>
      <c r="C454" s="93"/>
      <c r="D454" s="97"/>
      <c r="E454" s="109"/>
      <c r="F454" s="109"/>
      <c r="G454" s="85"/>
      <c r="H454" s="10" t="s">
        <v>456</v>
      </c>
      <c r="I454" s="5">
        <v>663</v>
      </c>
      <c r="J454" s="6">
        <v>7</v>
      </c>
      <c r="K454" s="15">
        <v>2</v>
      </c>
      <c r="L454" s="91" t="s">
        <v>60</v>
      </c>
      <c r="M454" s="92" t="s">
        <v>347</v>
      </c>
      <c r="N454" s="92" t="s">
        <v>443</v>
      </c>
      <c r="O454" s="92" t="s">
        <v>601</v>
      </c>
      <c r="P454" s="9">
        <v>610</v>
      </c>
      <c r="Q454" s="195">
        <f>'Приложение 8'!Q592</f>
        <v>0</v>
      </c>
      <c r="R454" s="197">
        <f>'Приложение 8'!R592</f>
        <v>0</v>
      </c>
      <c r="S454" s="197">
        <f>'Приложение 8'!S592</f>
        <v>4705.9</v>
      </c>
    </row>
    <row r="455" spans="1:19" ht="24.75" customHeight="1">
      <c r="A455" s="95"/>
      <c r="B455" s="94"/>
      <c r="C455" s="93"/>
      <c r="D455" s="97"/>
      <c r="E455" s="100"/>
      <c r="F455" s="100"/>
      <c r="G455" s="85"/>
      <c r="H455" s="295" t="s">
        <v>488</v>
      </c>
      <c r="I455" s="5">
        <v>663</v>
      </c>
      <c r="J455" s="6">
        <v>7</v>
      </c>
      <c r="K455" s="15">
        <v>2</v>
      </c>
      <c r="L455" s="91" t="s">
        <v>60</v>
      </c>
      <c r="M455" s="92" t="s">
        <v>347</v>
      </c>
      <c r="N455" s="92" t="s">
        <v>647</v>
      </c>
      <c r="O455" s="92" t="s">
        <v>392</v>
      </c>
      <c r="P455" s="9"/>
      <c r="Q455" s="195">
        <f aca="true" t="shared" si="47" ref="Q455:S456">Q456</f>
        <v>0</v>
      </c>
      <c r="R455" s="195">
        <f t="shared" si="47"/>
        <v>3310.2</v>
      </c>
      <c r="S455" s="195">
        <f t="shared" si="47"/>
        <v>3266.8</v>
      </c>
    </row>
    <row r="456" spans="1:19" ht="39" customHeight="1">
      <c r="A456" s="95"/>
      <c r="B456" s="94"/>
      <c r="C456" s="93"/>
      <c r="D456" s="97"/>
      <c r="E456" s="100"/>
      <c r="F456" s="100"/>
      <c r="G456" s="85"/>
      <c r="H456" s="10" t="s">
        <v>487</v>
      </c>
      <c r="I456" s="5">
        <v>663</v>
      </c>
      <c r="J456" s="6">
        <v>7</v>
      </c>
      <c r="K456" s="15">
        <v>2</v>
      </c>
      <c r="L456" s="91" t="s">
        <v>60</v>
      </c>
      <c r="M456" s="92" t="s">
        <v>347</v>
      </c>
      <c r="N456" s="92" t="s">
        <v>647</v>
      </c>
      <c r="O456" s="92" t="s">
        <v>648</v>
      </c>
      <c r="P456" s="9"/>
      <c r="Q456" s="195">
        <f t="shared" si="47"/>
        <v>0</v>
      </c>
      <c r="R456" s="195">
        <f t="shared" si="47"/>
        <v>3310.2</v>
      </c>
      <c r="S456" s="195">
        <f t="shared" si="47"/>
        <v>3266.8</v>
      </c>
    </row>
    <row r="457" spans="1:19" ht="24.75" customHeight="1">
      <c r="A457" s="95"/>
      <c r="B457" s="94"/>
      <c r="C457" s="93"/>
      <c r="D457" s="97"/>
      <c r="E457" s="100"/>
      <c r="F457" s="100"/>
      <c r="G457" s="85"/>
      <c r="H457" s="10" t="s">
        <v>456</v>
      </c>
      <c r="I457" s="5">
        <v>663</v>
      </c>
      <c r="J457" s="6">
        <v>7</v>
      </c>
      <c r="K457" s="15">
        <v>2</v>
      </c>
      <c r="L457" s="91" t="s">
        <v>60</v>
      </c>
      <c r="M457" s="92" t="s">
        <v>347</v>
      </c>
      <c r="N457" s="92" t="s">
        <v>647</v>
      </c>
      <c r="O457" s="92" t="s">
        <v>648</v>
      </c>
      <c r="P457" s="9">
        <v>610</v>
      </c>
      <c r="Q457" s="195">
        <f>'Приложение 8'!Q595</f>
        <v>0</v>
      </c>
      <c r="R457" s="197">
        <f>'Приложение 8'!R595</f>
        <v>3310.2</v>
      </c>
      <c r="S457" s="197">
        <f>'Приложение 8'!S595</f>
        <v>3266.8</v>
      </c>
    </row>
    <row r="458" spans="1:19" s="171" customFormat="1" ht="20.25" customHeight="1">
      <c r="A458" s="135"/>
      <c r="B458" s="136"/>
      <c r="C458" s="365">
        <v>703</v>
      </c>
      <c r="D458" s="366"/>
      <c r="E458" s="366"/>
      <c r="F458" s="366"/>
      <c r="G458" s="129">
        <v>612</v>
      </c>
      <c r="H458" s="142" t="s">
        <v>105</v>
      </c>
      <c r="I458" s="139">
        <v>27</v>
      </c>
      <c r="J458" s="141">
        <v>7</v>
      </c>
      <c r="K458" s="132">
        <v>3</v>
      </c>
      <c r="L458" s="133"/>
      <c r="M458" s="134"/>
      <c r="N458" s="134"/>
      <c r="O458" s="134"/>
      <c r="P458" s="139"/>
      <c r="Q458" s="198">
        <f>Q466+Q472+Q459</f>
        <v>12236.699999999999</v>
      </c>
      <c r="R458" s="198">
        <f>R466+R472</f>
        <v>11530.8</v>
      </c>
      <c r="S458" s="198">
        <f>S466+S472</f>
        <v>11530.8</v>
      </c>
    </row>
    <row r="459" spans="1:19" s="171" customFormat="1" ht="37.5" customHeight="1">
      <c r="A459" s="135"/>
      <c r="B459" s="136"/>
      <c r="C459" s="146"/>
      <c r="D459" s="207"/>
      <c r="E459" s="158"/>
      <c r="F459" s="158"/>
      <c r="G459" s="129"/>
      <c r="H459" s="4" t="str">
        <f>'Приложение 8'!H274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59" s="5">
        <f>'Приложение 8'!I274</f>
        <v>27</v>
      </c>
      <c r="J459" s="6">
        <f>'Приложение 8'!J274</f>
        <v>7</v>
      </c>
      <c r="K459" s="15">
        <f>'Приложение 8'!K274</f>
        <v>3</v>
      </c>
      <c r="L459" s="91">
        <f>'Приложение 8'!L274</f>
        <v>27</v>
      </c>
      <c r="M459" s="92" t="str">
        <f>'Приложение 8'!M274</f>
        <v>0</v>
      </c>
      <c r="N459" s="92" t="str">
        <f>'Приложение 8'!N274</f>
        <v>00</v>
      </c>
      <c r="O459" s="92" t="str">
        <f>'Приложение 8'!O274</f>
        <v>00000</v>
      </c>
      <c r="P459" s="9" t="s">
        <v>393</v>
      </c>
      <c r="Q459" s="195">
        <f>'Приложение 8'!Q274</f>
        <v>8.6</v>
      </c>
      <c r="R459" s="197">
        <f>'Приложение 8'!R274</f>
        <v>0</v>
      </c>
      <c r="S459" s="197">
        <f>'Приложение 8'!S274</f>
        <v>0</v>
      </c>
    </row>
    <row r="460" spans="1:19" s="171" customFormat="1" ht="21.75" customHeight="1">
      <c r="A460" s="135"/>
      <c r="B460" s="136"/>
      <c r="C460" s="146"/>
      <c r="D460" s="207"/>
      <c r="E460" s="158"/>
      <c r="F460" s="158"/>
      <c r="G460" s="129"/>
      <c r="H460" s="4" t="str">
        <f>'Приложение 8'!H275</f>
        <v> Основное мероприятие «Обеспечение благоприятных и безопасных условий для отдыха и оздоровления детей»</v>
      </c>
      <c r="I460" s="5">
        <f>'Приложение 8'!I275</f>
        <v>27</v>
      </c>
      <c r="J460" s="6">
        <f>'Приложение 8'!J275</f>
        <v>7</v>
      </c>
      <c r="K460" s="15">
        <f>'Приложение 8'!K275</f>
        <v>3</v>
      </c>
      <c r="L460" s="91">
        <f>'Приложение 8'!L275</f>
        <v>27</v>
      </c>
      <c r="M460" s="92" t="str">
        <f>'Приложение 8'!M275</f>
        <v>0</v>
      </c>
      <c r="N460" s="92" t="str">
        <f>'Приложение 8'!N275</f>
        <v>03</v>
      </c>
      <c r="O460" s="92" t="str">
        <f>'Приложение 8'!O275</f>
        <v>00000</v>
      </c>
      <c r="P460" s="9" t="s">
        <v>393</v>
      </c>
      <c r="Q460" s="195">
        <f>'Приложение 8'!Q275</f>
        <v>3.6</v>
      </c>
      <c r="R460" s="197">
        <f>'Приложение 8'!R275</f>
        <v>0</v>
      </c>
      <c r="S460" s="197">
        <f>'Приложение 8'!S275</f>
        <v>0</v>
      </c>
    </row>
    <row r="461" spans="1:19" s="171" customFormat="1" ht="20.25" customHeight="1">
      <c r="A461" s="135"/>
      <c r="B461" s="136"/>
      <c r="C461" s="146"/>
      <c r="D461" s="207"/>
      <c r="E461" s="158"/>
      <c r="F461" s="158"/>
      <c r="G461" s="129"/>
      <c r="H461" s="4" t="str">
        <f>'Приложение 8'!H276</f>
        <v>Учреждения по внешкольной работе с детьми</v>
      </c>
      <c r="I461" s="5">
        <f>'Приложение 8'!I276</f>
        <v>27</v>
      </c>
      <c r="J461" s="6">
        <f>'Приложение 8'!J276</f>
        <v>7</v>
      </c>
      <c r="K461" s="15">
        <f>'Приложение 8'!K276</f>
        <v>3</v>
      </c>
      <c r="L461" s="91">
        <f>'Приложение 8'!L276</f>
        <v>27</v>
      </c>
      <c r="M461" s="92" t="str">
        <f>'Приложение 8'!M276</f>
        <v>0</v>
      </c>
      <c r="N461" s="92" t="str">
        <f>'Приложение 8'!N276</f>
        <v>03</v>
      </c>
      <c r="O461" s="92" t="str">
        <f>'Приложение 8'!O276</f>
        <v>15590</v>
      </c>
      <c r="P461" s="9" t="s">
        <v>393</v>
      </c>
      <c r="Q461" s="195">
        <f>'Приложение 8'!Q276</f>
        <v>3.6</v>
      </c>
      <c r="R461" s="197">
        <f>'Приложение 8'!R276</f>
        <v>0</v>
      </c>
      <c r="S461" s="197">
        <f>'Приложение 8'!S276</f>
        <v>0</v>
      </c>
    </row>
    <row r="462" spans="1:19" s="171" customFormat="1" ht="20.25" customHeight="1">
      <c r="A462" s="135"/>
      <c r="B462" s="136"/>
      <c r="C462" s="146"/>
      <c r="D462" s="207"/>
      <c r="E462" s="158"/>
      <c r="F462" s="158"/>
      <c r="G462" s="129"/>
      <c r="H462" s="4" t="str">
        <f>'Приложение 8'!H277</f>
        <v>Субсидии бюджетным учреждениям</v>
      </c>
      <c r="I462" s="5">
        <f>'Приложение 8'!I277</f>
        <v>27</v>
      </c>
      <c r="J462" s="6">
        <f>'Приложение 8'!J277</f>
        <v>7</v>
      </c>
      <c r="K462" s="15">
        <f>'Приложение 8'!K277</f>
        <v>3</v>
      </c>
      <c r="L462" s="91">
        <f>'Приложение 8'!L277</f>
        <v>27</v>
      </c>
      <c r="M462" s="92" t="str">
        <f>'Приложение 8'!M277</f>
        <v>0</v>
      </c>
      <c r="N462" s="92" t="str">
        <f>'Приложение 8'!N277</f>
        <v>03</v>
      </c>
      <c r="O462" s="92" t="str">
        <f>'Приложение 8'!O277</f>
        <v>15590</v>
      </c>
      <c r="P462" s="9">
        <f>'Приложение 8'!P277</f>
        <v>610</v>
      </c>
      <c r="Q462" s="195">
        <f>'Приложение 8'!Q277</f>
        <v>3.6</v>
      </c>
      <c r="R462" s="197">
        <f>'Приложение 8'!R277</f>
        <v>0</v>
      </c>
      <c r="S462" s="197">
        <f>'Приложение 8'!S277</f>
        <v>0</v>
      </c>
    </row>
    <row r="463" spans="1:19" s="171" customFormat="1" ht="34.5" customHeight="1">
      <c r="A463" s="135"/>
      <c r="B463" s="136"/>
      <c r="C463" s="146"/>
      <c r="D463" s="207"/>
      <c r="E463" s="158"/>
      <c r="F463" s="158"/>
      <c r="G463" s="129"/>
      <c r="H463" s="4" t="str">
        <f>'Приложение 8'!H278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63" s="5">
        <f>'Приложение 8'!I278</f>
        <v>27</v>
      </c>
      <c r="J463" s="6">
        <f>'Приложение 8'!J278</f>
        <v>7</v>
      </c>
      <c r="K463" s="15">
        <f>'Приложение 8'!K278</f>
        <v>3</v>
      </c>
      <c r="L463" s="91">
        <f>'Приложение 8'!L278</f>
        <v>27</v>
      </c>
      <c r="M463" s="92" t="str">
        <f>'Приложение 8'!M278</f>
        <v>0</v>
      </c>
      <c r="N463" s="92" t="str">
        <f>'Приложение 8'!N278</f>
        <v>04</v>
      </c>
      <c r="O463" s="92" t="str">
        <f>'Приложение 8'!O278</f>
        <v>00000</v>
      </c>
      <c r="P463" s="9" t="s">
        <v>393</v>
      </c>
      <c r="Q463" s="195">
        <f>'Приложение 8'!Q278</f>
        <v>5</v>
      </c>
      <c r="R463" s="197">
        <f>'Приложение 8'!R278</f>
        <v>0</v>
      </c>
      <c r="S463" s="197">
        <f>'Приложение 8'!S278</f>
        <v>0</v>
      </c>
    </row>
    <row r="464" spans="1:19" s="171" customFormat="1" ht="20.25" customHeight="1">
      <c r="A464" s="135"/>
      <c r="B464" s="136"/>
      <c r="C464" s="146"/>
      <c r="D464" s="207"/>
      <c r="E464" s="158"/>
      <c r="F464" s="158"/>
      <c r="G464" s="129"/>
      <c r="H464" s="4" t="str">
        <f>'Приложение 8'!H279</f>
        <v>Учреждения по внешкольной работе с детьми</v>
      </c>
      <c r="I464" s="5">
        <f>'Приложение 8'!I279</f>
        <v>27</v>
      </c>
      <c r="J464" s="6">
        <f>'Приложение 8'!J279</f>
        <v>7</v>
      </c>
      <c r="K464" s="15">
        <f>'Приложение 8'!K279</f>
        <v>3</v>
      </c>
      <c r="L464" s="91">
        <f>'Приложение 8'!L279</f>
        <v>27</v>
      </c>
      <c r="M464" s="92" t="str">
        <f>'Приложение 8'!M279</f>
        <v>0</v>
      </c>
      <c r="N464" s="92" t="str">
        <f>'Приложение 8'!N279</f>
        <v>04</v>
      </c>
      <c r="O464" s="92" t="str">
        <f>'Приложение 8'!O279</f>
        <v>15590</v>
      </c>
      <c r="P464" s="9" t="s">
        <v>393</v>
      </c>
      <c r="Q464" s="195">
        <f>'Приложение 8'!Q279</f>
        <v>5</v>
      </c>
      <c r="R464" s="197">
        <f>'Приложение 8'!R279</f>
        <v>0</v>
      </c>
      <c r="S464" s="197">
        <f>'Приложение 8'!S279</f>
        <v>0</v>
      </c>
    </row>
    <row r="465" spans="1:19" s="171" customFormat="1" ht="20.25" customHeight="1">
      <c r="A465" s="135"/>
      <c r="B465" s="136"/>
      <c r="C465" s="146"/>
      <c r="D465" s="207"/>
      <c r="E465" s="158"/>
      <c r="F465" s="158"/>
      <c r="G465" s="129"/>
      <c r="H465" s="4" t="str">
        <f>'Приложение 8'!H280</f>
        <v>Субсидии бюджетным учреждениям</v>
      </c>
      <c r="I465" s="5">
        <f>'Приложение 8'!I280</f>
        <v>27</v>
      </c>
      <c r="J465" s="6">
        <f>'Приложение 8'!J280</f>
        <v>7</v>
      </c>
      <c r="K465" s="15">
        <f>'Приложение 8'!K280</f>
        <v>3</v>
      </c>
      <c r="L465" s="91">
        <f>'Приложение 8'!L280</f>
        <v>27</v>
      </c>
      <c r="M465" s="92" t="str">
        <f>'Приложение 8'!M280</f>
        <v>0</v>
      </c>
      <c r="N465" s="92" t="str">
        <f>'Приложение 8'!N280</f>
        <v>04</v>
      </c>
      <c r="O465" s="92" t="str">
        <f>'Приложение 8'!O280</f>
        <v>15590</v>
      </c>
      <c r="P465" s="9">
        <f>'Приложение 8'!P280</f>
        <v>610</v>
      </c>
      <c r="Q465" s="195">
        <f>'Приложение 8'!Q280</f>
        <v>5</v>
      </c>
      <c r="R465" s="197">
        <f>'Приложение 8'!R280</f>
        <v>0</v>
      </c>
      <c r="S465" s="197">
        <f>'Приложение 8'!S280</f>
        <v>0</v>
      </c>
    </row>
    <row r="466" spans="1:19" ht="30.75" customHeight="1">
      <c r="A466" s="93"/>
      <c r="B466" s="94"/>
      <c r="C466" s="99"/>
      <c r="D466" s="97"/>
      <c r="E466" s="109"/>
      <c r="F466" s="109"/>
      <c r="G466" s="85"/>
      <c r="H466" s="223" t="s">
        <v>649</v>
      </c>
      <c r="I466" s="5">
        <v>663</v>
      </c>
      <c r="J466" s="6">
        <v>7</v>
      </c>
      <c r="K466" s="15">
        <v>3</v>
      </c>
      <c r="L466" s="15">
        <v>30</v>
      </c>
      <c r="M466" s="92" t="s">
        <v>347</v>
      </c>
      <c r="N466" s="92" t="s">
        <v>357</v>
      </c>
      <c r="O466" s="92" t="s">
        <v>392</v>
      </c>
      <c r="P466" s="9"/>
      <c r="Q466" s="195">
        <f>Q467</f>
        <v>3911.3</v>
      </c>
      <c r="R466" s="195">
        <f>R467</f>
        <v>4232.8</v>
      </c>
      <c r="S466" s="195">
        <f>S467</f>
        <v>4232.8</v>
      </c>
    </row>
    <row r="467" spans="1:19" ht="25.5" customHeight="1">
      <c r="A467" s="95"/>
      <c r="B467" s="94"/>
      <c r="C467" s="99"/>
      <c r="D467" s="97"/>
      <c r="E467" s="109"/>
      <c r="F467" s="109"/>
      <c r="G467" s="85"/>
      <c r="H467" s="4" t="s">
        <v>519</v>
      </c>
      <c r="I467" s="7">
        <v>663</v>
      </c>
      <c r="J467" s="6">
        <v>7</v>
      </c>
      <c r="K467" s="15">
        <v>3</v>
      </c>
      <c r="L467" s="15">
        <v>30</v>
      </c>
      <c r="M467" s="92" t="s">
        <v>347</v>
      </c>
      <c r="N467" s="92" t="s">
        <v>366</v>
      </c>
      <c r="O467" s="92" t="s">
        <v>392</v>
      </c>
      <c r="P467" s="9"/>
      <c r="Q467" s="195">
        <f>Q468+Q470</f>
        <v>3911.3</v>
      </c>
      <c r="R467" s="195">
        <f>R468+R470</f>
        <v>4232.8</v>
      </c>
      <c r="S467" s="195">
        <f>S468+S470</f>
        <v>4232.8</v>
      </c>
    </row>
    <row r="468" spans="1:19" ht="25.5" customHeight="1">
      <c r="A468" s="95"/>
      <c r="B468" s="94"/>
      <c r="C468" s="99"/>
      <c r="D468" s="97"/>
      <c r="E468" s="109"/>
      <c r="F468" s="109"/>
      <c r="G468" s="85"/>
      <c r="H468" s="4" t="s">
        <v>94</v>
      </c>
      <c r="I468" s="7">
        <v>663</v>
      </c>
      <c r="J468" s="6">
        <v>7</v>
      </c>
      <c r="K468" s="15">
        <v>3</v>
      </c>
      <c r="L468" s="15">
        <v>30</v>
      </c>
      <c r="M468" s="92" t="s">
        <v>347</v>
      </c>
      <c r="N468" s="92" t="s">
        <v>366</v>
      </c>
      <c r="O468" s="92" t="s">
        <v>30</v>
      </c>
      <c r="P468" s="9"/>
      <c r="Q468" s="195">
        <f>Q469</f>
        <v>2699.4</v>
      </c>
      <c r="R468" s="195">
        <f>R469</f>
        <v>3139.8</v>
      </c>
      <c r="S468" s="195">
        <f>S469</f>
        <v>3139.8</v>
      </c>
    </row>
    <row r="469" spans="1:19" ht="25.5" customHeight="1">
      <c r="A469" s="95"/>
      <c r="B469" s="94"/>
      <c r="C469" s="99"/>
      <c r="D469" s="97"/>
      <c r="E469" s="109"/>
      <c r="F469" s="109"/>
      <c r="G469" s="85"/>
      <c r="H469" s="4" t="s">
        <v>456</v>
      </c>
      <c r="I469" s="7">
        <v>663</v>
      </c>
      <c r="J469" s="20">
        <v>7</v>
      </c>
      <c r="K469" s="15">
        <v>3</v>
      </c>
      <c r="L469" s="15">
        <v>30</v>
      </c>
      <c r="M469" s="92" t="s">
        <v>347</v>
      </c>
      <c r="N469" s="92" t="s">
        <v>366</v>
      </c>
      <c r="O469" s="92" t="s">
        <v>30</v>
      </c>
      <c r="P469" s="9">
        <v>610</v>
      </c>
      <c r="Q469" s="195">
        <f>'Приложение 8'!Q600</f>
        <v>2699.4</v>
      </c>
      <c r="R469" s="195">
        <f>4232.8-1093</f>
        <v>3139.8</v>
      </c>
      <c r="S469" s="195">
        <f>4232.8-1093</f>
        <v>3139.8</v>
      </c>
    </row>
    <row r="470" spans="1:19" ht="39.75" customHeight="1">
      <c r="A470" s="95"/>
      <c r="B470" s="94"/>
      <c r="C470" s="99"/>
      <c r="D470" s="97"/>
      <c r="E470" s="109"/>
      <c r="F470" s="109"/>
      <c r="G470" s="85"/>
      <c r="H470" s="4" t="s">
        <v>595</v>
      </c>
      <c r="I470" s="7">
        <v>663</v>
      </c>
      <c r="J470" s="20">
        <v>7</v>
      </c>
      <c r="K470" s="15">
        <v>3</v>
      </c>
      <c r="L470" s="15">
        <v>30</v>
      </c>
      <c r="M470" s="92" t="s">
        <v>347</v>
      </c>
      <c r="N470" s="92" t="s">
        <v>366</v>
      </c>
      <c r="O470" s="92" t="s">
        <v>594</v>
      </c>
      <c r="P470" s="9"/>
      <c r="Q470" s="195">
        <f>Q471</f>
        <v>1211.9</v>
      </c>
      <c r="R470" s="195">
        <f>R471</f>
        <v>1093</v>
      </c>
      <c r="S470" s="195">
        <f>S471</f>
        <v>1093</v>
      </c>
    </row>
    <row r="471" spans="1:19" ht="21" customHeight="1">
      <c r="A471" s="95"/>
      <c r="B471" s="94"/>
      <c r="C471" s="99"/>
      <c r="D471" s="97"/>
      <c r="E471" s="109"/>
      <c r="F471" s="109"/>
      <c r="G471" s="85"/>
      <c r="H471" s="4" t="s">
        <v>456</v>
      </c>
      <c r="I471" s="7">
        <v>663</v>
      </c>
      <c r="J471" s="20">
        <v>7</v>
      </c>
      <c r="K471" s="15">
        <v>3</v>
      </c>
      <c r="L471" s="15">
        <v>30</v>
      </c>
      <c r="M471" s="92" t="s">
        <v>347</v>
      </c>
      <c r="N471" s="92" t="s">
        <v>366</v>
      </c>
      <c r="O471" s="92" t="s">
        <v>594</v>
      </c>
      <c r="P471" s="9">
        <v>610</v>
      </c>
      <c r="Q471" s="195">
        <f>'Приложение 8'!Q602</f>
        <v>1211.9</v>
      </c>
      <c r="R471" s="195">
        <v>1093</v>
      </c>
      <c r="S471" s="195">
        <v>1093</v>
      </c>
    </row>
    <row r="472" spans="1:19" s="171" customFormat="1" ht="29.25" customHeight="1">
      <c r="A472" s="135"/>
      <c r="B472" s="136"/>
      <c r="C472" s="146"/>
      <c r="D472" s="207"/>
      <c r="E472" s="158"/>
      <c r="F472" s="158"/>
      <c r="G472" s="129"/>
      <c r="H472" s="4" t="s">
        <v>421</v>
      </c>
      <c r="I472" s="5">
        <v>27</v>
      </c>
      <c r="J472" s="6">
        <v>7</v>
      </c>
      <c r="K472" s="15">
        <v>3</v>
      </c>
      <c r="L472" s="91" t="s">
        <v>422</v>
      </c>
      <c r="M472" s="92" t="s">
        <v>347</v>
      </c>
      <c r="N472" s="92" t="s">
        <v>357</v>
      </c>
      <c r="O472" s="92" t="s">
        <v>392</v>
      </c>
      <c r="P472" s="5"/>
      <c r="Q472" s="197">
        <f>Q473</f>
        <v>8316.8</v>
      </c>
      <c r="R472" s="197">
        <f>R473</f>
        <v>7298</v>
      </c>
      <c r="S472" s="197">
        <f>S473</f>
        <v>7298</v>
      </c>
    </row>
    <row r="473" spans="1:19" s="171" customFormat="1" ht="35.25" customHeight="1">
      <c r="A473" s="135"/>
      <c r="B473" s="136"/>
      <c r="C473" s="146"/>
      <c r="D473" s="207"/>
      <c r="E473" s="158"/>
      <c r="F473" s="158"/>
      <c r="G473" s="129"/>
      <c r="H473" s="4" t="s">
        <v>423</v>
      </c>
      <c r="I473" s="5">
        <v>27</v>
      </c>
      <c r="J473" s="6">
        <v>7</v>
      </c>
      <c r="K473" s="15">
        <v>3</v>
      </c>
      <c r="L473" s="91" t="s">
        <v>422</v>
      </c>
      <c r="M473" s="92" t="s">
        <v>347</v>
      </c>
      <c r="N473" s="92" t="s">
        <v>361</v>
      </c>
      <c r="O473" s="92" t="s">
        <v>392</v>
      </c>
      <c r="P473" s="5"/>
      <c r="Q473" s="197">
        <f>Q474+Q476</f>
        <v>8316.8</v>
      </c>
      <c r="R473" s="197">
        <f>R474+R476</f>
        <v>7298</v>
      </c>
      <c r="S473" s="197">
        <f>S474+S476</f>
        <v>7298</v>
      </c>
    </row>
    <row r="474" spans="1:19" s="171" customFormat="1" ht="20.25" customHeight="1">
      <c r="A474" s="135"/>
      <c r="B474" s="136"/>
      <c r="C474" s="146"/>
      <c r="D474" s="207"/>
      <c r="E474" s="158"/>
      <c r="F474" s="158"/>
      <c r="G474" s="129"/>
      <c r="H474" s="227" t="s">
        <v>94</v>
      </c>
      <c r="I474" s="9">
        <v>27</v>
      </c>
      <c r="J474" s="15">
        <v>7</v>
      </c>
      <c r="K474" s="15">
        <v>3</v>
      </c>
      <c r="L474" s="91" t="s">
        <v>422</v>
      </c>
      <c r="M474" s="92" t="s">
        <v>347</v>
      </c>
      <c r="N474" s="92" t="s">
        <v>361</v>
      </c>
      <c r="O474" s="92" t="s">
        <v>30</v>
      </c>
      <c r="P474" s="5"/>
      <c r="Q474" s="197">
        <f>Q475</f>
        <v>6509.2</v>
      </c>
      <c r="R474" s="197">
        <f>R475</f>
        <v>5859.9</v>
      </c>
      <c r="S474" s="197">
        <f>S475</f>
        <v>5859.9</v>
      </c>
    </row>
    <row r="475" spans="1:19" s="171" customFormat="1" ht="20.25" customHeight="1">
      <c r="A475" s="135"/>
      <c r="B475" s="136"/>
      <c r="C475" s="146"/>
      <c r="D475" s="207"/>
      <c r="E475" s="158"/>
      <c r="F475" s="158"/>
      <c r="G475" s="129"/>
      <c r="H475" s="227" t="s">
        <v>456</v>
      </c>
      <c r="I475" s="9">
        <v>27</v>
      </c>
      <c r="J475" s="15">
        <v>7</v>
      </c>
      <c r="K475" s="15">
        <v>3</v>
      </c>
      <c r="L475" s="91" t="s">
        <v>422</v>
      </c>
      <c r="M475" s="92" t="s">
        <v>347</v>
      </c>
      <c r="N475" s="92" t="s">
        <v>361</v>
      </c>
      <c r="O475" s="92" t="s">
        <v>30</v>
      </c>
      <c r="P475" s="5">
        <v>610</v>
      </c>
      <c r="Q475" s="197">
        <f>'Приложение 8'!Q284</f>
        <v>6509.2</v>
      </c>
      <c r="R475" s="197">
        <v>5859.9</v>
      </c>
      <c r="S475" s="197">
        <v>5859.9</v>
      </c>
    </row>
    <row r="476" spans="1:19" ht="31.5" customHeight="1">
      <c r="A476" s="93"/>
      <c r="B476" s="94"/>
      <c r="C476" s="99"/>
      <c r="D476" s="107"/>
      <c r="E476" s="110"/>
      <c r="F476" s="110"/>
      <c r="G476" s="85"/>
      <c r="H476" s="227" t="s">
        <v>595</v>
      </c>
      <c r="I476" s="9">
        <v>27</v>
      </c>
      <c r="J476" s="15">
        <v>7</v>
      </c>
      <c r="K476" s="15">
        <v>3</v>
      </c>
      <c r="L476" s="91" t="s">
        <v>422</v>
      </c>
      <c r="M476" s="92" t="s">
        <v>347</v>
      </c>
      <c r="N476" s="92" t="s">
        <v>361</v>
      </c>
      <c r="O476" s="92" t="s">
        <v>594</v>
      </c>
      <c r="P476" s="9"/>
      <c r="Q476" s="195">
        <f>Q477</f>
        <v>1807.6</v>
      </c>
      <c r="R476" s="195">
        <f>R477</f>
        <v>1438.1</v>
      </c>
      <c r="S476" s="195">
        <f>S477</f>
        <v>1438.1</v>
      </c>
    </row>
    <row r="477" spans="1:19" ht="20.25" customHeight="1">
      <c r="A477" s="93"/>
      <c r="B477" s="94"/>
      <c r="C477" s="99"/>
      <c r="D477" s="107"/>
      <c r="E477" s="110"/>
      <c r="F477" s="110"/>
      <c r="G477" s="85"/>
      <c r="H477" s="227" t="s">
        <v>456</v>
      </c>
      <c r="I477" s="9">
        <v>27</v>
      </c>
      <c r="J477" s="15">
        <v>7</v>
      </c>
      <c r="K477" s="15">
        <v>3</v>
      </c>
      <c r="L477" s="91" t="s">
        <v>422</v>
      </c>
      <c r="M477" s="92" t="s">
        <v>347</v>
      </c>
      <c r="N477" s="92" t="s">
        <v>361</v>
      </c>
      <c r="O477" s="92" t="s">
        <v>594</v>
      </c>
      <c r="P477" s="9">
        <v>610</v>
      </c>
      <c r="Q477" s="195">
        <f>'Приложение 8'!Q286</f>
        <v>1807.6</v>
      </c>
      <c r="R477" s="195">
        <v>1438.1</v>
      </c>
      <c r="S477" s="195">
        <v>1438.1</v>
      </c>
    </row>
    <row r="478" spans="1:19" s="171" customFormat="1" ht="18.75" customHeight="1">
      <c r="A478" s="135"/>
      <c r="B478" s="136"/>
      <c r="C478" s="365">
        <v>704</v>
      </c>
      <c r="D478" s="366"/>
      <c r="E478" s="366"/>
      <c r="F478" s="366"/>
      <c r="G478" s="129">
        <v>622</v>
      </c>
      <c r="H478" s="130" t="s">
        <v>97</v>
      </c>
      <c r="I478" s="139">
        <v>27</v>
      </c>
      <c r="J478" s="132">
        <v>7</v>
      </c>
      <c r="K478" s="132">
        <v>7</v>
      </c>
      <c r="L478" s="133"/>
      <c r="M478" s="134"/>
      <c r="N478" s="134"/>
      <c r="O478" s="134"/>
      <c r="P478" s="131"/>
      <c r="Q478" s="194">
        <f>Q479</f>
        <v>359.3</v>
      </c>
      <c r="R478" s="194">
        <f>R479</f>
        <v>319.3</v>
      </c>
      <c r="S478" s="194">
        <f>S479</f>
        <v>319.3</v>
      </c>
    </row>
    <row r="479" spans="1:19" ht="18.75" customHeight="1">
      <c r="A479" s="95"/>
      <c r="B479" s="94"/>
      <c r="C479" s="93"/>
      <c r="D479" s="90"/>
      <c r="E479" s="90"/>
      <c r="F479" s="90"/>
      <c r="G479" s="85"/>
      <c r="H479" s="4" t="s">
        <v>425</v>
      </c>
      <c r="I479" s="5">
        <v>27</v>
      </c>
      <c r="J479" s="15">
        <v>7</v>
      </c>
      <c r="K479" s="15">
        <v>7</v>
      </c>
      <c r="L479" s="91" t="s">
        <v>424</v>
      </c>
      <c r="M479" s="92" t="s">
        <v>347</v>
      </c>
      <c r="N479" s="92" t="s">
        <v>357</v>
      </c>
      <c r="O479" s="92" t="s">
        <v>392</v>
      </c>
      <c r="P479" s="9"/>
      <c r="Q479" s="195">
        <f>Q480+Q487+Q490</f>
        <v>359.3</v>
      </c>
      <c r="R479" s="195">
        <f>R480+R487+R490</f>
        <v>319.3</v>
      </c>
      <c r="S479" s="195">
        <f>S480+S487+S490</f>
        <v>319.3</v>
      </c>
    </row>
    <row r="480" spans="1:19" ht="38.25" customHeight="1">
      <c r="A480" s="95"/>
      <c r="B480" s="94"/>
      <c r="C480" s="93"/>
      <c r="D480" s="371">
        <v>4270000</v>
      </c>
      <c r="E480" s="371"/>
      <c r="F480" s="371"/>
      <c r="G480" s="85">
        <v>622</v>
      </c>
      <c r="H480" s="17" t="s">
        <v>427</v>
      </c>
      <c r="I480" s="5">
        <v>27</v>
      </c>
      <c r="J480" s="15">
        <v>7</v>
      </c>
      <c r="K480" s="15">
        <v>7</v>
      </c>
      <c r="L480" s="91" t="s">
        <v>424</v>
      </c>
      <c r="M480" s="92" t="s">
        <v>347</v>
      </c>
      <c r="N480" s="92" t="s">
        <v>348</v>
      </c>
      <c r="O480" s="92" t="s">
        <v>392</v>
      </c>
      <c r="P480" s="9"/>
      <c r="Q480" s="195">
        <f>Q481+Q485+Q483</f>
        <v>199.3</v>
      </c>
      <c r="R480" s="195">
        <f>R481+R485</f>
        <v>159.3</v>
      </c>
      <c r="S480" s="195">
        <f>S481+S485</f>
        <v>159.3</v>
      </c>
    </row>
    <row r="481" spans="1:19" ht="28.5" customHeight="1">
      <c r="A481" s="95"/>
      <c r="B481" s="94"/>
      <c r="C481" s="93"/>
      <c r="D481" s="97"/>
      <c r="E481" s="111"/>
      <c r="F481" s="111"/>
      <c r="G481" s="85"/>
      <c r="H481" s="17" t="s">
        <v>22</v>
      </c>
      <c r="I481" s="5">
        <v>27</v>
      </c>
      <c r="J481" s="15">
        <v>7</v>
      </c>
      <c r="K481" s="15">
        <v>7</v>
      </c>
      <c r="L481" s="91" t="s">
        <v>424</v>
      </c>
      <c r="M481" s="92" t="s">
        <v>347</v>
      </c>
      <c r="N481" s="92" t="s">
        <v>348</v>
      </c>
      <c r="O481" s="92" t="s">
        <v>23</v>
      </c>
      <c r="P481" s="5"/>
      <c r="Q481" s="197">
        <f>Q482</f>
        <v>159.3</v>
      </c>
      <c r="R481" s="197">
        <f>R482</f>
        <v>159.3</v>
      </c>
      <c r="S481" s="197">
        <f>S482</f>
        <v>159.3</v>
      </c>
    </row>
    <row r="482" spans="1:19" ht="21.75" customHeight="1">
      <c r="A482" s="95"/>
      <c r="B482" s="94"/>
      <c r="C482" s="93"/>
      <c r="D482" s="97"/>
      <c r="E482" s="111"/>
      <c r="F482" s="111"/>
      <c r="G482" s="85"/>
      <c r="H482" s="227" t="s">
        <v>456</v>
      </c>
      <c r="I482" s="5">
        <v>27</v>
      </c>
      <c r="J482" s="6">
        <v>7</v>
      </c>
      <c r="K482" s="15">
        <v>7</v>
      </c>
      <c r="L482" s="91" t="s">
        <v>424</v>
      </c>
      <c r="M482" s="92" t="s">
        <v>347</v>
      </c>
      <c r="N482" s="92" t="s">
        <v>348</v>
      </c>
      <c r="O482" s="92" t="s">
        <v>23</v>
      </c>
      <c r="P482" s="5">
        <v>610</v>
      </c>
      <c r="Q482" s="197">
        <f>'Приложение 8'!Q291</f>
        <v>159.3</v>
      </c>
      <c r="R482" s="197">
        <f>'Приложение 8'!R291</f>
        <v>159.3</v>
      </c>
      <c r="S482" s="197">
        <f>'Приложение 8'!S291</f>
        <v>159.3</v>
      </c>
    </row>
    <row r="483" spans="1:19" ht="21.75" customHeight="1" hidden="1">
      <c r="A483" s="95"/>
      <c r="B483" s="94"/>
      <c r="C483" s="93"/>
      <c r="D483" s="97"/>
      <c r="E483" s="111"/>
      <c r="F483" s="111"/>
      <c r="G483" s="85"/>
      <c r="H483" s="227" t="s">
        <v>775</v>
      </c>
      <c r="I483" s="5">
        <v>27</v>
      </c>
      <c r="J483" s="6">
        <v>7</v>
      </c>
      <c r="K483" s="15">
        <v>7</v>
      </c>
      <c r="L483" s="91" t="s">
        <v>424</v>
      </c>
      <c r="M483" s="92" t="s">
        <v>347</v>
      </c>
      <c r="N483" s="92" t="s">
        <v>348</v>
      </c>
      <c r="O483" s="92" t="s">
        <v>774</v>
      </c>
      <c r="P483" s="5"/>
      <c r="Q483" s="197">
        <f>Q484</f>
        <v>0</v>
      </c>
      <c r="R483" s="197">
        <f>R484</f>
        <v>0</v>
      </c>
      <c r="S483" s="197">
        <f>S484</f>
        <v>0</v>
      </c>
    </row>
    <row r="484" spans="1:19" ht="21.75" customHeight="1" hidden="1">
      <c r="A484" s="95"/>
      <c r="B484" s="94"/>
      <c r="C484" s="93"/>
      <c r="D484" s="97"/>
      <c r="E484" s="111"/>
      <c r="F484" s="111"/>
      <c r="G484" s="85"/>
      <c r="H484" s="112" t="s">
        <v>454</v>
      </c>
      <c r="I484" s="5">
        <v>27</v>
      </c>
      <c r="J484" s="6">
        <v>7</v>
      </c>
      <c r="K484" s="15">
        <v>7</v>
      </c>
      <c r="L484" s="91" t="s">
        <v>424</v>
      </c>
      <c r="M484" s="92" t="s">
        <v>347</v>
      </c>
      <c r="N484" s="92" t="s">
        <v>348</v>
      </c>
      <c r="O484" s="92" t="s">
        <v>774</v>
      </c>
      <c r="P484" s="5">
        <v>240</v>
      </c>
      <c r="Q484" s="197">
        <v>0</v>
      </c>
      <c r="R484" s="197">
        <v>0</v>
      </c>
      <c r="S484" s="197">
        <v>0</v>
      </c>
    </row>
    <row r="485" spans="1:19" ht="36.75" customHeight="1">
      <c r="A485" s="95"/>
      <c r="B485" s="94"/>
      <c r="C485" s="93"/>
      <c r="D485" s="97"/>
      <c r="E485" s="111"/>
      <c r="F485" s="111"/>
      <c r="G485" s="85"/>
      <c r="H485" s="4" t="s">
        <v>426</v>
      </c>
      <c r="I485" s="5">
        <v>27</v>
      </c>
      <c r="J485" s="6">
        <v>7</v>
      </c>
      <c r="K485" s="15">
        <v>7</v>
      </c>
      <c r="L485" s="91" t="s">
        <v>424</v>
      </c>
      <c r="M485" s="92" t="s">
        <v>347</v>
      </c>
      <c r="N485" s="92" t="s">
        <v>348</v>
      </c>
      <c r="O485" s="92" t="s">
        <v>3</v>
      </c>
      <c r="P485" s="5"/>
      <c r="Q485" s="197">
        <f>Q486</f>
        <v>40</v>
      </c>
      <c r="R485" s="197">
        <f>R486</f>
        <v>0</v>
      </c>
      <c r="S485" s="197">
        <f>S486</f>
        <v>0</v>
      </c>
    </row>
    <row r="486" spans="1:19" ht="27" customHeight="1">
      <c r="A486" s="95"/>
      <c r="B486" s="94"/>
      <c r="C486" s="99"/>
      <c r="D486" s="97"/>
      <c r="E486" s="109"/>
      <c r="F486" s="109"/>
      <c r="G486" s="101"/>
      <c r="H486" s="227" t="s">
        <v>456</v>
      </c>
      <c r="I486" s="5">
        <v>27</v>
      </c>
      <c r="J486" s="6">
        <v>7</v>
      </c>
      <c r="K486" s="15">
        <v>7</v>
      </c>
      <c r="L486" s="91" t="s">
        <v>424</v>
      </c>
      <c r="M486" s="92" t="s">
        <v>347</v>
      </c>
      <c r="N486" s="92" t="s">
        <v>348</v>
      </c>
      <c r="O486" s="92" t="s">
        <v>3</v>
      </c>
      <c r="P486" s="5">
        <v>610</v>
      </c>
      <c r="Q486" s="197">
        <v>40</v>
      </c>
      <c r="R486" s="197">
        <v>0</v>
      </c>
      <c r="S486" s="197">
        <v>0</v>
      </c>
    </row>
    <row r="487" spans="1:19" ht="33.75" customHeight="1">
      <c r="A487" s="95"/>
      <c r="B487" s="94"/>
      <c r="C487" s="99"/>
      <c r="D487" s="97"/>
      <c r="E487" s="109"/>
      <c r="F487" s="109"/>
      <c r="G487" s="101"/>
      <c r="H487" s="123" t="s">
        <v>428</v>
      </c>
      <c r="I487" s="5">
        <v>27</v>
      </c>
      <c r="J487" s="6">
        <v>7</v>
      </c>
      <c r="K487" s="15">
        <v>7</v>
      </c>
      <c r="L487" s="91" t="s">
        <v>424</v>
      </c>
      <c r="M487" s="92" t="s">
        <v>347</v>
      </c>
      <c r="N487" s="92" t="s">
        <v>365</v>
      </c>
      <c r="O487" s="92" t="s">
        <v>392</v>
      </c>
      <c r="P487" s="5"/>
      <c r="Q487" s="197">
        <f aca="true" t="shared" si="48" ref="Q487:S488">Q488</f>
        <v>60</v>
      </c>
      <c r="R487" s="197">
        <f t="shared" si="48"/>
        <v>60</v>
      </c>
      <c r="S487" s="197">
        <f t="shared" si="48"/>
        <v>60</v>
      </c>
    </row>
    <row r="488" spans="1:19" ht="27" customHeight="1">
      <c r="A488" s="95"/>
      <c r="B488" s="94"/>
      <c r="C488" s="99"/>
      <c r="D488" s="97"/>
      <c r="E488" s="109"/>
      <c r="F488" s="109"/>
      <c r="G488" s="101"/>
      <c r="H488" s="123" t="s">
        <v>22</v>
      </c>
      <c r="I488" s="5">
        <v>27</v>
      </c>
      <c r="J488" s="6">
        <v>7</v>
      </c>
      <c r="K488" s="15">
        <v>7</v>
      </c>
      <c r="L488" s="91" t="s">
        <v>424</v>
      </c>
      <c r="M488" s="92" t="s">
        <v>347</v>
      </c>
      <c r="N488" s="92" t="s">
        <v>365</v>
      </c>
      <c r="O488" s="92" t="s">
        <v>23</v>
      </c>
      <c r="P488" s="5"/>
      <c r="Q488" s="197">
        <f t="shared" si="48"/>
        <v>60</v>
      </c>
      <c r="R488" s="197">
        <f t="shared" si="48"/>
        <v>60</v>
      </c>
      <c r="S488" s="197">
        <f t="shared" si="48"/>
        <v>60</v>
      </c>
    </row>
    <row r="489" spans="1:19" ht="27" customHeight="1">
      <c r="A489" s="95"/>
      <c r="B489" s="94"/>
      <c r="C489" s="99"/>
      <c r="D489" s="97"/>
      <c r="E489" s="109"/>
      <c r="F489" s="109"/>
      <c r="G489" s="101"/>
      <c r="H489" s="227" t="s">
        <v>456</v>
      </c>
      <c r="I489" s="5">
        <v>27</v>
      </c>
      <c r="J489" s="6">
        <v>7</v>
      </c>
      <c r="K489" s="15">
        <v>7</v>
      </c>
      <c r="L489" s="91" t="s">
        <v>424</v>
      </c>
      <c r="M489" s="92" t="s">
        <v>347</v>
      </c>
      <c r="N489" s="92" t="s">
        <v>365</v>
      </c>
      <c r="O489" s="92" t="s">
        <v>23</v>
      </c>
      <c r="P489" s="5">
        <v>610</v>
      </c>
      <c r="Q489" s="197">
        <f>'Приложение 8'!Q298</f>
        <v>60</v>
      </c>
      <c r="R489" s="197">
        <f>'Приложение 8'!R298</f>
        <v>60</v>
      </c>
      <c r="S489" s="197">
        <f>'Приложение 8'!S298</f>
        <v>60</v>
      </c>
    </row>
    <row r="490" spans="1:19" ht="33" customHeight="1">
      <c r="A490" s="95"/>
      <c r="B490" s="94"/>
      <c r="C490" s="99"/>
      <c r="D490" s="97"/>
      <c r="E490" s="109"/>
      <c r="F490" s="109"/>
      <c r="G490" s="101"/>
      <c r="H490" s="123" t="s">
        <v>429</v>
      </c>
      <c r="I490" s="5">
        <v>27</v>
      </c>
      <c r="J490" s="6">
        <v>7</v>
      </c>
      <c r="K490" s="15">
        <v>7</v>
      </c>
      <c r="L490" s="91" t="s">
        <v>424</v>
      </c>
      <c r="M490" s="92" t="s">
        <v>347</v>
      </c>
      <c r="N490" s="92" t="s">
        <v>366</v>
      </c>
      <c r="O490" s="92" t="s">
        <v>392</v>
      </c>
      <c r="P490" s="5"/>
      <c r="Q490" s="197">
        <f aca="true" t="shared" si="49" ref="Q490:S491">Q491</f>
        <v>100</v>
      </c>
      <c r="R490" s="197">
        <f t="shared" si="49"/>
        <v>100</v>
      </c>
      <c r="S490" s="197">
        <f t="shared" si="49"/>
        <v>100</v>
      </c>
    </row>
    <row r="491" spans="1:19" ht="27" customHeight="1">
      <c r="A491" s="95"/>
      <c r="B491" s="94"/>
      <c r="C491" s="99"/>
      <c r="D491" s="97"/>
      <c r="E491" s="109"/>
      <c r="F491" s="109"/>
      <c r="G491" s="101"/>
      <c r="H491" s="123" t="s">
        <v>22</v>
      </c>
      <c r="I491" s="5">
        <v>27</v>
      </c>
      <c r="J491" s="6">
        <v>7</v>
      </c>
      <c r="K491" s="15">
        <v>7</v>
      </c>
      <c r="L491" s="91" t="s">
        <v>424</v>
      </c>
      <c r="M491" s="92" t="s">
        <v>347</v>
      </c>
      <c r="N491" s="92" t="s">
        <v>366</v>
      </c>
      <c r="O491" s="92" t="s">
        <v>23</v>
      </c>
      <c r="P491" s="5"/>
      <c r="Q491" s="197">
        <f t="shared" si="49"/>
        <v>100</v>
      </c>
      <c r="R491" s="197">
        <f t="shared" si="49"/>
        <v>100</v>
      </c>
      <c r="S491" s="197">
        <f t="shared" si="49"/>
        <v>100</v>
      </c>
    </row>
    <row r="492" spans="1:19" ht="27" customHeight="1">
      <c r="A492" s="95"/>
      <c r="B492" s="94"/>
      <c r="C492" s="99"/>
      <c r="D492" s="97"/>
      <c r="E492" s="109"/>
      <c r="F492" s="109"/>
      <c r="G492" s="101"/>
      <c r="H492" s="227" t="s">
        <v>456</v>
      </c>
      <c r="I492" s="5">
        <v>27</v>
      </c>
      <c r="J492" s="6">
        <v>7</v>
      </c>
      <c r="K492" s="15">
        <v>7</v>
      </c>
      <c r="L492" s="91" t="s">
        <v>424</v>
      </c>
      <c r="M492" s="92" t="s">
        <v>347</v>
      </c>
      <c r="N492" s="92" t="s">
        <v>366</v>
      </c>
      <c r="O492" s="92" t="s">
        <v>23</v>
      </c>
      <c r="P492" s="5">
        <v>610</v>
      </c>
      <c r="Q492" s="197">
        <f>'Приложение 8'!Q301</f>
        <v>100</v>
      </c>
      <c r="R492" s="197">
        <f>'Приложение 8'!R301</f>
        <v>100</v>
      </c>
      <c r="S492" s="197">
        <f>'Приложение 8'!S301</f>
        <v>100</v>
      </c>
    </row>
    <row r="493" spans="1:19" s="171" customFormat="1" ht="24.75" customHeight="1">
      <c r="A493" s="135"/>
      <c r="B493" s="136"/>
      <c r="C493" s="146"/>
      <c r="D493" s="143"/>
      <c r="E493" s="147"/>
      <c r="F493" s="147"/>
      <c r="G493" s="129"/>
      <c r="H493" s="142" t="s">
        <v>329</v>
      </c>
      <c r="I493" s="145">
        <v>663</v>
      </c>
      <c r="J493" s="149">
        <v>7</v>
      </c>
      <c r="K493" s="132">
        <v>9</v>
      </c>
      <c r="L493" s="133"/>
      <c r="M493" s="134"/>
      <c r="N493" s="134"/>
      <c r="O493" s="134"/>
      <c r="P493" s="139"/>
      <c r="Q493" s="198">
        <f>Q508+Q551+Q494</f>
        <v>16045.399999999998</v>
      </c>
      <c r="R493" s="198">
        <f>R508+R551+R494</f>
        <v>17603.2</v>
      </c>
      <c r="S493" s="198">
        <f>S508+S551+S494</f>
        <v>17603.4</v>
      </c>
    </row>
    <row r="494" spans="1:19" ht="37.5" customHeight="1">
      <c r="A494" s="93"/>
      <c r="B494" s="94"/>
      <c r="C494" s="99"/>
      <c r="D494" s="97"/>
      <c r="E494" s="100"/>
      <c r="F494" s="100"/>
      <c r="G494" s="85"/>
      <c r="H494" s="4" t="s">
        <v>865</v>
      </c>
      <c r="I494" s="5">
        <v>663</v>
      </c>
      <c r="J494" s="6">
        <v>7</v>
      </c>
      <c r="K494" s="15">
        <v>9</v>
      </c>
      <c r="L494" s="91" t="s">
        <v>442</v>
      </c>
      <c r="M494" s="92" t="s">
        <v>347</v>
      </c>
      <c r="N494" s="92" t="s">
        <v>357</v>
      </c>
      <c r="O494" s="92" t="s">
        <v>392</v>
      </c>
      <c r="P494" s="9"/>
      <c r="Q494" s="195">
        <f>Q495+Q501+Q505+Q498</f>
        <v>173.8</v>
      </c>
      <c r="R494" s="195">
        <f>R495+R501+R505</f>
        <v>151</v>
      </c>
      <c r="S494" s="195">
        <f>S495+S501+S505</f>
        <v>151</v>
      </c>
    </row>
    <row r="495" spans="1:19" ht="39" customHeight="1">
      <c r="A495" s="93"/>
      <c r="B495" s="94"/>
      <c r="C495" s="99"/>
      <c r="D495" s="97"/>
      <c r="E495" s="100"/>
      <c r="F495" s="100"/>
      <c r="G495" s="85"/>
      <c r="H495" s="281" t="s">
        <v>228</v>
      </c>
      <c r="I495" s="5">
        <v>663</v>
      </c>
      <c r="J495" s="6">
        <v>7</v>
      </c>
      <c r="K495" s="15">
        <v>9</v>
      </c>
      <c r="L495" s="91" t="s">
        <v>442</v>
      </c>
      <c r="M495" s="92" t="s">
        <v>347</v>
      </c>
      <c r="N495" s="92" t="s">
        <v>348</v>
      </c>
      <c r="O495" s="92" t="s">
        <v>392</v>
      </c>
      <c r="P495" s="9"/>
      <c r="Q495" s="195">
        <f aca="true" t="shared" si="50" ref="Q495:S496">Q496</f>
        <v>0</v>
      </c>
      <c r="R495" s="195">
        <f t="shared" si="50"/>
        <v>10</v>
      </c>
      <c r="S495" s="195">
        <f t="shared" si="50"/>
        <v>10</v>
      </c>
    </row>
    <row r="496" spans="1:19" ht="24.75" customHeight="1">
      <c r="A496" s="93"/>
      <c r="B496" s="94"/>
      <c r="C496" s="99"/>
      <c r="D496" s="97"/>
      <c r="E496" s="100"/>
      <c r="F496" s="100"/>
      <c r="G496" s="85"/>
      <c r="H496" s="228" t="s">
        <v>100</v>
      </c>
      <c r="I496" s="5">
        <v>663</v>
      </c>
      <c r="J496" s="6">
        <v>7</v>
      </c>
      <c r="K496" s="15">
        <v>9</v>
      </c>
      <c r="L496" s="91" t="s">
        <v>442</v>
      </c>
      <c r="M496" s="92" t="s">
        <v>347</v>
      </c>
      <c r="N496" s="92" t="s">
        <v>348</v>
      </c>
      <c r="O496" s="92" t="s">
        <v>398</v>
      </c>
      <c r="P496" s="9"/>
      <c r="Q496" s="195">
        <f t="shared" si="50"/>
        <v>0</v>
      </c>
      <c r="R496" s="195">
        <f t="shared" si="50"/>
        <v>10</v>
      </c>
      <c r="S496" s="195">
        <f t="shared" si="50"/>
        <v>10</v>
      </c>
    </row>
    <row r="497" spans="1:19" ht="24.75" customHeight="1">
      <c r="A497" s="93"/>
      <c r="B497" s="94"/>
      <c r="C497" s="99"/>
      <c r="D497" s="97"/>
      <c r="E497" s="100"/>
      <c r="F497" s="100"/>
      <c r="G497" s="85"/>
      <c r="H497" s="228" t="s">
        <v>454</v>
      </c>
      <c r="I497" s="5">
        <v>663</v>
      </c>
      <c r="J497" s="6">
        <v>7</v>
      </c>
      <c r="K497" s="15">
        <v>9</v>
      </c>
      <c r="L497" s="91" t="s">
        <v>442</v>
      </c>
      <c r="M497" s="92" t="s">
        <v>347</v>
      </c>
      <c r="N497" s="92" t="s">
        <v>348</v>
      </c>
      <c r="O497" s="92" t="s">
        <v>398</v>
      </c>
      <c r="P497" s="9">
        <v>240</v>
      </c>
      <c r="Q497" s="195">
        <f>'Приложение 8'!Q612</f>
        <v>0</v>
      </c>
      <c r="R497" s="197">
        <v>10</v>
      </c>
      <c r="S497" s="197">
        <v>10</v>
      </c>
    </row>
    <row r="498" spans="1:19" ht="24.75" customHeight="1">
      <c r="A498" s="93"/>
      <c r="B498" s="94"/>
      <c r="C498" s="99"/>
      <c r="D498" s="97"/>
      <c r="E498" s="100"/>
      <c r="F498" s="100"/>
      <c r="G498" s="85"/>
      <c r="H498" s="228" t="str">
        <f>'Приложение 8'!H613</f>
        <v> Основное мероприятие «Обеспечение благоприятных и безопасных условий для отдыха и оздоровления детей»</v>
      </c>
      <c r="I498" s="5">
        <f>'Приложение 8'!I613</f>
        <v>663</v>
      </c>
      <c r="J498" s="6">
        <f>'Приложение 8'!J613</f>
        <v>7</v>
      </c>
      <c r="K498" s="15">
        <f>'Приложение 8'!K613</f>
        <v>9</v>
      </c>
      <c r="L498" s="91" t="str">
        <f>'Приложение 8'!L613</f>
        <v>27</v>
      </c>
      <c r="M498" s="92" t="str">
        <f>'Приложение 8'!M613</f>
        <v>0</v>
      </c>
      <c r="N498" s="92" t="str">
        <f>'Приложение 8'!N613</f>
        <v>03</v>
      </c>
      <c r="O498" s="92" t="str">
        <f>'Приложение 8'!O613</f>
        <v>00000</v>
      </c>
      <c r="P498" s="9" t="s">
        <v>393</v>
      </c>
      <c r="Q498" s="195">
        <f>'Приложение 8'!Q613</f>
        <v>9.8</v>
      </c>
      <c r="R498" s="197">
        <f>'Приложение 8'!R613</f>
        <v>0</v>
      </c>
      <c r="S498" s="197">
        <f>'Приложение 8'!S613</f>
        <v>0</v>
      </c>
    </row>
    <row r="499" spans="1:19" ht="24.75" customHeight="1">
      <c r="A499" s="93"/>
      <c r="B499" s="94"/>
      <c r="C499" s="99"/>
      <c r="D499" s="97"/>
      <c r="E499" s="100"/>
      <c r="F499" s="100"/>
      <c r="G499" s="85"/>
      <c r="H499" s="228" t="str">
        <f>'Приложение 8'!H614</f>
        <v>Расходы на обеспечение функций муниципальных органов</v>
      </c>
      <c r="I499" s="5">
        <f>'Приложение 8'!I614</f>
        <v>663</v>
      </c>
      <c r="J499" s="6">
        <f>'Приложение 8'!J614</f>
        <v>7</v>
      </c>
      <c r="K499" s="15">
        <f>'Приложение 8'!K614</f>
        <v>9</v>
      </c>
      <c r="L499" s="91" t="str">
        <f>'Приложение 8'!L614</f>
        <v>27</v>
      </c>
      <c r="M499" s="92" t="str">
        <f>'Приложение 8'!M614</f>
        <v>0</v>
      </c>
      <c r="N499" s="92" t="str">
        <f>'Приложение 8'!N614</f>
        <v>03</v>
      </c>
      <c r="O499" s="92" t="str">
        <f>'Приложение 8'!O614</f>
        <v>00190</v>
      </c>
      <c r="P499" s="9" t="s">
        <v>393</v>
      </c>
      <c r="Q499" s="195">
        <f>'Приложение 8'!Q614</f>
        <v>9.8</v>
      </c>
      <c r="R499" s="197">
        <f>'Приложение 8'!R614</f>
        <v>0</v>
      </c>
      <c r="S499" s="197">
        <f>'Приложение 8'!S614</f>
        <v>0</v>
      </c>
    </row>
    <row r="500" spans="1:19" ht="24.75" customHeight="1">
      <c r="A500" s="93"/>
      <c r="B500" s="94"/>
      <c r="C500" s="99"/>
      <c r="D500" s="97"/>
      <c r="E500" s="100"/>
      <c r="F500" s="100"/>
      <c r="G500" s="85"/>
      <c r="H500" s="228" t="str">
        <f>'Приложение 8'!H615</f>
        <v>Иные закупки товаров, работ и услуг для обеспечения государственных (муниципальных) нужд</v>
      </c>
      <c r="I500" s="5">
        <f>'Приложение 8'!I615</f>
        <v>663</v>
      </c>
      <c r="J500" s="6">
        <f>'Приложение 8'!J615</f>
        <v>7</v>
      </c>
      <c r="K500" s="15">
        <f>'Приложение 8'!K615</f>
        <v>9</v>
      </c>
      <c r="L500" s="91" t="str">
        <f>'Приложение 8'!L615</f>
        <v>27</v>
      </c>
      <c r="M500" s="92" t="str">
        <f>'Приложение 8'!M615</f>
        <v>0</v>
      </c>
      <c r="N500" s="92" t="str">
        <f>'Приложение 8'!N615</f>
        <v>03</v>
      </c>
      <c r="O500" s="92" t="str">
        <f>'Приложение 8'!O615</f>
        <v>00190</v>
      </c>
      <c r="P500" s="9">
        <f>'Приложение 8'!P615</f>
        <v>240</v>
      </c>
      <c r="Q500" s="195">
        <f>'Приложение 8'!Q615</f>
        <v>9.8</v>
      </c>
      <c r="R500" s="197">
        <f>'Приложение 8'!R615</f>
        <v>0</v>
      </c>
      <c r="S500" s="197">
        <f>'Приложение 8'!S615</f>
        <v>0</v>
      </c>
    </row>
    <row r="501" spans="1:19" ht="34.5" customHeight="1">
      <c r="A501" s="93"/>
      <c r="B501" s="94"/>
      <c r="C501" s="99"/>
      <c r="D501" s="97"/>
      <c r="E501" s="100"/>
      <c r="F501" s="100"/>
      <c r="G501" s="85"/>
      <c r="H501" s="4" t="s">
        <v>440</v>
      </c>
      <c r="I501" s="5">
        <v>663</v>
      </c>
      <c r="J501" s="6">
        <v>7</v>
      </c>
      <c r="K501" s="15">
        <v>9</v>
      </c>
      <c r="L501" s="91" t="s">
        <v>442</v>
      </c>
      <c r="M501" s="92" t="s">
        <v>347</v>
      </c>
      <c r="N501" s="92" t="s">
        <v>361</v>
      </c>
      <c r="O501" s="92" t="s">
        <v>392</v>
      </c>
      <c r="P501" s="9"/>
      <c r="Q501" s="195">
        <f>Q502</f>
        <v>64.69999999999999</v>
      </c>
      <c r="R501" s="195">
        <f>R502</f>
        <v>66</v>
      </c>
      <c r="S501" s="195">
        <f>S502</f>
        <v>66</v>
      </c>
    </row>
    <row r="502" spans="1:19" ht="24.75" customHeight="1">
      <c r="A502" s="93"/>
      <c r="B502" s="94"/>
      <c r="C502" s="99"/>
      <c r="D502" s="97"/>
      <c r="E502" s="100"/>
      <c r="F502" s="100"/>
      <c r="G502" s="85"/>
      <c r="H502" s="228" t="s">
        <v>100</v>
      </c>
      <c r="I502" s="5">
        <v>663</v>
      </c>
      <c r="J502" s="6">
        <v>7</v>
      </c>
      <c r="K502" s="15">
        <v>9</v>
      </c>
      <c r="L502" s="91" t="s">
        <v>442</v>
      </c>
      <c r="M502" s="92" t="s">
        <v>347</v>
      </c>
      <c r="N502" s="92" t="s">
        <v>361</v>
      </c>
      <c r="O502" s="92" t="s">
        <v>398</v>
      </c>
      <c r="P502" s="9"/>
      <c r="Q502" s="195">
        <f>Q503+Q504</f>
        <v>64.69999999999999</v>
      </c>
      <c r="R502" s="195">
        <f>R503+R504</f>
        <v>66</v>
      </c>
      <c r="S502" s="195">
        <f>S503+S504</f>
        <v>66</v>
      </c>
    </row>
    <row r="503" spans="1:19" ht="24.75" customHeight="1">
      <c r="A503" s="93"/>
      <c r="B503" s="94"/>
      <c r="C503" s="99"/>
      <c r="D503" s="97"/>
      <c r="E503" s="100"/>
      <c r="F503" s="100"/>
      <c r="G503" s="85"/>
      <c r="H503" s="228" t="s">
        <v>454</v>
      </c>
      <c r="I503" s="5">
        <v>663</v>
      </c>
      <c r="J503" s="6">
        <v>7</v>
      </c>
      <c r="K503" s="15">
        <v>9</v>
      </c>
      <c r="L503" s="91" t="s">
        <v>442</v>
      </c>
      <c r="M503" s="92" t="s">
        <v>347</v>
      </c>
      <c r="N503" s="92" t="s">
        <v>361</v>
      </c>
      <c r="O503" s="92" t="s">
        <v>398</v>
      </c>
      <c r="P503" s="9">
        <v>240</v>
      </c>
      <c r="Q503" s="195">
        <f>'Приложение 8'!Q618</f>
        <v>64.69999999999999</v>
      </c>
      <c r="R503" s="195">
        <f>'Приложение 8'!R618</f>
        <v>66</v>
      </c>
      <c r="S503" s="195">
        <f>'Приложение 8'!S618</f>
        <v>66</v>
      </c>
    </row>
    <row r="504" spans="1:19" ht="24.75" customHeight="1" hidden="1">
      <c r="A504" s="93"/>
      <c r="B504" s="94"/>
      <c r="C504" s="99"/>
      <c r="D504" s="97"/>
      <c r="E504" s="100"/>
      <c r="F504" s="100"/>
      <c r="G504" s="85"/>
      <c r="H504" s="21" t="s">
        <v>459</v>
      </c>
      <c r="I504" s="5">
        <v>663</v>
      </c>
      <c r="J504" s="6">
        <v>7</v>
      </c>
      <c r="K504" s="15">
        <v>9</v>
      </c>
      <c r="L504" s="91" t="s">
        <v>442</v>
      </c>
      <c r="M504" s="92" t="s">
        <v>347</v>
      </c>
      <c r="N504" s="92" t="s">
        <v>361</v>
      </c>
      <c r="O504" s="92" t="s">
        <v>398</v>
      </c>
      <c r="P504" s="9">
        <v>320</v>
      </c>
      <c r="Q504" s="195">
        <f>'Приложение 8'!Q619</f>
        <v>0</v>
      </c>
      <c r="R504" s="195">
        <f>'Приложение 8'!R619</f>
        <v>0</v>
      </c>
      <c r="S504" s="195">
        <f>'Приложение 8'!S619</f>
        <v>0</v>
      </c>
    </row>
    <row r="505" spans="1:19" ht="37.5" customHeight="1">
      <c r="A505" s="93"/>
      <c r="B505" s="94"/>
      <c r="C505" s="99"/>
      <c r="D505" s="97"/>
      <c r="E505" s="100"/>
      <c r="F505" s="100"/>
      <c r="G505" s="85"/>
      <c r="H505" s="113" t="s">
        <v>13</v>
      </c>
      <c r="I505" s="5">
        <v>663</v>
      </c>
      <c r="J505" s="6">
        <v>7</v>
      </c>
      <c r="K505" s="15">
        <v>9</v>
      </c>
      <c r="L505" s="91" t="s">
        <v>442</v>
      </c>
      <c r="M505" s="92" t="s">
        <v>347</v>
      </c>
      <c r="N505" s="92" t="s">
        <v>350</v>
      </c>
      <c r="O505" s="92" t="s">
        <v>392</v>
      </c>
      <c r="P505" s="9"/>
      <c r="Q505" s="195">
        <f aca="true" t="shared" si="51" ref="Q505:S506">Q506</f>
        <v>99.30000000000001</v>
      </c>
      <c r="R505" s="195">
        <f t="shared" si="51"/>
        <v>75</v>
      </c>
      <c r="S505" s="195">
        <f t="shared" si="51"/>
        <v>75</v>
      </c>
    </row>
    <row r="506" spans="1:19" ht="24.75" customHeight="1">
      <c r="A506" s="93"/>
      <c r="B506" s="94"/>
      <c r="C506" s="99"/>
      <c r="D506" s="97"/>
      <c r="E506" s="100"/>
      <c r="F506" s="100"/>
      <c r="G506" s="85"/>
      <c r="H506" s="228" t="s">
        <v>100</v>
      </c>
      <c r="I506" s="5">
        <v>663</v>
      </c>
      <c r="J506" s="6">
        <v>7</v>
      </c>
      <c r="K506" s="15">
        <v>9</v>
      </c>
      <c r="L506" s="91" t="s">
        <v>442</v>
      </c>
      <c r="M506" s="92" t="s">
        <v>347</v>
      </c>
      <c r="N506" s="92" t="s">
        <v>350</v>
      </c>
      <c r="O506" s="92" t="s">
        <v>398</v>
      </c>
      <c r="P506" s="9"/>
      <c r="Q506" s="195">
        <f t="shared" si="51"/>
        <v>99.30000000000001</v>
      </c>
      <c r="R506" s="195">
        <f t="shared" si="51"/>
        <v>75</v>
      </c>
      <c r="S506" s="195">
        <f t="shared" si="51"/>
        <v>75</v>
      </c>
    </row>
    <row r="507" spans="1:19" ht="24.75" customHeight="1">
      <c r="A507" s="93"/>
      <c r="B507" s="94"/>
      <c r="C507" s="99"/>
      <c r="D507" s="97"/>
      <c r="E507" s="100"/>
      <c r="F507" s="100"/>
      <c r="G507" s="85"/>
      <c r="H507" s="228" t="s">
        <v>454</v>
      </c>
      <c r="I507" s="5">
        <v>663</v>
      </c>
      <c r="J507" s="6">
        <v>7</v>
      </c>
      <c r="K507" s="15">
        <v>9</v>
      </c>
      <c r="L507" s="91" t="s">
        <v>442</v>
      </c>
      <c r="M507" s="92" t="s">
        <v>347</v>
      </c>
      <c r="N507" s="92" t="s">
        <v>350</v>
      </c>
      <c r="O507" s="92" t="s">
        <v>398</v>
      </c>
      <c r="P507" s="9">
        <v>240</v>
      </c>
      <c r="Q507" s="195">
        <f>'Приложение 8'!Q622</f>
        <v>99.30000000000001</v>
      </c>
      <c r="R507" s="197">
        <v>75</v>
      </c>
      <c r="S507" s="197">
        <v>75</v>
      </c>
    </row>
    <row r="508" spans="1:19" ht="30.75" customHeight="1">
      <c r="A508" s="95"/>
      <c r="B508" s="94"/>
      <c r="C508" s="99"/>
      <c r="D508" s="97"/>
      <c r="E508" s="100"/>
      <c r="F508" s="100"/>
      <c r="G508" s="85"/>
      <c r="H508" s="223" t="s">
        <v>649</v>
      </c>
      <c r="I508" s="9">
        <v>663</v>
      </c>
      <c r="J508" s="15">
        <v>7</v>
      </c>
      <c r="K508" s="15">
        <v>9</v>
      </c>
      <c r="L508" s="15">
        <v>30</v>
      </c>
      <c r="M508" s="92" t="s">
        <v>347</v>
      </c>
      <c r="N508" s="92" t="s">
        <v>357</v>
      </c>
      <c r="O508" s="92" t="s">
        <v>392</v>
      </c>
      <c r="P508" s="9"/>
      <c r="Q508" s="195">
        <f>Q509+Q514+Q523+Q529+Q537+Q534</f>
        <v>15801.599999999999</v>
      </c>
      <c r="R508" s="195">
        <f>R509+R514+R523+R529+R537</f>
        <v>17382.2</v>
      </c>
      <c r="S508" s="195">
        <f>S509+S514+S523+S529+S537</f>
        <v>17382.4</v>
      </c>
    </row>
    <row r="509" spans="1:19" ht="32.25" customHeight="1">
      <c r="A509" s="95"/>
      <c r="B509" s="94"/>
      <c r="C509" s="99"/>
      <c r="D509" s="97"/>
      <c r="E509" s="100"/>
      <c r="F509" s="100"/>
      <c r="G509" s="85"/>
      <c r="H509" s="224" t="s">
        <v>406</v>
      </c>
      <c r="I509" s="9">
        <v>663</v>
      </c>
      <c r="J509" s="15">
        <v>7</v>
      </c>
      <c r="K509" s="15">
        <v>9</v>
      </c>
      <c r="L509" s="15">
        <v>30</v>
      </c>
      <c r="M509" s="92" t="s">
        <v>347</v>
      </c>
      <c r="N509" s="92" t="s">
        <v>348</v>
      </c>
      <c r="O509" s="92" t="s">
        <v>392</v>
      </c>
      <c r="P509" s="9" t="s">
        <v>393</v>
      </c>
      <c r="Q509" s="195">
        <f>Q510+Q512</f>
        <v>234.8</v>
      </c>
      <c r="R509" s="195">
        <f>R510+R512</f>
        <v>213.2</v>
      </c>
      <c r="S509" s="195">
        <f>S510+S512</f>
        <v>213.2</v>
      </c>
    </row>
    <row r="510" spans="1:19" ht="32.25" customHeight="1">
      <c r="A510" s="95"/>
      <c r="B510" s="94"/>
      <c r="C510" s="99"/>
      <c r="D510" s="97"/>
      <c r="E510" s="100"/>
      <c r="F510" s="100"/>
      <c r="G510" s="85"/>
      <c r="H510" s="228" t="s">
        <v>100</v>
      </c>
      <c r="I510" s="9">
        <v>663</v>
      </c>
      <c r="J510" s="15">
        <v>7</v>
      </c>
      <c r="K510" s="15">
        <v>9</v>
      </c>
      <c r="L510" s="15">
        <v>30</v>
      </c>
      <c r="M510" s="92" t="s">
        <v>347</v>
      </c>
      <c r="N510" s="92" t="s">
        <v>348</v>
      </c>
      <c r="O510" s="92" t="s">
        <v>398</v>
      </c>
      <c r="P510" s="9"/>
      <c r="Q510" s="195">
        <f>Q511</f>
        <v>10</v>
      </c>
      <c r="R510" s="195">
        <f>R511</f>
        <v>10</v>
      </c>
      <c r="S510" s="195">
        <f>S511</f>
        <v>10</v>
      </c>
    </row>
    <row r="511" spans="1:19" ht="32.25" customHeight="1">
      <c r="A511" s="95"/>
      <c r="B511" s="94"/>
      <c r="C511" s="99"/>
      <c r="D511" s="97"/>
      <c r="E511" s="100"/>
      <c r="F511" s="100"/>
      <c r="G511" s="85"/>
      <c r="H511" s="228" t="s">
        <v>454</v>
      </c>
      <c r="I511" s="9">
        <v>663</v>
      </c>
      <c r="J511" s="15">
        <v>7</v>
      </c>
      <c r="K511" s="15">
        <v>9</v>
      </c>
      <c r="L511" s="15">
        <v>30</v>
      </c>
      <c r="M511" s="92" t="s">
        <v>347</v>
      </c>
      <c r="N511" s="92" t="s">
        <v>348</v>
      </c>
      <c r="O511" s="92" t="s">
        <v>398</v>
      </c>
      <c r="P511" s="9">
        <v>240</v>
      </c>
      <c r="Q511" s="195">
        <v>10</v>
      </c>
      <c r="R511" s="195">
        <v>10</v>
      </c>
      <c r="S511" s="195">
        <v>10</v>
      </c>
    </row>
    <row r="512" spans="1:19" ht="39" customHeight="1">
      <c r="A512" s="95"/>
      <c r="B512" s="94"/>
      <c r="C512" s="99"/>
      <c r="D512" s="97"/>
      <c r="E512" s="100"/>
      <c r="F512" s="100"/>
      <c r="G512" s="85"/>
      <c r="H512" s="21" t="s">
        <v>89</v>
      </c>
      <c r="I512" s="9">
        <v>663</v>
      </c>
      <c r="J512" s="15">
        <v>7</v>
      </c>
      <c r="K512" s="15">
        <v>9</v>
      </c>
      <c r="L512" s="15">
        <v>30</v>
      </c>
      <c r="M512" s="92" t="s">
        <v>347</v>
      </c>
      <c r="N512" s="92" t="s">
        <v>348</v>
      </c>
      <c r="O512" s="92" t="s">
        <v>88</v>
      </c>
      <c r="P512" s="9"/>
      <c r="Q512" s="195">
        <f>Q513</f>
        <v>224.8</v>
      </c>
      <c r="R512" s="195">
        <f>R513</f>
        <v>203.2</v>
      </c>
      <c r="S512" s="195">
        <f>S513</f>
        <v>203.2</v>
      </c>
    </row>
    <row r="513" spans="1:19" ht="33" customHeight="1">
      <c r="A513" s="95"/>
      <c r="B513" s="94"/>
      <c r="C513" s="99"/>
      <c r="D513" s="97"/>
      <c r="E513" s="100"/>
      <c r="F513" s="100"/>
      <c r="G513" s="85"/>
      <c r="H513" s="4" t="s">
        <v>456</v>
      </c>
      <c r="I513" s="9">
        <v>663</v>
      </c>
      <c r="J513" s="15">
        <v>7</v>
      </c>
      <c r="K513" s="15">
        <v>9</v>
      </c>
      <c r="L513" s="15">
        <v>30</v>
      </c>
      <c r="M513" s="92" t="s">
        <v>347</v>
      </c>
      <c r="N513" s="92" t="s">
        <v>348</v>
      </c>
      <c r="O513" s="92" t="s">
        <v>88</v>
      </c>
      <c r="P513" s="9">
        <v>610</v>
      </c>
      <c r="Q513" s="195">
        <f>'Приложение 8'!Q628</f>
        <v>224.8</v>
      </c>
      <c r="R513" s="195">
        <v>203.2</v>
      </c>
      <c r="S513" s="195">
        <v>203.2</v>
      </c>
    </row>
    <row r="514" spans="1:19" ht="29.25" customHeight="1">
      <c r="A514" s="95"/>
      <c r="B514" s="94"/>
      <c r="C514" s="99"/>
      <c r="D514" s="97"/>
      <c r="E514" s="100"/>
      <c r="F514" s="100"/>
      <c r="G514" s="85"/>
      <c r="H514" s="17" t="s">
        <v>407</v>
      </c>
      <c r="I514" s="9">
        <v>663</v>
      </c>
      <c r="J514" s="15">
        <v>7</v>
      </c>
      <c r="K514" s="15">
        <v>9</v>
      </c>
      <c r="L514" s="15">
        <v>30</v>
      </c>
      <c r="M514" s="92" t="s">
        <v>347</v>
      </c>
      <c r="N514" s="92" t="s">
        <v>365</v>
      </c>
      <c r="O514" s="92" t="s">
        <v>392</v>
      </c>
      <c r="P514" s="9" t="s">
        <v>393</v>
      </c>
      <c r="Q514" s="195">
        <f>Q515+Q519+Q517</f>
        <v>8701.699999999999</v>
      </c>
      <c r="R514" s="195">
        <f>R515+R519+R517</f>
        <v>11150.8</v>
      </c>
      <c r="S514" s="195">
        <f>S515+S519+S517</f>
        <v>11150.8</v>
      </c>
    </row>
    <row r="515" spans="1:19" ht="29.25" customHeight="1">
      <c r="A515" s="95"/>
      <c r="B515" s="94"/>
      <c r="C515" s="99"/>
      <c r="D515" s="97"/>
      <c r="E515" s="100"/>
      <c r="F515" s="100"/>
      <c r="G515" s="85"/>
      <c r="H515" s="21" t="s">
        <v>100</v>
      </c>
      <c r="I515" s="9">
        <v>663</v>
      </c>
      <c r="J515" s="15">
        <v>7</v>
      </c>
      <c r="K515" s="15">
        <v>9</v>
      </c>
      <c r="L515" s="15">
        <v>30</v>
      </c>
      <c r="M515" s="92" t="s">
        <v>347</v>
      </c>
      <c r="N515" s="92" t="s">
        <v>365</v>
      </c>
      <c r="O515" s="92" t="s">
        <v>398</v>
      </c>
      <c r="P515" s="9"/>
      <c r="Q515" s="195">
        <f>Q516</f>
        <v>19.5</v>
      </c>
      <c r="R515" s="195">
        <f>R516</f>
        <v>43</v>
      </c>
      <c r="S515" s="195">
        <f>S516</f>
        <v>43</v>
      </c>
    </row>
    <row r="516" spans="1:19" ht="29.25" customHeight="1">
      <c r="A516" s="95"/>
      <c r="B516" s="94"/>
      <c r="C516" s="99"/>
      <c r="D516" s="97"/>
      <c r="E516" s="100"/>
      <c r="F516" s="100"/>
      <c r="G516" s="85"/>
      <c r="H516" s="21" t="s">
        <v>454</v>
      </c>
      <c r="I516" s="9">
        <v>663</v>
      </c>
      <c r="J516" s="15">
        <v>7</v>
      </c>
      <c r="K516" s="15">
        <v>9</v>
      </c>
      <c r="L516" s="15">
        <v>30</v>
      </c>
      <c r="M516" s="92" t="s">
        <v>347</v>
      </c>
      <c r="N516" s="92" t="s">
        <v>365</v>
      </c>
      <c r="O516" s="92" t="s">
        <v>398</v>
      </c>
      <c r="P516" s="9">
        <v>240</v>
      </c>
      <c r="Q516" s="195">
        <f>'Приложение 8'!Q631</f>
        <v>19.5</v>
      </c>
      <c r="R516" s="195">
        <v>43</v>
      </c>
      <c r="S516" s="195">
        <v>43</v>
      </c>
    </row>
    <row r="517" spans="1:19" ht="35.25" customHeight="1" hidden="1">
      <c r="A517" s="95"/>
      <c r="B517" s="94"/>
      <c r="C517" s="99"/>
      <c r="D517" s="97"/>
      <c r="E517" s="100"/>
      <c r="F517" s="100"/>
      <c r="G517" s="85"/>
      <c r="H517" s="229" t="s">
        <v>249</v>
      </c>
      <c r="I517" s="9">
        <v>663</v>
      </c>
      <c r="J517" s="15">
        <v>7</v>
      </c>
      <c r="K517" s="15">
        <v>9</v>
      </c>
      <c r="L517" s="15">
        <v>30</v>
      </c>
      <c r="M517" s="92" t="s">
        <v>347</v>
      </c>
      <c r="N517" s="92" t="s">
        <v>365</v>
      </c>
      <c r="O517" s="92" t="s">
        <v>63</v>
      </c>
      <c r="P517" s="9"/>
      <c r="Q517" s="195">
        <f>Q518</f>
        <v>0</v>
      </c>
      <c r="R517" s="195">
        <f>R518</f>
        <v>0</v>
      </c>
      <c r="S517" s="195">
        <f>S518</f>
        <v>0</v>
      </c>
    </row>
    <row r="518" spans="1:19" ht="29.25" customHeight="1" hidden="1">
      <c r="A518" s="95"/>
      <c r="B518" s="94"/>
      <c r="C518" s="99"/>
      <c r="D518" s="97"/>
      <c r="E518" s="100"/>
      <c r="F518" s="100"/>
      <c r="G518" s="85"/>
      <c r="H518" s="229" t="s">
        <v>457</v>
      </c>
      <c r="I518" s="9">
        <v>663</v>
      </c>
      <c r="J518" s="15">
        <v>7</v>
      </c>
      <c r="K518" s="15">
        <v>9</v>
      </c>
      <c r="L518" s="15">
        <v>30</v>
      </c>
      <c r="M518" s="92" t="s">
        <v>347</v>
      </c>
      <c r="N518" s="92" t="s">
        <v>365</v>
      </c>
      <c r="O518" s="92" t="s">
        <v>63</v>
      </c>
      <c r="P518" s="9">
        <v>110</v>
      </c>
      <c r="Q518" s="195">
        <v>0</v>
      </c>
      <c r="R518" s="195">
        <v>0</v>
      </c>
      <c r="S518" s="195">
        <v>0</v>
      </c>
    </row>
    <row r="519" spans="1:19" ht="39" customHeight="1">
      <c r="A519" s="95"/>
      <c r="B519" s="94"/>
      <c r="C519" s="99"/>
      <c r="D519" s="97"/>
      <c r="E519" s="100"/>
      <c r="F519" s="100"/>
      <c r="G519" s="85"/>
      <c r="H519" s="21" t="s">
        <v>89</v>
      </c>
      <c r="I519" s="9">
        <v>663</v>
      </c>
      <c r="J519" s="15">
        <v>7</v>
      </c>
      <c r="K519" s="15">
        <v>9</v>
      </c>
      <c r="L519" s="15">
        <v>30</v>
      </c>
      <c r="M519" s="92" t="s">
        <v>347</v>
      </c>
      <c r="N519" s="92" t="s">
        <v>365</v>
      </c>
      <c r="O519" s="92" t="s">
        <v>88</v>
      </c>
      <c r="P519" s="9"/>
      <c r="Q519" s="195">
        <f>Q521+Q522+Q520</f>
        <v>8682.199999999999</v>
      </c>
      <c r="R519" s="195">
        <f>R521+R522+R520</f>
        <v>11107.8</v>
      </c>
      <c r="S519" s="195">
        <f>S521+S522+S520</f>
        <v>11107.8</v>
      </c>
    </row>
    <row r="520" spans="1:19" ht="39" customHeight="1">
      <c r="A520" s="95"/>
      <c r="B520" s="94"/>
      <c r="C520" s="99"/>
      <c r="D520" s="97"/>
      <c r="E520" s="100"/>
      <c r="F520" s="100"/>
      <c r="G520" s="85"/>
      <c r="H520" s="21" t="s">
        <v>454</v>
      </c>
      <c r="I520" s="9"/>
      <c r="J520" s="15">
        <v>7</v>
      </c>
      <c r="K520" s="15">
        <v>9</v>
      </c>
      <c r="L520" s="15">
        <v>30</v>
      </c>
      <c r="M520" s="92" t="s">
        <v>347</v>
      </c>
      <c r="N520" s="92" t="s">
        <v>365</v>
      </c>
      <c r="O520" s="92" t="s">
        <v>88</v>
      </c>
      <c r="P520" s="9">
        <v>240</v>
      </c>
      <c r="Q520" s="195">
        <v>32.4</v>
      </c>
      <c r="R520" s="195">
        <v>32.4</v>
      </c>
      <c r="S520" s="195">
        <v>32.4</v>
      </c>
    </row>
    <row r="521" spans="1:19" ht="33" customHeight="1">
      <c r="A521" s="95"/>
      <c r="B521" s="94"/>
      <c r="C521" s="99"/>
      <c r="D521" s="97"/>
      <c r="E521" s="100"/>
      <c r="F521" s="100"/>
      <c r="G521" s="85"/>
      <c r="H521" s="21" t="s">
        <v>459</v>
      </c>
      <c r="I521" s="9">
        <v>663</v>
      </c>
      <c r="J521" s="15">
        <v>7</v>
      </c>
      <c r="K521" s="15">
        <v>9</v>
      </c>
      <c r="L521" s="15">
        <v>30</v>
      </c>
      <c r="M521" s="92" t="s">
        <v>347</v>
      </c>
      <c r="N521" s="92" t="s">
        <v>365</v>
      </c>
      <c r="O521" s="92" t="s">
        <v>88</v>
      </c>
      <c r="P521" s="9">
        <v>320</v>
      </c>
      <c r="Q521" s="195">
        <f>'Приложение 8'!Q636</f>
        <v>2040.5</v>
      </c>
      <c r="R521" s="195">
        <f>'Приложение 8'!R636</f>
        <v>2040.5</v>
      </c>
      <c r="S521" s="195">
        <f>'Приложение 8'!S636</f>
        <v>2040.5</v>
      </c>
    </row>
    <row r="522" spans="1:19" ht="33" customHeight="1">
      <c r="A522" s="95"/>
      <c r="B522" s="94"/>
      <c r="C522" s="99"/>
      <c r="D522" s="97"/>
      <c r="E522" s="100"/>
      <c r="F522" s="100"/>
      <c r="G522" s="85"/>
      <c r="H522" s="4" t="s">
        <v>456</v>
      </c>
      <c r="I522" s="9">
        <v>663</v>
      </c>
      <c r="J522" s="15">
        <v>7</v>
      </c>
      <c r="K522" s="15">
        <v>9</v>
      </c>
      <c r="L522" s="15">
        <v>30</v>
      </c>
      <c r="M522" s="92" t="s">
        <v>347</v>
      </c>
      <c r="N522" s="92" t="s">
        <v>365</v>
      </c>
      <c r="O522" s="92" t="s">
        <v>88</v>
      </c>
      <c r="P522" s="9">
        <v>610</v>
      </c>
      <c r="Q522" s="195">
        <f>'Приложение 8'!Q637</f>
        <v>6609.299999999999</v>
      </c>
      <c r="R522" s="195">
        <f>'Приложение 8'!R637</f>
        <v>9034.9</v>
      </c>
      <c r="S522" s="195">
        <f>'Приложение 8'!S637</f>
        <v>9034.9</v>
      </c>
    </row>
    <row r="523" spans="1:19" ht="27" customHeight="1">
      <c r="A523" s="95"/>
      <c r="B523" s="94"/>
      <c r="C523" s="99"/>
      <c r="D523" s="97"/>
      <c r="E523" s="100"/>
      <c r="F523" s="100"/>
      <c r="G523" s="85"/>
      <c r="H523" s="10" t="s">
        <v>519</v>
      </c>
      <c r="I523" s="9">
        <v>663</v>
      </c>
      <c r="J523" s="15">
        <v>7</v>
      </c>
      <c r="K523" s="15">
        <v>9</v>
      </c>
      <c r="L523" s="15">
        <v>30</v>
      </c>
      <c r="M523" s="92" t="s">
        <v>347</v>
      </c>
      <c r="N523" s="92" t="s">
        <v>366</v>
      </c>
      <c r="O523" s="92" t="s">
        <v>392</v>
      </c>
      <c r="P523" s="9"/>
      <c r="Q523" s="195">
        <f>Q524+Q527</f>
        <v>2281.2000000000003</v>
      </c>
      <c r="R523" s="195">
        <f>R524+R527</f>
        <v>1805</v>
      </c>
      <c r="S523" s="195">
        <f>S524+S527</f>
        <v>1805</v>
      </c>
    </row>
    <row r="524" spans="1:19" ht="18" customHeight="1">
      <c r="A524" s="95"/>
      <c r="B524" s="94"/>
      <c r="C524" s="99"/>
      <c r="D524" s="97"/>
      <c r="E524" s="100"/>
      <c r="F524" s="100"/>
      <c r="G524" s="85"/>
      <c r="H524" s="10" t="s">
        <v>100</v>
      </c>
      <c r="I524" s="9">
        <v>663</v>
      </c>
      <c r="J524" s="15">
        <v>7</v>
      </c>
      <c r="K524" s="15">
        <v>9</v>
      </c>
      <c r="L524" s="15">
        <v>30</v>
      </c>
      <c r="M524" s="92" t="s">
        <v>347</v>
      </c>
      <c r="N524" s="92" t="s">
        <v>366</v>
      </c>
      <c r="O524" s="92" t="s">
        <v>398</v>
      </c>
      <c r="P524" s="9"/>
      <c r="Q524" s="195">
        <f>Q526+Q525</f>
        <v>2281.2000000000003</v>
      </c>
      <c r="R524" s="195">
        <f>R526+R525</f>
        <v>1805</v>
      </c>
      <c r="S524" s="195">
        <f>S526+S525</f>
        <v>1805</v>
      </c>
    </row>
    <row r="525" spans="1:19" ht="18" customHeight="1">
      <c r="A525" s="95"/>
      <c r="B525" s="94"/>
      <c r="C525" s="99"/>
      <c r="D525" s="97"/>
      <c r="E525" s="100"/>
      <c r="F525" s="100"/>
      <c r="G525" s="85"/>
      <c r="H525" s="21" t="s">
        <v>454</v>
      </c>
      <c r="I525" s="9">
        <v>663</v>
      </c>
      <c r="J525" s="15">
        <v>7</v>
      </c>
      <c r="K525" s="15">
        <v>9</v>
      </c>
      <c r="L525" s="15">
        <v>30</v>
      </c>
      <c r="M525" s="92" t="s">
        <v>347</v>
      </c>
      <c r="N525" s="92" t="s">
        <v>366</v>
      </c>
      <c r="O525" s="92" t="s">
        <v>398</v>
      </c>
      <c r="P525" s="9">
        <v>240</v>
      </c>
      <c r="Q525" s="195">
        <f>'Приложение 8'!Q640</f>
        <v>38.9</v>
      </c>
      <c r="R525" s="195">
        <v>25</v>
      </c>
      <c r="S525" s="195">
        <v>25</v>
      </c>
    </row>
    <row r="526" spans="1:19" ht="37.5" customHeight="1">
      <c r="A526" s="95"/>
      <c r="B526" s="94"/>
      <c r="C526" s="99"/>
      <c r="D526" s="97"/>
      <c r="E526" s="100"/>
      <c r="F526" s="100"/>
      <c r="G526" s="85"/>
      <c r="H526" s="10" t="s">
        <v>790</v>
      </c>
      <c r="I526" s="9">
        <v>663</v>
      </c>
      <c r="J526" s="15">
        <v>7</v>
      </c>
      <c r="K526" s="15">
        <v>9</v>
      </c>
      <c r="L526" s="15">
        <v>30</v>
      </c>
      <c r="M526" s="92" t="s">
        <v>347</v>
      </c>
      <c r="N526" s="92" t="s">
        <v>366</v>
      </c>
      <c r="O526" s="92" t="s">
        <v>398</v>
      </c>
      <c r="P526" s="9">
        <v>630</v>
      </c>
      <c r="Q526" s="195">
        <f>'Приложение 8'!Q641</f>
        <v>2242.3</v>
      </c>
      <c r="R526" s="195">
        <v>1780</v>
      </c>
      <c r="S526" s="195">
        <v>1780</v>
      </c>
    </row>
    <row r="527" spans="1:19" ht="39" customHeight="1" hidden="1">
      <c r="A527" s="95"/>
      <c r="B527" s="94"/>
      <c r="C527" s="99"/>
      <c r="D527" s="97"/>
      <c r="E527" s="100"/>
      <c r="F527" s="100"/>
      <c r="G527" s="85"/>
      <c r="H527" s="10" t="s">
        <v>87</v>
      </c>
      <c r="I527" s="9">
        <v>663</v>
      </c>
      <c r="J527" s="15">
        <v>7</v>
      </c>
      <c r="K527" s="15">
        <v>9</v>
      </c>
      <c r="L527" s="15">
        <v>30</v>
      </c>
      <c r="M527" s="92" t="s">
        <v>347</v>
      </c>
      <c r="N527" s="92" t="s">
        <v>366</v>
      </c>
      <c r="O527" s="92" t="s">
        <v>63</v>
      </c>
      <c r="P527" s="9"/>
      <c r="Q527" s="195">
        <f>Q528</f>
        <v>0</v>
      </c>
      <c r="R527" s="195">
        <f>R528</f>
        <v>0</v>
      </c>
      <c r="S527" s="195">
        <f>S528</f>
        <v>0</v>
      </c>
    </row>
    <row r="528" spans="1:19" ht="24.75" customHeight="1" hidden="1">
      <c r="A528" s="95"/>
      <c r="B528" s="94"/>
      <c r="C528" s="99"/>
      <c r="D528" s="97"/>
      <c r="E528" s="100"/>
      <c r="F528" s="100"/>
      <c r="G528" s="85"/>
      <c r="H528" s="10" t="s">
        <v>454</v>
      </c>
      <c r="I528" s="9">
        <v>663</v>
      </c>
      <c r="J528" s="15">
        <v>7</v>
      </c>
      <c r="K528" s="15">
        <v>9</v>
      </c>
      <c r="L528" s="15">
        <v>30</v>
      </c>
      <c r="M528" s="92" t="s">
        <v>347</v>
      </c>
      <c r="N528" s="92" t="s">
        <v>366</v>
      </c>
      <c r="O528" s="92" t="s">
        <v>63</v>
      </c>
      <c r="P528" s="9">
        <v>240</v>
      </c>
      <c r="Q528" s="195">
        <v>0</v>
      </c>
      <c r="R528" s="195">
        <v>0</v>
      </c>
      <c r="S528" s="195">
        <v>0</v>
      </c>
    </row>
    <row r="529" spans="1:19" ht="28.5" customHeight="1">
      <c r="A529" s="95"/>
      <c r="B529" s="94"/>
      <c r="C529" s="99"/>
      <c r="D529" s="97"/>
      <c r="E529" s="100"/>
      <c r="F529" s="100"/>
      <c r="G529" s="85"/>
      <c r="H529" s="21" t="s">
        <v>408</v>
      </c>
      <c r="I529" s="9">
        <v>663</v>
      </c>
      <c r="J529" s="15">
        <v>7</v>
      </c>
      <c r="K529" s="15">
        <v>9</v>
      </c>
      <c r="L529" s="15">
        <v>30</v>
      </c>
      <c r="M529" s="92" t="s">
        <v>347</v>
      </c>
      <c r="N529" s="92" t="s">
        <v>361</v>
      </c>
      <c r="O529" s="92" t="s">
        <v>392</v>
      </c>
      <c r="P529" s="9"/>
      <c r="Q529" s="195">
        <f>Q530+Q532</f>
        <v>29.9</v>
      </c>
      <c r="R529" s="195">
        <f>R530+R532</f>
        <v>30</v>
      </c>
      <c r="S529" s="195">
        <f>S530+S532</f>
        <v>30</v>
      </c>
    </row>
    <row r="530" spans="1:19" ht="28.5" customHeight="1">
      <c r="A530" s="95"/>
      <c r="B530" s="94"/>
      <c r="C530" s="99"/>
      <c r="D530" s="97"/>
      <c r="E530" s="100"/>
      <c r="F530" s="100"/>
      <c r="G530" s="85"/>
      <c r="H530" s="21" t="s">
        <v>100</v>
      </c>
      <c r="I530" s="9">
        <v>663</v>
      </c>
      <c r="J530" s="15">
        <v>7</v>
      </c>
      <c r="K530" s="15">
        <v>9</v>
      </c>
      <c r="L530" s="15">
        <v>30</v>
      </c>
      <c r="M530" s="92" t="s">
        <v>347</v>
      </c>
      <c r="N530" s="92" t="s">
        <v>361</v>
      </c>
      <c r="O530" s="92" t="s">
        <v>398</v>
      </c>
      <c r="P530" s="9"/>
      <c r="Q530" s="195">
        <f>Q531</f>
        <v>29.9</v>
      </c>
      <c r="R530" s="195">
        <f>R531</f>
        <v>30</v>
      </c>
      <c r="S530" s="195">
        <f>S531</f>
        <v>30</v>
      </c>
    </row>
    <row r="531" spans="1:19" ht="28.5" customHeight="1">
      <c r="A531" s="95"/>
      <c r="B531" s="94"/>
      <c r="C531" s="99"/>
      <c r="D531" s="97"/>
      <c r="E531" s="100"/>
      <c r="F531" s="100"/>
      <c r="G531" s="85"/>
      <c r="H531" s="21" t="s">
        <v>454</v>
      </c>
      <c r="I531" s="9">
        <v>663</v>
      </c>
      <c r="J531" s="15">
        <v>7</v>
      </c>
      <c r="K531" s="15">
        <v>9</v>
      </c>
      <c r="L531" s="15">
        <v>30</v>
      </c>
      <c r="M531" s="92" t="s">
        <v>347</v>
      </c>
      <c r="N531" s="92" t="s">
        <v>361</v>
      </c>
      <c r="O531" s="92" t="s">
        <v>398</v>
      </c>
      <c r="P531" s="9">
        <v>240</v>
      </c>
      <c r="Q531" s="195">
        <f>'Приложение 8'!Q646</f>
        <v>29.9</v>
      </c>
      <c r="R531" s="195">
        <v>30</v>
      </c>
      <c r="S531" s="195">
        <v>30</v>
      </c>
    </row>
    <row r="532" spans="1:19" ht="41.25" customHeight="1" hidden="1">
      <c r="A532" s="95"/>
      <c r="B532" s="94"/>
      <c r="C532" s="99"/>
      <c r="D532" s="97"/>
      <c r="E532" s="100"/>
      <c r="F532" s="100"/>
      <c r="G532" s="85"/>
      <c r="H532" s="21" t="s">
        <v>249</v>
      </c>
      <c r="I532" s="9">
        <v>663</v>
      </c>
      <c r="J532" s="15">
        <v>7</v>
      </c>
      <c r="K532" s="15">
        <v>9</v>
      </c>
      <c r="L532" s="15">
        <v>30</v>
      </c>
      <c r="M532" s="92" t="s">
        <v>347</v>
      </c>
      <c r="N532" s="92" t="s">
        <v>361</v>
      </c>
      <c r="O532" s="92" t="s">
        <v>63</v>
      </c>
      <c r="P532" s="9"/>
      <c r="Q532" s="195">
        <f>Q533</f>
        <v>0</v>
      </c>
      <c r="R532" s="195">
        <f>R533</f>
        <v>0</v>
      </c>
      <c r="S532" s="195">
        <f>S533</f>
        <v>0</v>
      </c>
    </row>
    <row r="533" spans="1:19" ht="30" customHeight="1" hidden="1">
      <c r="A533" s="95"/>
      <c r="B533" s="94"/>
      <c r="C533" s="99"/>
      <c r="D533" s="97"/>
      <c r="E533" s="100"/>
      <c r="F533" s="100"/>
      <c r="G533" s="85"/>
      <c r="H533" s="21" t="s">
        <v>454</v>
      </c>
      <c r="I533" s="9">
        <v>663</v>
      </c>
      <c r="J533" s="15">
        <v>7</v>
      </c>
      <c r="K533" s="15">
        <v>9</v>
      </c>
      <c r="L533" s="15">
        <v>30</v>
      </c>
      <c r="M533" s="92" t="s">
        <v>347</v>
      </c>
      <c r="N533" s="92" t="s">
        <v>361</v>
      </c>
      <c r="O533" s="92" t="s">
        <v>63</v>
      </c>
      <c r="P533" s="9">
        <v>240</v>
      </c>
      <c r="Q533" s="195">
        <f>30-30</f>
        <v>0</v>
      </c>
      <c r="R533" s="195">
        <f>30-30</f>
        <v>0</v>
      </c>
      <c r="S533" s="195">
        <f>30-30</f>
        <v>0</v>
      </c>
    </row>
    <row r="534" spans="1:19" ht="30" customHeight="1">
      <c r="A534" s="95"/>
      <c r="B534" s="94"/>
      <c r="C534" s="99"/>
      <c r="D534" s="97"/>
      <c r="E534" s="100"/>
      <c r="F534" s="100"/>
      <c r="G534" s="85"/>
      <c r="H534" s="21" t="str">
        <f>'Приложение 8'!H649</f>
        <v>Основное мероприятие "Модернизация сети муниципальных образовательных учреждений"</v>
      </c>
      <c r="I534" s="9">
        <f>'Приложение 8'!I649</f>
        <v>663</v>
      </c>
      <c r="J534" s="15">
        <f>'Приложение 8'!J649</f>
        <v>7</v>
      </c>
      <c r="K534" s="15">
        <f>'Приложение 8'!K649</f>
        <v>9</v>
      </c>
      <c r="L534" s="15">
        <f>'Приложение 8'!L649</f>
        <v>30</v>
      </c>
      <c r="M534" s="92" t="str">
        <f>'Приложение 8'!M649</f>
        <v>0</v>
      </c>
      <c r="N534" s="92" t="str">
        <f>'Приложение 8'!N649</f>
        <v>05</v>
      </c>
      <c r="O534" s="92" t="str">
        <f>'Приложение 8'!O649</f>
        <v>00000</v>
      </c>
      <c r="P534" s="9" t="s">
        <v>393</v>
      </c>
      <c r="Q534" s="195">
        <f>'Приложение 8'!Q649</f>
        <v>62</v>
      </c>
      <c r="R534" s="195">
        <f>'Приложение 8'!R649</f>
        <v>0</v>
      </c>
      <c r="S534" s="195">
        <f>'Приложение 8'!S649</f>
        <v>0</v>
      </c>
    </row>
    <row r="535" spans="1:19" ht="30" customHeight="1">
      <c r="A535" s="95"/>
      <c r="B535" s="94"/>
      <c r="C535" s="99"/>
      <c r="D535" s="97"/>
      <c r="E535" s="100"/>
      <c r="F535" s="100"/>
      <c r="G535" s="85"/>
      <c r="H535" s="21" t="str">
        <f>'Приложение 8'!H650</f>
        <v>Реализация мероприятий по предупреждению детского дорожно-транспортного травматизма</v>
      </c>
      <c r="I535" s="9">
        <f>'Приложение 8'!I650</f>
        <v>663</v>
      </c>
      <c r="J535" s="15">
        <f>'Приложение 8'!J650</f>
        <v>7</v>
      </c>
      <c r="K535" s="15">
        <f>'Приложение 8'!K650</f>
        <v>9</v>
      </c>
      <c r="L535" s="15">
        <f>'Приложение 8'!L650</f>
        <v>30</v>
      </c>
      <c r="M535" s="92" t="str">
        <f>'Приложение 8'!M650</f>
        <v>0</v>
      </c>
      <c r="N535" s="92" t="str">
        <f>'Приложение 8'!N650</f>
        <v>05</v>
      </c>
      <c r="O535" s="92" t="str">
        <f>'Приложение 8'!O650</f>
        <v>S1450</v>
      </c>
      <c r="P535" s="9" t="s">
        <v>393</v>
      </c>
      <c r="Q535" s="195">
        <f>'Приложение 8'!Q650</f>
        <v>62</v>
      </c>
      <c r="R535" s="195">
        <f>'Приложение 8'!R650</f>
        <v>0</v>
      </c>
      <c r="S535" s="195">
        <f>'Приложение 8'!S650</f>
        <v>0</v>
      </c>
    </row>
    <row r="536" spans="1:19" ht="30" customHeight="1">
      <c r="A536" s="95"/>
      <c r="B536" s="94"/>
      <c r="C536" s="99"/>
      <c r="D536" s="97"/>
      <c r="E536" s="100"/>
      <c r="F536" s="100"/>
      <c r="G536" s="85"/>
      <c r="H536" s="21" t="str">
        <f>'Приложение 8'!H651</f>
        <v>Иные закупки товаров, работ и услуг для обеспечения государственных (муниципальных) нужд</v>
      </c>
      <c r="I536" s="9">
        <f>'Приложение 8'!I651</f>
        <v>663</v>
      </c>
      <c r="J536" s="15">
        <f>'Приложение 8'!J651</f>
        <v>7</v>
      </c>
      <c r="K536" s="15">
        <f>'Приложение 8'!K651</f>
        <v>9</v>
      </c>
      <c r="L536" s="15">
        <f>'Приложение 8'!L651</f>
        <v>30</v>
      </c>
      <c r="M536" s="92" t="str">
        <f>'Приложение 8'!M651</f>
        <v>0</v>
      </c>
      <c r="N536" s="92" t="str">
        <f>'Приложение 8'!N651</f>
        <v>05</v>
      </c>
      <c r="O536" s="92" t="str">
        <f>'Приложение 8'!O651</f>
        <v>S1450</v>
      </c>
      <c r="P536" s="9">
        <f>'Приложение 8'!P651</f>
        <v>240</v>
      </c>
      <c r="Q536" s="195">
        <f>'Приложение 8'!Q651</f>
        <v>62</v>
      </c>
      <c r="R536" s="195">
        <f>'Приложение 8'!R651</f>
        <v>0</v>
      </c>
      <c r="S536" s="195">
        <f>'Приложение 8'!S651</f>
        <v>0</v>
      </c>
    </row>
    <row r="537" spans="1:19" ht="29.25" customHeight="1">
      <c r="A537" s="95"/>
      <c r="B537" s="94"/>
      <c r="C537" s="99"/>
      <c r="D537" s="97"/>
      <c r="E537" s="100"/>
      <c r="F537" s="100"/>
      <c r="G537" s="85"/>
      <c r="H537" s="21" t="s">
        <v>572</v>
      </c>
      <c r="I537" s="9">
        <v>663</v>
      </c>
      <c r="J537" s="15">
        <v>7</v>
      </c>
      <c r="K537" s="15">
        <v>9</v>
      </c>
      <c r="L537" s="15">
        <v>30</v>
      </c>
      <c r="M537" s="92" t="s">
        <v>347</v>
      </c>
      <c r="N537" s="92" t="s">
        <v>368</v>
      </c>
      <c r="O537" s="92" t="s">
        <v>392</v>
      </c>
      <c r="P537" s="9"/>
      <c r="Q537" s="195">
        <f>Q538+Q547+Q545+Q543</f>
        <v>4492</v>
      </c>
      <c r="R537" s="195">
        <f>R538+R547+R545</f>
        <v>4183.200000000001</v>
      </c>
      <c r="S537" s="195">
        <f>S538+S547+S545</f>
        <v>4183.400000000001</v>
      </c>
    </row>
    <row r="538" spans="1:19" ht="27" customHeight="1">
      <c r="A538" s="95"/>
      <c r="B538" s="94"/>
      <c r="C538" s="99"/>
      <c r="D538" s="97"/>
      <c r="E538" s="100"/>
      <c r="F538" s="100"/>
      <c r="G538" s="85"/>
      <c r="H538" s="21" t="s">
        <v>100</v>
      </c>
      <c r="I538" s="9">
        <v>663</v>
      </c>
      <c r="J538" s="15">
        <v>7</v>
      </c>
      <c r="K538" s="15">
        <v>9</v>
      </c>
      <c r="L538" s="15">
        <v>30</v>
      </c>
      <c r="M538" s="92" t="s">
        <v>347</v>
      </c>
      <c r="N538" s="92" t="s">
        <v>368</v>
      </c>
      <c r="O538" s="92" t="s">
        <v>398</v>
      </c>
      <c r="P538" s="9"/>
      <c r="Q538" s="195">
        <f>SUM(Q539:Q542)</f>
        <v>3690.4</v>
      </c>
      <c r="R538" s="195">
        <f>SUM(R539:R542)</f>
        <v>3594.6000000000004</v>
      </c>
      <c r="S538" s="195">
        <f>SUM(S539:S542)</f>
        <v>3594.8</v>
      </c>
    </row>
    <row r="539" spans="1:19" ht="27" customHeight="1">
      <c r="A539" s="95"/>
      <c r="B539" s="94"/>
      <c r="C539" s="99"/>
      <c r="D539" s="97"/>
      <c r="E539" s="100"/>
      <c r="F539" s="100"/>
      <c r="G539" s="85"/>
      <c r="H539" s="21" t="s">
        <v>319</v>
      </c>
      <c r="I539" s="9">
        <v>663</v>
      </c>
      <c r="J539" s="15">
        <v>7</v>
      </c>
      <c r="K539" s="15">
        <v>9</v>
      </c>
      <c r="L539" s="15">
        <v>30</v>
      </c>
      <c r="M539" s="92" t="s">
        <v>347</v>
      </c>
      <c r="N539" s="92" t="s">
        <v>368</v>
      </c>
      <c r="O539" s="92" t="s">
        <v>398</v>
      </c>
      <c r="P539" s="9">
        <v>120</v>
      </c>
      <c r="Q539" s="195">
        <f>'Приложение 8'!Q654</f>
        <v>3335.6000000000004</v>
      </c>
      <c r="R539" s="195">
        <f>3868.4-588.6</f>
        <v>3279.8</v>
      </c>
      <c r="S539" s="195">
        <f>3868.4-588.6</f>
        <v>3279.8</v>
      </c>
    </row>
    <row r="540" spans="1:19" ht="26.25" customHeight="1">
      <c r="A540" s="95"/>
      <c r="B540" s="94"/>
      <c r="C540" s="99"/>
      <c r="D540" s="97"/>
      <c r="E540" s="100"/>
      <c r="F540" s="100"/>
      <c r="G540" s="85"/>
      <c r="H540" s="21" t="s">
        <v>454</v>
      </c>
      <c r="I540" s="9">
        <v>663</v>
      </c>
      <c r="J540" s="15">
        <v>7</v>
      </c>
      <c r="K540" s="15">
        <v>9</v>
      </c>
      <c r="L540" s="15">
        <v>30</v>
      </c>
      <c r="M540" s="92" t="s">
        <v>347</v>
      </c>
      <c r="N540" s="92" t="s">
        <v>368</v>
      </c>
      <c r="O540" s="92" t="s">
        <v>398</v>
      </c>
      <c r="P540" s="9">
        <v>240</v>
      </c>
      <c r="Q540" s="195">
        <f>'Приложение 8'!Q655</f>
        <v>353.6</v>
      </c>
      <c r="R540" s="195">
        <v>314.8</v>
      </c>
      <c r="S540" s="195">
        <v>315</v>
      </c>
    </row>
    <row r="541" spans="1:19" ht="26.25" customHeight="1" hidden="1">
      <c r="A541" s="95"/>
      <c r="B541" s="94"/>
      <c r="C541" s="99"/>
      <c r="D541" s="97"/>
      <c r="E541" s="100"/>
      <c r="F541" s="100"/>
      <c r="G541" s="85"/>
      <c r="H541" s="21" t="s">
        <v>459</v>
      </c>
      <c r="I541" s="9">
        <v>663</v>
      </c>
      <c r="J541" s="15">
        <v>7</v>
      </c>
      <c r="K541" s="15">
        <v>9</v>
      </c>
      <c r="L541" s="15">
        <v>30</v>
      </c>
      <c r="M541" s="92" t="s">
        <v>347</v>
      </c>
      <c r="N541" s="92" t="s">
        <v>368</v>
      </c>
      <c r="O541" s="92" t="s">
        <v>398</v>
      </c>
      <c r="P541" s="9">
        <v>320</v>
      </c>
      <c r="Q541" s="195">
        <v>0</v>
      </c>
      <c r="R541" s="195">
        <v>0</v>
      </c>
      <c r="S541" s="195">
        <v>0</v>
      </c>
    </row>
    <row r="542" spans="1:19" ht="26.25" customHeight="1">
      <c r="A542" s="95"/>
      <c r="B542" s="94"/>
      <c r="C542" s="99"/>
      <c r="D542" s="97"/>
      <c r="E542" s="100"/>
      <c r="F542" s="100"/>
      <c r="G542" s="85"/>
      <c r="H542" s="10" t="s">
        <v>455</v>
      </c>
      <c r="I542" s="9">
        <v>663</v>
      </c>
      <c r="J542" s="15">
        <v>7</v>
      </c>
      <c r="K542" s="15">
        <v>9</v>
      </c>
      <c r="L542" s="15">
        <v>30</v>
      </c>
      <c r="M542" s="92" t="s">
        <v>347</v>
      </c>
      <c r="N542" s="92" t="s">
        <v>368</v>
      </c>
      <c r="O542" s="92" t="s">
        <v>398</v>
      </c>
      <c r="P542" s="9">
        <v>850</v>
      </c>
      <c r="Q542" s="195">
        <f>'Приложение 8'!Q657</f>
        <v>1.2</v>
      </c>
      <c r="R542" s="195">
        <v>0</v>
      </c>
      <c r="S542" s="195">
        <v>0</v>
      </c>
    </row>
    <row r="543" spans="1:19" ht="36.75" customHeight="1">
      <c r="A543" s="95"/>
      <c r="B543" s="94"/>
      <c r="C543" s="99"/>
      <c r="D543" s="97"/>
      <c r="E543" s="100"/>
      <c r="F543" s="100"/>
      <c r="G543" s="85"/>
      <c r="H543" s="274" t="str">
        <f>'Приложение 8'!H658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43" s="9">
        <f>'Приложение 8'!I658</f>
        <v>663</v>
      </c>
      <c r="J543" s="15">
        <f>'Приложение 8'!J658</f>
        <v>7</v>
      </c>
      <c r="K543" s="15">
        <f>'Приложение 8'!K658</f>
        <v>9</v>
      </c>
      <c r="L543" s="15">
        <f>'Приложение 8'!L658</f>
        <v>30</v>
      </c>
      <c r="M543" s="92" t="str">
        <f>'Приложение 8'!M658</f>
        <v>0</v>
      </c>
      <c r="N543" s="92" t="str">
        <f>'Приложение 8'!N658</f>
        <v>06</v>
      </c>
      <c r="O543" s="92" t="str">
        <f>'Приложение 8'!O658</f>
        <v>55490</v>
      </c>
      <c r="P543" s="9" t="s">
        <v>393</v>
      </c>
      <c r="Q543" s="195">
        <f>'Приложение 8'!Q658</f>
        <v>88</v>
      </c>
      <c r="R543" s="195">
        <f>'Приложение 8'!R658</f>
        <v>0</v>
      </c>
      <c r="S543" s="195">
        <f>'Приложение 8'!S658</f>
        <v>0</v>
      </c>
    </row>
    <row r="544" spans="1:19" ht="26.25" customHeight="1">
      <c r="A544" s="95"/>
      <c r="B544" s="94"/>
      <c r="C544" s="99"/>
      <c r="D544" s="97"/>
      <c r="E544" s="100"/>
      <c r="F544" s="100"/>
      <c r="G544" s="85"/>
      <c r="H544" s="274" t="str">
        <f>'Приложение 8'!H659</f>
        <v>Расходы на выплаты персоналу государственных (муниципальных) органов</v>
      </c>
      <c r="I544" s="9">
        <f>'Приложение 8'!I659</f>
        <v>663</v>
      </c>
      <c r="J544" s="15">
        <f>'Приложение 8'!J659</f>
        <v>7</v>
      </c>
      <c r="K544" s="15">
        <f>'Приложение 8'!K659</f>
        <v>9</v>
      </c>
      <c r="L544" s="15">
        <f>'Приложение 8'!L659</f>
        <v>30</v>
      </c>
      <c r="M544" s="92" t="str">
        <f>'Приложение 8'!M659</f>
        <v>0</v>
      </c>
      <c r="N544" s="92" t="str">
        <f>'Приложение 8'!N659</f>
        <v>06</v>
      </c>
      <c r="O544" s="92" t="str">
        <f>'Приложение 8'!O659</f>
        <v>55490</v>
      </c>
      <c r="P544" s="9">
        <f>'Приложение 8'!P659</f>
        <v>120</v>
      </c>
      <c r="Q544" s="195">
        <f>'Приложение 8'!Q659</f>
        <v>88</v>
      </c>
      <c r="R544" s="195">
        <f>'Приложение 8'!R659</f>
        <v>0</v>
      </c>
      <c r="S544" s="195">
        <f>'Приложение 8'!S659</f>
        <v>0</v>
      </c>
    </row>
    <row r="545" spans="1:19" ht="40.5" customHeight="1">
      <c r="A545" s="95"/>
      <c r="B545" s="94"/>
      <c r="C545" s="99"/>
      <c r="D545" s="97"/>
      <c r="E545" s="100"/>
      <c r="F545" s="100"/>
      <c r="G545" s="85"/>
      <c r="H545" s="229" t="s">
        <v>595</v>
      </c>
      <c r="I545" s="9">
        <v>663</v>
      </c>
      <c r="J545" s="15">
        <v>7</v>
      </c>
      <c r="K545" s="15">
        <v>9</v>
      </c>
      <c r="L545" s="15">
        <v>30</v>
      </c>
      <c r="M545" s="92" t="s">
        <v>347</v>
      </c>
      <c r="N545" s="92" t="s">
        <v>368</v>
      </c>
      <c r="O545" s="92" t="s">
        <v>594</v>
      </c>
      <c r="P545" s="9"/>
      <c r="Q545" s="195">
        <f>Q546</f>
        <v>713.6</v>
      </c>
      <c r="R545" s="195">
        <f>R546</f>
        <v>588.6</v>
      </c>
      <c r="S545" s="195">
        <f>S546</f>
        <v>588.6</v>
      </c>
    </row>
    <row r="546" spans="1:19" ht="26.25" customHeight="1">
      <c r="A546" s="95"/>
      <c r="B546" s="94"/>
      <c r="C546" s="99"/>
      <c r="D546" s="97"/>
      <c r="E546" s="100"/>
      <c r="F546" s="100"/>
      <c r="G546" s="85"/>
      <c r="H546" s="21" t="s">
        <v>319</v>
      </c>
      <c r="I546" s="9">
        <v>663</v>
      </c>
      <c r="J546" s="15">
        <v>7</v>
      </c>
      <c r="K546" s="15">
        <v>9</v>
      </c>
      <c r="L546" s="15">
        <v>30</v>
      </c>
      <c r="M546" s="92" t="s">
        <v>347</v>
      </c>
      <c r="N546" s="92" t="s">
        <v>368</v>
      </c>
      <c r="O546" s="92" t="s">
        <v>594</v>
      </c>
      <c r="P546" s="9">
        <v>120</v>
      </c>
      <c r="Q546" s="195">
        <f>'Приложение 8'!Q661</f>
        <v>713.6</v>
      </c>
      <c r="R546" s="195">
        <v>588.6</v>
      </c>
      <c r="S546" s="195">
        <v>588.6</v>
      </c>
    </row>
    <row r="547" spans="1:19" ht="38.25" customHeight="1" hidden="1">
      <c r="A547" s="95"/>
      <c r="B547" s="94"/>
      <c r="C547" s="99"/>
      <c r="D547" s="97"/>
      <c r="E547" s="100"/>
      <c r="F547" s="100"/>
      <c r="G547" s="85"/>
      <c r="H547" s="229" t="s">
        <v>249</v>
      </c>
      <c r="I547" s="9">
        <v>663</v>
      </c>
      <c r="J547" s="15">
        <v>7</v>
      </c>
      <c r="K547" s="15">
        <v>9</v>
      </c>
      <c r="L547" s="15">
        <v>30</v>
      </c>
      <c r="M547" s="92" t="s">
        <v>347</v>
      </c>
      <c r="N547" s="92" t="s">
        <v>368</v>
      </c>
      <c r="O547" s="92" t="s">
        <v>63</v>
      </c>
      <c r="P547" s="9"/>
      <c r="Q547" s="195">
        <f>SUM(Q548:Q550)</f>
        <v>0</v>
      </c>
      <c r="R547" s="195">
        <f>SUM(R548:R550)</f>
        <v>0</v>
      </c>
      <c r="S547" s="195">
        <f>SUM(S548:S550)</f>
        <v>0</v>
      </c>
    </row>
    <row r="548" spans="1:19" ht="27" customHeight="1" hidden="1">
      <c r="A548" s="95"/>
      <c r="B548" s="94"/>
      <c r="C548" s="99"/>
      <c r="D548" s="97"/>
      <c r="E548" s="100"/>
      <c r="F548" s="100"/>
      <c r="G548" s="85"/>
      <c r="H548" s="229" t="s">
        <v>457</v>
      </c>
      <c r="I548" s="9">
        <v>663</v>
      </c>
      <c r="J548" s="15">
        <v>7</v>
      </c>
      <c r="K548" s="15">
        <v>9</v>
      </c>
      <c r="L548" s="15">
        <v>30</v>
      </c>
      <c r="M548" s="92" t="s">
        <v>347</v>
      </c>
      <c r="N548" s="92" t="s">
        <v>368</v>
      </c>
      <c r="O548" s="92" t="s">
        <v>63</v>
      </c>
      <c r="P548" s="9">
        <v>110</v>
      </c>
      <c r="Q548" s="195">
        <v>0</v>
      </c>
      <c r="R548" s="195">
        <v>0</v>
      </c>
      <c r="S548" s="195">
        <v>0</v>
      </c>
    </row>
    <row r="549" spans="1:19" ht="22.5" customHeight="1" hidden="1">
      <c r="A549" s="95"/>
      <c r="B549" s="94"/>
      <c r="C549" s="99"/>
      <c r="D549" s="97"/>
      <c r="E549" s="100"/>
      <c r="F549" s="100"/>
      <c r="G549" s="85"/>
      <c r="H549" s="229" t="s">
        <v>454</v>
      </c>
      <c r="I549" s="9">
        <v>663</v>
      </c>
      <c r="J549" s="15">
        <v>7</v>
      </c>
      <c r="K549" s="15">
        <v>9</v>
      </c>
      <c r="L549" s="15">
        <v>30</v>
      </c>
      <c r="M549" s="92" t="s">
        <v>347</v>
      </c>
      <c r="N549" s="92" t="s">
        <v>368</v>
      </c>
      <c r="O549" s="92" t="s">
        <v>63</v>
      </c>
      <c r="P549" s="9">
        <v>240</v>
      </c>
      <c r="Q549" s="195">
        <v>0</v>
      </c>
      <c r="R549" s="195">
        <v>0</v>
      </c>
      <c r="S549" s="195">
        <v>0</v>
      </c>
    </row>
    <row r="550" spans="1:19" ht="22.5" customHeight="1" hidden="1">
      <c r="A550" s="95"/>
      <c r="B550" s="94"/>
      <c r="C550" s="99"/>
      <c r="D550" s="97"/>
      <c r="E550" s="100"/>
      <c r="F550" s="100"/>
      <c r="G550" s="85"/>
      <c r="H550" s="10" t="s">
        <v>455</v>
      </c>
      <c r="I550" s="9">
        <v>663</v>
      </c>
      <c r="J550" s="15">
        <v>7</v>
      </c>
      <c r="K550" s="15">
        <v>9</v>
      </c>
      <c r="L550" s="15">
        <v>30</v>
      </c>
      <c r="M550" s="92" t="s">
        <v>347</v>
      </c>
      <c r="N550" s="92" t="s">
        <v>368</v>
      </c>
      <c r="O550" s="92" t="s">
        <v>63</v>
      </c>
      <c r="P550" s="9">
        <v>850</v>
      </c>
      <c r="Q550" s="195">
        <v>0</v>
      </c>
      <c r="R550" s="195">
        <v>0</v>
      </c>
      <c r="S550" s="195">
        <v>0</v>
      </c>
    </row>
    <row r="551" spans="1:19" ht="39.75" customHeight="1">
      <c r="A551" s="95"/>
      <c r="B551" s="94"/>
      <c r="C551" s="99"/>
      <c r="D551" s="97"/>
      <c r="E551" s="100"/>
      <c r="F551" s="100"/>
      <c r="G551" s="85"/>
      <c r="H551" s="4" t="s">
        <v>630</v>
      </c>
      <c r="I551" s="9">
        <v>663</v>
      </c>
      <c r="J551" s="15">
        <v>7</v>
      </c>
      <c r="K551" s="15">
        <v>9</v>
      </c>
      <c r="L551" s="91" t="s">
        <v>632</v>
      </c>
      <c r="M551" s="92" t="s">
        <v>347</v>
      </c>
      <c r="N551" s="92" t="s">
        <v>357</v>
      </c>
      <c r="O551" s="92" t="s">
        <v>392</v>
      </c>
      <c r="P551" s="9"/>
      <c r="Q551" s="195">
        <f>Q552</f>
        <v>70</v>
      </c>
      <c r="R551" s="195">
        <f aca="true" t="shared" si="52" ref="R551:S553">R552</f>
        <v>70</v>
      </c>
      <c r="S551" s="195">
        <f t="shared" si="52"/>
        <v>70</v>
      </c>
    </row>
    <row r="552" spans="1:19" ht="33.75" customHeight="1">
      <c r="A552" s="95"/>
      <c r="B552" s="94"/>
      <c r="C552" s="99"/>
      <c r="D552" s="97"/>
      <c r="E552" s="100"/>
      <c r="F552" s="100"/>
      <c r="G552" s="85"/>
      <c r="H552" s="4" t="s">
        <v>633</v>
      </c>
      <c r="I552" s="9">
        <v>663</v>
      </c>
      <c r="J552" s="15">
        <v>7</v>
      </c>
      <c r="K552" s="15">
        <v>9</v>
      </c>
      <c r="L552" s="91" t="s">
        <v>632</v>
      </c>
      <c r="M552" s="92" t="s">
        <v>347</v>
      </c>
      <c r="N552" s="92" t="s">
        <v>365</v>
      </c>
      <c r="O552" s="92" t="s">
        <v>392</v>
      </c>
      <c r="P552" s="9"/>
      <c r="Q552" s="195">
        <f>Q553</f>
        <v>70</v>
      </c>
      <c r="R552" s="195">
        <f t="shared" si="52"/>
        <v>70</v>
      </c>
      <c r="S552" s="195">
        <f t="shared" si="52"/>
        <v>70</v>
      </c>
    </row>
    <row r="553" spans="1:19" ht="42" customHeight="1">
      <c r="A553" s="95"/>
      <c r="B553" s="94"/>
      <c r="C553" s="99"/>
      <c r="D553" s="97"/>
      <c r="E553" s="100"/>
      <c r="F553" s="100"/>
      <c r="G553" s="85"/>
      <c r="H553" s="4" t="s">
        <v>634</v>
      </c>
      <c r="I553" s="9">
        <v>663</v>
      </c>
      <c r="J553" s="15">
        <v>7</v>
      </c>
      <c r="K553" s="15">
        <v>9</v>
      </c>
      <c r="L553" s="91" t="s">
        <v>632</v>
      </c>
      <c r="M553" s="92" t="s">
        <v>347</v>
      </c>
      <c r="N553" s="92" t="s">
        <v>365</v>
      </c>
      <c r="O553" s="92" t="s">
        <v>18</v>
      </c>
      <c r="P553" s="9"/>
      <c r="Q553" s="195">
        <f>Q554</f>
        <v>70</v>
      </c>
      <c r="R553" s="195">
        <f t="shared" si="52"/>
        <v>70</v>
      </c>
      <c r="S553" s="195">
        <f t="shared" si="52"/>
        <v>70</v>
      </c>
    </row>
    <row r="554" spans="1:19" ht="28.5" customHeight="1">
      <c r="A554" s="95"/>
      <c r="B554" s="94"/>
      <c r="C554" s="99"/>
      <c r="D554" s="97"/>
      <c r="E554" s="100"/>
      <c r="F554" s="100"/>
      <c r="G554" s="85"/>
      <c r="H554" s="4" t="s">
        <v>454</v>
      </c>
      <c r="I554" s="9">
        <v>663</v>
      </c>
      <c r="J554" s="15">
        <v>7</v>
      </c>
      <c r="K554" s="15">
        <v>9</v>
      </c>
      <c r="L554" s="91" t="s">
        <v>632</v>
      </c>
      <c r="M554" s="92" t="s">
        <v>347</v>
      </c>
      <c r="N554" s="92" t="s">
        <v>365</v>
      </c>
      <c r="O554" s="92" t="s">
        <v>18</v>
      </c>
      <c r="P554" s="9">
        <v>240</v>
      </c>
      <c r="Q554" s="195">
        <v>70</v>
      </c>
      <c r="R554" s="195">
        <v>70</v>
      </c>
      <c r="S554" s="195">
        <v>70</v>
      </c>
    </row>
    <row r="555" spans="1:19" s="171" customFormat="1" ht="24.75" customHeight="1">
      <c r="A555" s="135"/>
      <c r="B555" s="136"/>
      <c r="C555" s="135"/>
      <c r="D555" s="363">
        <v>10000</v>
      </c>
      <c r="E555" s="364"/>
      <c r="F555" s="364"/>
      <c r="G555" s="129">
        <v>240</v>
      </c>
      <c r="H555" s="130" t="s">
        <v>328</v>
      </c>
      <c r="I555" s="131">
        <v>27</v>
      </c>
      <c r="J555" s="141">
        <v>8</v>
      </c>
      <c r="K555" s="132"/>
      <c r="L555" s="133"/>
      <c r="M555" s="134"/>
      <c r="N555" s="134"/>
      <c r="O555" s="134"/>
      <c r="P555" s="131"/>
      <c r="Q555" s="194">
        <f aca="true" t="shared" si="53" ref="Q555:S556">Q556</f>
        <v>32831</v>
      </c>
      <c r="R555" s="194">
        <f t="shared" si="53"/>
        <v>30867.1</v>
      </c>
      <c r="S555" s="194">
        <f t="shared" si="53"/>
        <v>28667.199999999997</v>
      </c>
    </row>
    <row r="556" spans="1:19" s="171" customFormat="1" ht="25.5" customHeight="1">
      <c r="A556" s="135"/>
      <c r="B556" s="136"/>
      <c r="C556" s="146"/>
      <c r="D556" s="143"/>
      <c r="E556" s="373">
        <v>15200</v>
      </c>
      <c r="F556" s="373"/>
      <c r="G556" s="129">
        <v>240</v>
      </c>
      <c r="H556" s="130" t="s">
        <v>138</v>
      </c>
      <c r="I556" s="131">
        <v>27</v>
      </c>
      <c r="J556" s="141">
        <v>8</v>
      </c>
      <c r="K556" s="132">
        <v>1</v>
      </c>
      <c r="L556" s="133"/>
      <c r="M556" s="134"/>
      <c r="N556" s="134"/>
      <c r="O556" s="134"/>
      <c r="P556" s="131"/>
      <c r="Q556" s="194">
        <f>Q557+Q587</f>
        <v>32831</v>
      </c>
      <c r="R556" s="194">
        <f t="shared" si="53"/>
        <v>30867.1</v>
      </c>
      <c r="S556" s="194">
        <f t="shared" si="53"/>
        <v>28667.199999999997</v>
      </c>
    </row>
    <row r="557" spans="1:19" ht="25.5" customHeight="1">
      <c r="A557" s="95"/>
      <c r="B557" s="94"/>
      <c r="C557" s="99"/>
      <c r="D557" s="97"/>
      <c r="E557" s="362">
        <v>20400</v>
      </c>
      <c r="F557" s="362"/>
      <c r="G557" s="85">
        <v>850</v>
      </c>
      <c r="H557" s="4" t="s">
        <v>421</v>
      </c>
      <c r="I557" s="9">
        <v>27</v>
      </c>
      <c r="J557" s="6">
        <v>8</v>
      </c>
      <c r="K557" s="15">
        <v>1</v>
      </c>
      <c r="L557" s="91" t="s">
        <v>422</v>
      </c>
      <c r="M557" s="92" t="s">
        <v>347</v>
      </c>
      <c r="N557" s="92" t="s">
        <v>357</v>
      </c>
      <c r="O557" s="92" t="s">
        <v>392</v>
      </c>
      <c r="P557" s="9"/>
      <c r="Q557" s="195">
        <f>Q558+Q567+Q572+Q584</f>
        <v>32768</v>
      </c>
      <c r="R557" s="195">
        <f>R558+R567+R572+R584</f>
        <v>30867.1</v>
      </c>
      <c r="S557" s="195">
        <f>S558+S567+S572+S584</f>
        <v>28667.199999999997</v>
      </c>
    </row>
    <row r="558" spans="1:19" ht="39.75" customHeight="1">
      <c r="A558" s="95"/>
      <c r="B558" s="94"/>
      <c r="C558" s="99"/>
      <c r="D558" s="97"/>
      <c r="E558" s="109"/>
      <c r="F558" s="109"/>
      <c r="G558" s="101">
        <v>120</v>
      </c>
      <c r="H558" s="17" t="s">
        <v>64</v>
      </c>
      <c r="I558" s="5">
        <v>27</v>
      </c>
      <c r="J558" s="6">
        <v>8</v>
      </c>
      <c r="K558" s="15">
        <v>1</v>
      </c>
      <c r="L558" s="91" t="s">
        <v>422</v>
      </c>
      <c r="M558" s="92" t="s">
        <v>347</v>
      </c>
      <c r="N558" s="92" t="s">
        <v>348</v>
      </c>
      <c r="O558" s="92" t="s">
        <v>392</v>
      </c>
      <c r="P558" s="5"/>
      <c r="Q558" s="197">
        <f>Q559+Q563+Q565+Q561</f>
        <v>13689</v>
      </c>
      <c r="R558" s="197">
        <f>R559+R563+R565+R561</f>
        <v>13411</v>
      </c>
      <c r="S558" s="197">
        <f>S559+S563+S565+S561</f>
        <v>13411</v>
      </c>
    </row>
    <row r="559" spans="1:19" ht="25.5" customHeight="1">
      <c r="A559" s="95"/>
      <c r="B559" s="94"/>
      <c r="C559" s="99"/>
      <c r="D559" s="97"/>
      <c r="E559" s="109"/>
      <c r="F559" s="109"/>
      <c r="G559" s="101"/>
      <c r="H559" s="17" t="s">
        <v>66</v>
      </c>
      <c r="I559" s="9">
        <v>27</v>
      </c>
      <c r="J559" s="6">
        <v>8</v>
      </c>
      <c r="K559" s="15">
        <v>1</v>
      </c>
      <c r="L559" s="91" t="s">
        <v>422</v>
      </c>
      <c r="M559" s="92" t="s">
        <v>347</v>
      </c>
      <c r="N559" s="92" t="s">
        <v>348</v>
      </c>
      <c r="O559" s="92" t="s">
        <v>65</v>
      </c>
      <c r="P559" s="5"/>
      <c r="Q559" s="197">
        <f>Q560</f>
        <v>10478.5</v>
      </c>
      <c r="R559" s="197">
        <f>R560</f>
        <v>10300.5</v>
      </c>
      <c r="S559" s="197">
        <f>S560</f>
        <v>10300.5</v>
      </c>
    </row>
    <row r="560" spans="1:19" ht="24.75" customHeight="1">
      <c r="A560" s="95"/>
      <c r="B560" s="94"/>
      <c r="C560" s="99"/>
      <c r="D560" s="97"/>
      <c r="E560" s="109"/>
      <c r="F560" s="109"/>
      <c r="G560" s="101"/>
      <c r="H560" s="227" t="s">
        <v>456</v>
      </c>
      <c r="I560" s="9">
        <v>27</v>
      </c>
      <c r="J560" s="15">
        <v>8</v>
      </c>
      <c r="K560" s="15">
        <v>1</v>
      </c>
      <c r="L560" s="91" t="s">
        <v>422</v>
      </c>
      <c r="M560" s="92" t="s">
        <v>347</v>
      </c>
      <c r="N560" s="92" t="s">
        <v>348</v>
      </c>
      <c r="O560" s="92" t="s">
        <v>65</v>
      </c>
      <c r="P560" s="5">
        <v>610</v>
      </c>
      <c r="Q560" s="197">
        <f>'Приложение 8'!Q307</f>
        <v>10478.5</v>
      </c>
      <c r="R560" s="197">
        <f>'Приложение 8'!R307</f>
        <v>10300.5</v>
      </c>
      <c r="S560" s="197">
        <f>'Приложение 8'!S307</f>
        <v>10300.5</v>
      </c>
    </row>
    <row r="561" spans="1:19" ht="30" customHeight="1">
      <c r="A561" s="95"/>
      <c r="B561" s="94"/>
      <c r="C561" s="99"/>
      <c r="D561" s="97"/>
      <c r="E561" s="109"/>
      <c r="F561" s="109"/>
      <c r="G561" s="101"/>
      <c r="H561" s="227" t="s">
        <v>595</v>
      </c>
      <c r="I561" s="9">
        <v>27</v>
      </c>
      <c r="J561" s="15">
        <v>8</v>
      </c>
      <c r="K561" s="15">
        <v>1</v>
      </c>
      <c r="L561" s="91" t="s">
        <v>422</v>
      </c>
      <c r="M561" s="92" t="s">
        <v>347</v>
      </c>
      <c r="N561" s="92" t="s">
        <v>348</v>
      </c>
      <c r="O561" s="92" t="s">
        <v>594</v>
      </c>
      <c r="P561" s="5"/>
      <c r="Q561" s="197">
        <f>Q562</f>
        <v>1224.1</v>
      </c>
      <c r="R561" s="197">
        <f>R562</f>
        <v>1224.1</v>
      </c>
      <c r="S561" s="197">
        <f>S562</f>
        <v>1224.1</v>
      </c>
    </row>
    <row r="562" spans="1:19" ht="24.75" customHeight="1">
      <c r="A562" s="95"/>
      <c r="B562" s="94"/>
      <c r="C562" s="99"/>
      <c r="D562" s="97"/>
      <c r="E562" s="109"/>
      <c r="F562" s="109"/>
      <c r="G562" s="101"/>
      <c r="H562" s="227" t="s">
        <v>456</v>
      </c>
      <c r="I562" s="9">
        <v>27</v>
      </c>
      <c r="J562" s="15">
        <v>8</v>
      </c>
      <c r="K562" s="15">
        <v>1</v>
      </c>
      <c r="L562" s="91" t="s">
        <v>422</v>
      </c>
      <c r="M562" s="92" t="s">
        <v>347</v>
      </c>
      <c r="N562" s="92" t="s">
        <v>348</v>
      </c>
      <c r="O562" s="92" t="s">
        <v>594</v>
      </c>
      <c r="P562" s="5">
        <v>610</v>
      </c>
      <c r="Q562" s="197">
        <v>1224.1</v>
      </c>
      <c r="R562" s="197">
        <v>1224.1</v>
      </c>
      <c r="S562" s="197">
        <v>1224.1</v>
      </c>
    </row>
    <row r="563" spans="1:19" ht="24.75" customHeight="1">
      <c r="A563" s="95"/>
      <c r="B563" s="94"/>
      <c r="C563" s="99"/>
      <c r="D563" s="97"/>
      <c r="E563" s="109"/>
      <c r="F563" s="109"/>
      <c r="G563" s="101"/>
      <c r="H563" s="4" t="s">
        <v>536</v>
      </c>
      <c r="I563" s="9">
        <v>27</v>
      </c>
      <c r="J563" s="15">
        <v>8</v>
      </c>
      <c r="K563" s="15">
        <v>1</v>
      </c>
      <c r="L563" s="91" t="s">
        <v>422</v>
      </c>
      <c r="M563" s="92" t="s">
        <v>347</v>
      </c>
      <c r="N563" s="92" t="s">
        <v>348</v>
      </c>
      <c r="O563" s="92" t="s">
        <v>535</v>
      </c>
      <c r="P563" s="5"/>
      <c r="Q563" s="197">
        <f>Q564</f>
        <v>340</v>
      </c>
      <c r="R563" s="197">
        <f>R564</f>
        <v>340</v>
      </c>
      <c r="S563" s="197">
        <f>S564</f>
        <v>340</v>
      </c>
    </row>
    <row r="564" spans="1:19" ht="24" customHeight="1">
      <c r="A564" s="95"/>
      <c r="B564" s="94"/>
      <c r="C564" s="99"/>
      <c r="D564" s="97"/>
      <c r="E564" s="109"/>
      <c r="F564" s="109"/>
      <c r="G564" s="101"/>
      <c r="H564" s="227" t="s">
        <v>456</v>
      </c>
      <c r="I564" s="9">
        <v>27</v>
      </c>
      <c r="J564" s="15">
        <v>8</v>
      </c>
      <c r="K564" s="15">
        <v>1</v>
      </c>
      <c r="L564" s="91" t="s">
        <v>422</v>
      </c>
      <c r="M564" s="92" t="s">
        <v>347</v>
      </c>
      <c r="N564" s="92" t="s">
        <v>348</v>
      </c>
      <c r="O564" s="92" t="s">
        <v>535</v>
      </c>
      <c r="P564" s="5">
        <v>610</v>
      </c>
      <c r="Q564" s="197">
        <v>340</v>
      </c>
      <c r="R564" s="197">
        <v>340</v>
      </c>
      <c r="S564" s="197">
        <v>340</v>
      </c>
    </row>
    <row r="565" spans="1:19" ht="27" customHeight="1">
      <c r="A565" s="95"/>
      <c r="B565" s="94"/>
      <c r="C565" s="99"/>
      <c r="D565" s="97"/>
      <c r="E565" s="109"/>
      <c r="F565" s="109"/>
      <c r="G565" s="101"/>
      <c r="H565" s="4" t="s">
        <v>431</v>
      </c>
      <c r="I565" s="9">
        <v>27</v>
      </c>
      <c r="J565" s="15">
        <v>8</v>
      </c>
      <c r="K565" s="15">
        <v>1</v>
      </c>
      <c r="L565" s="91" t="s">
        <v>422</v>
      </c>
      <c r="M565" s="92" t="s">
        <v>347</v>
      </c>
      <c r="N565" s="92" t="s">
        <v>348</v>
      </c>
      <c r="O565" s="92" t="s">
        <v>564</v>
      </c>
      <c r="P565" s="5"/>
      <c r="Q565" s="197">
        <f>Q566</f>
        <v>1646.4</v>
      </c>
      <c r="R565" s="197">
        <f>R566</f>
        <v>1546.4</v>
      </c>
      <c r="S565" s="197">
        <f>S566</f>
        <v>1546.4</v>
      </c>
    </row>
    <row r="566" spans="1:19" ht="30" customHeight="1">
      <c r="A566" s="95"/>
      <c r="B566" s="94"/>
      <c r="C566" s="99"/>
      <c r="D566" s="97"/>
      <c r="E566" s="109"/>
      <c r="F566" s="109"/>
      <c r="G566" s="101"/>
      <c r="H566" s="227" t="s">
        <v>456</v>
      </c>
      <c r="I566" s="9">
        <v>27</v>
      </c>
      <c r="J566" s="15">
        <v>8</v>
      </c>
      <c r="K566" s="15">
        <v>1</v>
      </c>
      <c r="L566" s="91" t="s">
        <v>422</v>
      </c>
      <c r="M566" s="92" t="s">
        <v>347</v>
      </c>
      <c r="N566" s="92" t="s">
        <v>348</v>
      </c>
      <c r="O566" s="92" t="s">
        <v>564</v>
      </c>
      <c r="P566" s="5">
        <v>610</v>
      </c>
      <c r="Q566" s="197">
        <f>'Приложение 8'!Q313</f>
        <v>1646.4</v>
      </c>
      <c r="R566" s="197">
        <f>'Приложение 8'!R313</f>
        <v>1546.4</v>
      </c>
      <c r="S566" s="197">
        <f>'Приложение 8'!S313</f>
        <v>1546.4</v>
      </c>
    </row>
    <row r="567" spans="1:19" ht="32.25" customHeight="1">
      <c r="A567" s="95"/>
      <c r="B567" s="94"/>
      <c r="C567" s="99"/>
      <c r="D567" s="97"/>
      <c r="E567" s="109"/>
      <c r="F567" s="109"/>
      <c r="G567" s="101"/>
      <c r="H567" s="4" t="s">
        <v>432</v>
      </c>
      <c r="I567" s="9">
        <v>27</v>
      </c>
      <c r="J567" s="15">
        <v>8</v>
      </c>
      <c r="K567" s="15">
        <v>1</v>
      </c>
      <c r="L567" s="91" t="s">
        <v>422</v>
      </c>
      <c r="M567" s="92" t="s">
        <v>347</v>
      </c>
      <c r="N567" s="92" t="s">
        <v>365</v>
      </c>
      <c r="O567" s="92" t="s">
        <v>392</v>
      </c>
      <c r="P567" s="5"/>
      <c r="Q567" s="197">
        <f>Q568+Q570</f>
        <v>14511.2</v>
      </c>
      <c r="R567" s="197">
        <f>R568+R570</f>
        <v>13007.8</v>
      </c>
      <c r="S567" s="197">
        <f>S568+S570</f>
        <v>13007.8</v>
      </c>
    </row>
    <row r="568" spans="1:19" ht="33" customHeight="1">
      <c r="A568" s="95"/>
      <c r="B568" s="94"/>
      <c r="C568" s="99"/>
      <c r="D568" s="97"/>
      <c r="E568" s="109"/>
      <c r="F568" s="109"/>
      <c r="G568" s="101"/>
      <c r="H568" s="4" t="s">
        <v>22</v>
      </c>
      <c r="I568" s="9">
        <v>27</v>
      </c>
      <c r="J568" s="15">
        <v>8</v>
      </c>
      <c r="K568" s="15">
        <v>1</v>
      </c>
      <c r="L568" s="91" t="s">
        <v>422</v>
      </c>
      <c r="M568" s="92" t="s">
        <v>347</v>
      </c>
      <c r="N568" s="92" t="s">
        <v>365</v>
      </c>
      <c r="O568" s="92" t="s">
        <v>23</v>
      </c>
      <c r="P568" s="5"/>
      <c r="Q568" s="197">
        <f>Q569</f>
        <v>11232.2</v>
      </c>
      <c r="R568" s="197">
        <f>R569</f>
        <v>10334.8</v>
      </c>
      <c r="S568" s="197">
        <f>S569</f>
        <v>10334.8</v>
      </c>
    </row>
    <row r="569" spans="1:19" ht="27" customHeight="1">
      <c r="A569" s="95"/>
      <c r="B569" s="94"/>
      <c r="C569" s="99"/>
      <c r="D569" s="97"/>
      <c r="E569" s="109"/>
      <c r="F569" s="109"/>
      <c r="G569" s="101"/>
      <c r="H569" s="4" t="s">
        <v>456</v>
      </c>
      <c r="I569" s="9">
        <v>27</v>
      </c>
      <c r="J569" s="15">
        <v>8</v>
      </c>
      <c r="K569" s="15">
        <v>1</v>
      </c>
      <c r="L569" s="91" t="s">
        <v>422</v>
      </c>
      <c r="M569" s="92" t="s">
        <v>347</v>
      </c>
      <c r="N569" s="92" t="s">
        <v>365</v>
      </c>
      <c r="O569" s="92" t="s">
        <v>23</v>
      </c>
      <c r="P569" s="5">
        <v>610</v>
      </c>
      <c r="Q569" s="197">
        <f>'Приложение 8'!Q316</f>
        <v>11232.2</v>
      </c>
      <c r="R569" s="197">
        <f>'Приложение 8'!R316</f>
        <v>10334.8</v>
      </c>
      <c r="S569" s="197">
        <f>'Приложение 8'!S316</f>
        <v>10334.8</v>
      </c>
    </row>
    <row r="570" spans="1:19" ht="33.75" customHeight="1">
      <c r="A570" s="95"/>
      <c r="B570" s="94"/>
      <c r="C570" s="99"/>
      <c r="D570" s="97"/>
      <c r="E570" s="109"/>
      <c r="F570" s="109"/>
      <c r="G570" s="101"/>
      <c r="H570" s="227" t="s">
        <v>595</v>
      </c>
      <c r="I570" s="9">
        <v>27</v>
      </c>
      <c r="J570" s="15">
        <v>8</v>
      </c>
      <c r="K570" s="15">
        <v>1</v>
      </c>
      <c r="L570" s="91" t="s">
        <v>422</v>
      </c>
      <c r="M570" s="92" t="s">
        <v>347</v>
      </c>
      <c r="N570" s="92" t="s">
        <v>365</v>
      </c>
      <c r="O570" s="92" t="s">
        <v>594</v>
      </c>
      <c r="P570" s="5"/>
      <c r="Q570" s="197">
        <f>Q571</f>
        <v>3279</v>
      </c>
      <c r="R570" s="197">
        <f>R571</f>
        <v>2673</v>
      </c>
      <c r="S570" s="197">
        <f>S571</f>
        <v>2673</v>
      </c>
    </row>
    <row r="571" spans="1:19" ht="27" customHeight="1">
      <c r="A571" s="95"/>
      <c r="B571" s="94"/>
      <c r="C571" s="99"/>
      <c r="D571" s="97"/>
      <c r="E571" s="109"/>
      <c r="F571" s="109"/>
      <c r="G571" s="101"/>
      <c r="H571" s="227" t="s">
        <v>456</v>
      </c>
      <c r="I571" s="9">
        <v>27</v>
      </c>
      <c r="J571" s="15">
        <v>8</v>
      </c>
      <c r="K571" s="15">
        <v>1</v>
      </c>
      <c r="L571" s="91" t="s">
        <v>422</v>
      </c>
      <c r="M571" s="92" t="s">
        <v>347</v>
      </c>
      <c r="N571" s="92" t="s">
        <v>365</v>
      </c>
      <c r="O571" s="92" t="s">
        <v>594</v>
      </c>
      <c r="P571" s="5">
        <v>610</v>
      </c>
      <c r="Q571" s="197">
        <f>'Приложение 8'!Q318</f>
        <v>3279</v>
      </c>
      <c r="R571" s="197">
        <v>2673</v>
      </c>
      <c r="S571" s="197">
        <v>2673</v>
      </c>
    </row>
    <row r="572" spans="1:19" ht="42" customHeight="1">
      <c r="A572" s="95"/>
      <c r="B572" s="94"/>
      <c r="C572" s="99"/>
      <c r="D572" s="97"/>
      <c r="E572" s="109"/>
      <c r="F572" s="109"/>
      <c r="G572" s="101"/>
      <c r="H572" s="4" t="s">
        <v>117</v>
      </c>
      <c r="I572" s="9">
        <v>27</v>
      </c>
      <c r="J572" s="15">
        <v>8</v>
      </c>
      <c r="K572" s="15">
        <v>1</v>
      </c>
      <c r="L572" s="91" t="s">
        <v>422</v>
      </c>
      <c r="M572" s="92" t="s">
        <v>347</v>
      </c>
      <c r="N572" s="92" t="s">
        <v>366</v>
      </c>
      <c r="O572" s="92" t="s">
        <v>392</v>
      </c>
      <c r="P572" s="5"/>
      <c r="Q572" s="197">
        <f>Q576+Q579+Q581+Q573</f>
        <v>4549.199999999999</v>
      </c>
      <c r="R572" s="197">
        <f>R576+R579+R581+R573</f>
        <v>4429.7</v>
      </c>
      <c r="S572" s="197">
        <f>S576+S579+S581+S573</f>
        <v>2229.8</v>
      </c>
    </row>
    <row r="573" spans="1:19" ht="27" customHeight="1">
      <c r="A573" s="95"/>
      <c r="B573" s="94"/>
      <c r="C573" s="99"/>
      <c r="D573" s="97"/>
      <c r="E573" s="109"/>
      <c r="F573" s="109"/>
      <c r="G573" s="101"/>
      <c r="H573" s="4" t="s">
        <v>22</v>
      </c>
      <c r="I573" s="9">
        <v>27</v>
      </c>
      <c r="J573" s="15">
        <v>8</v>
      </c>
      <c r="K573" s="15">
        <v>1</v>
      </c>
      <c r="L573" s="91" t="s">
        <v>422</v>
      </c>
      <c r="M573" s="92" t="s">
        <v>347</v>
      </c>
      <c r="N573" s="92" t="s">
        <v>366</v>
      </c>
      <c r="O573" s="92" t="s">
        <v>23</v>
      </c>
      <c r="P573" s="5"/>
      <c r="Q573" s="197">
        <f>Q575+Q574</f>
        <v>2230.3999999999987</v>
      </c>
      <c r="R573" s="197">
        <f>R575+R574</f>
        <v>4429.7</v>
      </c>
      <c r="S573" s="197">
        <f>S575</f>
        <v>2229.8</v>
      </c>
    </row>
    <row r="574" spans="1:19" ht="27" customHeight="1">
      <c r="A574" s="95"/>
      <c r="B574" s="94"/>
      <c r="C574" s="99"/>
      <c r="D574" s="97"/>
      <c r="E574" s="109"/>
      <c r="F574" s="109"/>
      <c r="G574" s="101"/>
      <c r="H574" s="4" t="str">
        <f>'Приложение 8'!H321</f>
        <v>Иные закупки товаров, работ и услуг для обеспечения государственных (муниципальных) нужд</v>
      </c>
      <c r="I574" s="9">
        <f>'Приложение 8'!I321</f>
        <v>27</v>
      </c>
      <c r="J574" s="15">
        <f>'Приложение 8'!J321</f>
        <v>8</v>
      </c>
      <c r="K574" s="15">
        <f>'Приложение 8'!K321</f>
        <v>1</v>
      </c>
      <c r="L574" s="91" t="str">
        <f>'Приложение 8'!L321</f>
        <v>34</v>
      </c>
      <c r="M574" s="92" t="str">
        <f>'Приложение 8'!M321</f>
        <v>0</v>
      </c>
      <c r="N574" s="92" t="str">
        <f>'Приложение 8'!N321</f>
        <v>03</v>
      </c>
      <c r="O574" s="92" t="str">
        <f>'Приложение 8'!O321</f>
        <v>01590</v>
      </c>
      <c r="P574" s="5">
        <f>'Приложение 8'!P321</f>
        <v>240</v>
      </c>
      <c r="Q574" s="197">
        <f>'Приложение 8'!Q321</f>
        <v>0</v>
      </c>
      <c r="R574" s="197">
        <f>'Приложение 8'!R321</f>
        <v>2200</v>
      </c>
      <c r="S574" s="197">
        <f>'Приложение 8'!S321</f>
        <v>0</v>
      </c>
    </row>
    <row r="575" spans="1:19" ht="30" customHeight="1">
      <c r="A575" s="95"/>
      <c r="B575" s="94"/>
      <c r="C575" s="99"/>
      <c r="D575" s="97"/>
      <c r="E575" s="109"/>
      <c r="F575" s="109"/>
      <c r="G575" s="101"/>
      <c r="H575" s="4" t="s">
        <v>456</v>
      </c>
      <c r="I575" s="9">
        <v>27</v>
      </c>
      <c r="J575" s="15">
        <v>8</v>
      </c>
      <c r="K575" s="15">
        <v>1</v>
      </c>
      <c r="L575" s="91" t="s">
        <v>422</v>
      </c>
      <c r="M575" s="92" t="s">
        <v>347</v>
      </c>
      <c r="N575" s="92" t="s">
        <v>366</v>
      </c>
      <c r="O575" s="92" t="s">
        <v>23</v>
      </c>
      <c r="P575" s="5">
        <v>610</v>
      </c>
      <c r="Q575" s="197">
        <f>'Приложение 8'!Q322</f>
        <v>2230.3999999999987</v>
      </c>
      <c r="R575" s="197">
        <f>'Приложение 8'!R322</f>
        <v>2229.7</v>
      </c>
      <c r="S575" s="197">
        <f>'Приложение 8'!S322</f>
        <v>2229.8</v>
      </c>
    </row>
    <row r="576" spans="1:19" ht="24" customHeight="1" hidden="1">
      <c r="A576" s="95"/>
      <c r="B576" s="94"/>
      <c r="C576" s="99"/>
      <c r="D576" s="97"/>
      <c r="E576" s="109"/>
      <c r="F576" s="109"/>
      <c r="G576" s="101"/>
      <c r="H576" s="4" t="s">
        <v>433</v>
      </c>
      <c r="I576" s="9">
        <v>27</v>
      </c>
      <c r="J576" s="15">
        <v>8</v>
      </c>
      <c r="K576" s="15">
        <v>1</v>
      </c>
      <c r="L576" s="91" t="s">
        <v>422</v>
      </c>
      <c r="M576" s="92" t="s">
        <v>347</v>
      </c>
      <c r="N576" s="92" t="s">
        <v>366</v>
      </c>
      <c r="O576" s="92" t="s">
        <v>430</v>
      </c>
      <c r="P576" s="5"/>
      <c r="Q576" s="197">
        <f>Q578+Q577</f>
        <v>0</v>
      </c>
      <c r="R576" s="197">
        <f>R578+R577</f>
        <v>0</v>
      </c>
      <c r="S576" s="197">
        <f>S578+S577</f>
        <v>0</v>
      </c>
    </row>
    <row r="577" spans="1:19" ht="24" customHeight="1" hidden="1">
      <c r="A577" s="95"/>
      <c r="B577" s="94"/>
      <c r="C577" s="99"/>
      <c r="D577" s="103"/>
      <c r="E577" s="100"/>
      <c r="F577" s="100"/>
      <c r="G577" s="101"/>
      <c r="H577" s="4" t="s">
        <v>552</v>
      </c>
      <c r="I577" s="9">
        <v>27</v>
      </c>
      <c r="J577" s="15">
        <v>8</v>
      </c>
      <c r="K577" s="15">
        <v>1</v>
      </c>
      <c r="L577" s="91" t="s">
        <v>422</v>
      </c>
      <c r="M577" s="92" t="s">
        <v>347</v>
      </c>
      <c r="N577" s="92" t="s">
        <v>366</v>
      </c>
      <c r="O577" s="92" t="s">
        <v>430</v>
      </c>
      <c r="P577" s="5">
        <v>350</v>
      </c>
      <c r="Q577" s="197">
        <v>0</v>
      </c>
      <c r="R577" s="197">
        <v>0</v>
      </c>
      <c r="S577" s="197">
        <v>0</v>
      </c>
    </row>
    <row r="578" spans="1:19" ht="27.75" customHeight="1" hidden="1">
      <c r="A578" s="95"/>
      <c r="B578" s="94"/>
      <c r="C578" s="99"/>
      <c r="D578" s="103"/>
      <c r="E578" s="100"/>
      <c r="F578" s="100"/>
      <c r="G578" s="101"/>
      <c r="H578" s="4" t="s">
        <v>456</v>
      </c>
      <c r="I578" s="12">
        <v>27</v>
      </c>
      <c r="J578" s="15">
        <v>8</v>
      </c>
      <c r="K578" s="15">
        <v>1</v>
      </c>
      <c r="L578" s="91" t="s">
        <v>422</v>
      </c>
      <c r="M578" s="92" t="s">
        <v>347</v>
      </c>
      <c r="N578" s="92" t="s">
        <v>366</v>
      </c>
      <c r="O578" s="92" t="s">
        <v>430</v>
      </c>
      <c r="P578" s="5">
        <v>610</v>
      </c>
      <c r="Q578" s="197">
        <v>0</v>
      </c>
      <c r="R578" s="197">
        <v>0</v>
      </c>
      <c r="S578" s="197">
        <v>0</v>
      </c>
    </row>
    <row r="579" spans="1:19" ht="26.25" customHeight="1" hidden="1">
      <c r="A579" s="95"/>
      <c r="B579" s="94"/>
      <c r="C579" s="99"/>
      <c r="D579" s="103"/>
      <c r="E579" s="100"/>
      <c r="F579" s="100"/>
      <c r="G579" s="101"/>
      <c r="H579" s="4" t="s">
        <v>49</v>
      </c>
      <c r="I579" s="12">
        <v>27</v>
      </c>
      <c r="J579" s="15">
        <v>8</v>
      </c>
      <c r="K579" s="15">
        <v>1</v>
      </c>
      <c r="L579" s="91" t="s">
        <v>422</v>
      </c>
      <c r="M579" s="92" t="s">
        <v>347</v>
      </c>
      <c r="N579" s="92" t="s">
        <v>366</v>
      </c>
      <c r="O579" s="92" t="s">
        <v>50</v>
      </c>
      <c r="P579" s="5"/>
      <c r="Q579" s="197">
        <f>Q580</f>
        <v>0</v>
      </c>
      <c r="R579" s="197">
        <f>R580</f>
        <v>0</v>
      </c>
      <c r="S579" s="197">
        <f>S580</f>
        <v>0</v>
      </c>
    </row>
    <row r="580" spans="1:19" ht="27.75" customHeight="1" hidden="1">
      <c r="A580" s="95"/>
      <c r="B580" s="94"/>
      <c r="C580" s="99"/>
      <c r="D580" s="105"/>
      <c r="E580" s="100"/>
      <c r="F580" s="100"/>
      <c r="G580" s="101">
        <v>850</v>
      </c>
      <c r="H580" s="17" t="s">
        <v>456</v>
      </c>
      <c r="I580" s="12">
        <v>27</v>
      </c>
      <c r="J580" s="15">
        <v>8</v>
      </c>
      <c r="K580" s="15">
        <v>1</v>
      </c>
      <c r="L580" s="91" t="s">
        <v>422</v>
      </c>
      <c r="M580" s="92" t="s">
        <v>347</v>
      </c>
      <c r="N580" s="92" t="s">
        <v>366</v>
      </c>
      <c r="O580" s="92" t="s">
        <v>50</v>
      </c>
      <c r="P580" s="5">
        <v>610</v>
      </c>
      <c r="Q580" s="197">
        <v>0</v>
      </c>
      <c r="R580" s="197">
        <v>0</v>
      </c>
      <c r="S580" s="197">
        <v>0</v>
      </c>
    </row>
    <row r="581" spans="1:19" ht="27.75" customHeight="1">
      <c r="A581" s="95"/>
      <c r="B581" s="94"/>
      <c r="C581" s="93"/>
      <c r="D581" s="105"/>
      <c r="E581" s="100"/>
      <c r="F581" s="100"/>
      <c r="G581" s="85"/>
      <c r="H581" s="17" t="s">
        <v>703</v>
      </c>
      <c r="I581" s="12">
        <v>27</v>
      </c>
      <c r="J581" s="15">
        <v>8</v>
      </c>
      <c r="K581" s="15">
        <v>1</v>
      </c>
      <c r="L581" s="91" t="s">
        <v>422</v>
      </c>
      <c r="M581" s="92" t="s">
        <v>347</v>
      </c>
      <c r="N581" s="92" t="s">
        <v>613</v>
      </c>
      <c r="O581" s="92" t="s">
        <v>392</v>
      </c>
      <c r="P581" s="9"/>
      <c r="Q581" s="195">
        <f aca="true" t="shared" si="54" ref="Q581:S582">Q582</f>
        <v>2318.7999999999997</v>
      </c>
      <c r="R581" s="195">
        <f t="shared" si="54"/>
        <v>0</v>
      </c>
      <c r="S581" s="195">
        <f t="shared" si="54"/>
        <v>0</v>
      </c>
    </row>
    <row r="582" spans="1:19" ht="33.75" customHeight="1">
      <c r="A582" s="95"/>
      <c r="B582" s="94"/>
      <c r="C582" s="93"/>
      <c r="D582" s="371">
        <v>4360000</v>
      </c>
      <c r="E582" s="372"/>
      <c r="F582" s="372"/>
      <c r="G582" s="85">
        <v>340</v>
      </c>
      <c r="H582" s="269" t="s">
        <v>528</v>
      </c>
      <c r="I582" s="9">
        <v>27</v>
      </c>
      <c r="J582" s="15">
        <v>8</v>
      </c>
      <c r="K582" s="15">
        <v>1</v>
      </c>
      <c r="L582" s="91" t="s">
        <v>422</v>
      </c>
      <c r="M582" s="92" t="s">
        <v>347</v>
      </c>
      <c r="N582" s="92" t="s">
        <v>613</v>
      </c>
      <c r="O582" s="92" t="s">
        <v>527</v>
      </c>
      <c r="P582" s="9"/>
      <c r="Q582" s="195">
        <f t="shared" si="54"/>
        <v>2318.7999999999997</v>
      </c>
      <c r="R582" s="195">
        <f t="shared" si="54"/>
        <v>0</v>
      </c>
      <c r="S582" s="195">
        <f t="shared" si="54"/>
        <v>0</v>
      </c>
    </row>
    <row r="583" spans="1:19" ht="20.25" customHeight="1">
      <c r="A583" s="95"/>
      <c r="B583" s="94"/>
      <c r="C583" s="93"/>
      <c r="D583" s="97"/>
      <c r="E583" s="96"/>
      <c r="F583" s="96"/>
      <c r="G583" s="85"/>
      <c r="H583" s="4" t="s">
        <v>456</v>
      </c>
      <c r="I583" s="12">
        <v>27</v>
      </c>
      <c r="J583" s="15">
        <v>8</v>
      </c>
      <c r="K583" s="15">
        <v>1</v>
      </c>
      <c r="L583" s="91" t="s">
        <v>422</v>
      </c>
      <c r="M583" s="92" t="s">
        <v>347</v>
      </c>
      <c r="N583" s="92" t="s">
        <v>613</v>
      </c>
      <c r="O583" s="92" t="s">
        <v>527</v>
      </c>
      <c r="P583" s="9">
        <v>610</v>
      </c>
      <c r="Q583" s="195">
        <f>'Приложение 8'!Q330</f>
        <v>2318.7999999999997</v>
      </c>
      <c r="R583" s="195">
        <v>0</v>
      </c>
      <c r="S583" s="195">
        <v>0</v>
      </c>
    </row>
    <row r="584" spans="1:19" ht="20.25" customHeight="1">
      <c r="A584" s="95"/>
      <c r="B584" s="94"/>
      <c r="C584" s="93"/>
      <c r="D584" s="97"/>
      <c r="E584" s="98"/>
      <c r="F584" s="98"/>
      <c r="G584" s="85"/>
      <c r="H584" s="4" t="str">
        <f>'Приложение 8'!H331</f>
        <v>Основное мероприятие "Методическая поддержка социально ориентированных некоммерческих организаций в районе"</v>
      </c>
      <c r="I584" s="12">
        <f>'Приложение 8'!I331</f>
        <v>27</v>
      </c>
      <c r="J584" s="15">
        <f>'Приложение 8'!J331</f>
        <v>8</v>
      </c>
      <c r="K584" s="15">
        <f>'Приложение 8'!K331</f>
        <v>1</v>
      </c>
      <c r="L584" s="91" t="str">
        <f>'Приложение 8'!L331</f>
        <v>34</v>
      </c>
      <c r="M584" s="92" t="str">
        <f>'Приложение 8'!M331</f>
        <v>0</v>
      </c>
      <c r="N584" s="92" t="str">
        <f>'Приложение 8'!N331</f>
        <v>05</v>
      </c>
      <c r="O584" s="92" t="str">
        <f>'Приложение 8'!O331</f>
        <v>00000</v>
      </c>
      <c r="P584" s="9" t="s">
        <v>393</v>
      </c>
      <c r="Q584" s="195">
        <f>'Приложение 8'!Q331</f>
        <v>18.6</v>
      </c>
      <c r="R584" s="197">
        <f>'Приложение 8'!R331</f>
        <v>18.6</v>
      </c>
      <c r="S584" s="197">
        <f>'Приложение 8'!S331</f>
        <v>18.6</v>
      </c>
    </row>
    <row r="585" spans="1:19" ht="20.25" customHeight="1">
      <c r="A585" s="95"/>
      <c r="B585" s="94"/>
      <c r="C585" s="93"/>
      <c r="D585" s="97"/>
      <c r="E585" s="98"/>
      <c r="F585" s="98"/>
      <c r="G585" s="85"/>
      <c r="H585" s="4" t="str">
        <f>'Приложение 8'!H332</f>
        <v>Библиотеки</v>
      </c>
      <c r="I585" s="12">
        <f>'Приложение 8'!I332</f>
        <v>27</v>
      </c>
      <c r="J585" s="15">
        <f>'Приложение 8'!J332</f>
        <v>8</v>
      </c>
      <c r="K585" s="15">
        <f>'Приложение 8'!K332</f>
        <v>1</v>
      </c>
      <c r="L585" s="91" t="str">
        <f>'Приложение 8'!L332</f>
        <v>34</v>
      </c>
      <c r="M585" s="92" t="str">
        <f>'Приложение 8'!M332</f>
        <v>0</v>
      </c>
      <c r="N585" s="92" t="str">
        <f>'Приложение 8'!N332</f>
        <v>05</v>
      </c>
      <c r="O585" s="92" t="str">
        <f>'Приложение 8'!O332</f>
        <v>03590</v>
      </c>
      <c r="P585" s="9" t="s">
        <v>393</v>
      </c>
      <c r="Q585" s="195">
        <f>'Приложение 8'!Q332</f>
        <v>18.6</v>
      </c>
      <c r="R585" s="197">
        <f>'Приложение 8'!R332</f>
        <v>18.6</v>
      </c>
      <c r="S585" s="197">
        <f>'Приложение 8'!S332</f>
        <v>18.6</v>
      </c>
    </row>
    <row r="586" spans="1:19" ht="20.25" customHeight="1">
      <c r="A586" s="95"/>
      <c r="B586" s="94"/>
      <c r="C586" s="93"/>
      <c r="D586" s="97"/>
      <c r="E586" s="98"/>
      <c r="F586" s="98"/>
      <c r="G586" s="85"/>
      <c r="H586" s="4" t="str">
        <f>'Приложение 8'!H333</f>
        <v>Субсидии бюджетным учреждениям</v>
      </c>
      <c r="I586" s="12">
        <f>'Приложение 8'!I333</f>
        <v>27</v>
      </c>
      <c r="J586" s="15">
        <f>'Приложение 8'!J333</f>
        <v>8</v>
      </c>
      <c r="K586" s="15">
        <f>'Приложение 8'!K333</f>
        <v>1</v>
      </c>
      <c r="L586" s="91" t="str">
        <f>'Приложение 8'!L333</f>
        <v>34</v>
      </c>
      <c r="M586" s="92" t="str">
        <f>'Приложение 8'!M333</f>
        <v>0</v>
      </c>
      <c r="N586" s="92" t="str">
        <f>'Приложение 8'!N333</f>
        <v>05</v>
      </c>
      <c r="O586" s="92" t="str">
        <f>'Приложение 8'!O333</f>
        <v>03590</v>
      </c>
      <c r="P586" s="9">
        <f>'Приложение 8'!P333</f>
        <v>610</v>
      </c>
      <c r="Q586" s="195">
        <f>'Приложение 8'!Q333</f>
        <v>18.6</v>
      </c>
      <c r="R586" s="197">
        <f>'Приложение 8'!R333</f>
        <v>18.6</v>
      </c>
      <c r="S586" s="197">
        <f>'Приложение 8'!S333</f>
        <v>18.6</v>
      </c>
    </row>
    <row r="587" spans="1:19" ht="35.25" customHeight="1">
      <c r="A587" s="95"/>
      <c r="B587" s="94"/>
      <c r="C587" s="93"/>
      <c r="D587" s="97"/>
      <c r="E587" s="98"/>
      <c r="F587" s="98"/>
      <c r="G587" s="85"/>
      <c r="H587" s="4" t="str">
        <f>'Приложение 8'!H334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87" s="12">
        <f>'Приложение 8'!I334</f>
        <v>27</v>
      </c>
      <c r="J587" s="15">
        <f>'Приложение 8'!J334</f>
        <v>8</v>
      </c>
      <c r="K587" s="15">
        <f>'Приложение 8'!K334</f>
        <v>1</v>
      </c>
      <c r="L587" s="91" t="str">
        <f>'Приложение 8'!L334</f>
        <v>50</v>
      </c>
      <c r="M587" s="92" t="str">
        <f>'Приложение 8'!M334</f>
        <v>0</v>
      </c>
      <c r="N587" s="92" t="str">
        <f>'Приложение 8'!N334</f>
        <v>00</v>
      </c>
      <c r="O587" s="92" t="str">
        <f>'Приложение 8'!O334</f>
        <v>00000</v>
      </c>
      <c r="P587" s="5" t="s">
        <v>393</v>
      </c>
      <c r="Q587" s="197">
        <f>'Приложение 8'!Q334</f>
        <v>63</v>
      </c>
      <c r="R587" s="197">
        <f>'Приложение 8'!R334</f>
        <v>0</v>
      </c>
      <c r="S587" s="197">
        <f>'Приложение 8'!S334</f>
        <v>0</v>
      </c>
    </row>
    <row r="588" spans="1:19" ht="36" customHeight="1">
      <c r="A588" s="95"/>
      <c r="B588" s="94"/>
      <c r="C588" s="93"/>
      <c r="D588" s="97"/>
      <c r="E588" s="98"/>
      <c r="F588" s="98"/>
      <c r="G588" s="85"/>
      <c r="H588" s="4" t="str">
        <f>'Приложение 8'!H335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88" s="12">
        <f>'Приложение 8'!I335</f>
        <v>27</v>
      </c>
      <c r="J588" s="15">
        <f>'Приложение 8'!J335</f>
        <v>8</v>
      </c>
      <c r="K588" s="15">
        <f>'Приложение 8'!K335</f>
        <v>1</v>
      </c>
      <c r="L588" s="91" t="str">
        <f>'Приложение 8'!L335</f>
        <v>50</v>
      </c>
      <c r="M588" s="92" t="str">
        <f>'Приложение 8'!M335</f>
        <v>0</v>
      </c>
      <c r="N588" s="92" t="str">
        <f>'Приложение 8'!N335</f>
        <v>04</v>
      </c>
      <c r="O588" s="92" t="str">
        <f>'Приложение 8'!O335</f>
        <v>00000</v>
      </c>
      <c r="P588" s="5" t="s">
        <v>393</v>
      </c>
      <c r="Q588" s="197">
        <f>'Приложение 8'!Q335</f>
        <v>63</v>
      </c>
      <c r="R588" s="197">
        <f>'Приложение 8'!R335</f>
        <v>0</v>
      </c>
      <c r="S588" s="197">
        <f>'Приложение 8'!S335</f>
        <v>0</v>
      </c>
    </row>
    <row r="589" spans="1:19" ht="20.25" customHeight="1">
      <c r="A589" s="95"/>
      <c r="B589" s="94"/>
      <c r="C589" s="93"/>
      <c r="D589" s="97"/>
      <c r="E589" s="98"/>
      <c r="F589" s="98"/>
      <c r="G589" s="85"/>
      <c r="H589" s="4" t="str">
        <f>'Приложение 8'!H336</f>
        <v>Муниципальная поддержка ветеранских организаций</v>
      </c>
      <c r="I589" s="12">
        <f>'Приложение 8'!I336</f>
        <v>27</v>
      </c>
      <c r="J589" s="15">
        <f>'Приложение 8'!J336</f>
        <v>8</v>
      </c>
      <c r="K589" s="15">
        <f>'Приложение 8'!K336</f>
        <v>1</v>
      </c>
      <c r="L589" s="91" t="str">
        <f>'Приложение 8'!L336</f>
        <v>50</v>
      </c>
      <c r="M589" s="92" t="str">
        <f>'Приложение 8'!M336</f>
        <v>0</v>
      </c>
      <c r="N589" s="92" t="str">
        <f>'Приложение 8'!N336</f>
        <v>04</v>
      </c>
      <c r="O589" s="92" t="str">
        <f>'Приложение 8'!O336</f>
        <v>62030</v>
      </c>
      <c r="P589" s="5" t="s">
        <v>393</v>
      </c>
      <c r="Q589" s="197">
        <f>'Приложение 8'!Q336</f>
        <v>63</v>
      </c>
      <c r="R589" s="197">
        <f>'Приложение 8'!R336</f>
        <v>0</v>
      </c>
      <c r="S589" s="197">
        <f>'Приложение 8'!S336</f>
        <v>0</v>
      </c>
    </row>
    <row r="590" spans="1:19" ht="20.25" customHeight="1">
      <c r="A590" s="95"/>
      <c r="B590" s="94"/>
      <c r="C590" s="93"/>
      <c r="D590" s="97"/>
      <c r="E590" s="98"/>
      <c r="F590" s="98"/>
      <c r="G590" s="85"/>
      <c r="H590" s="4" t="str">
        <f>'Приложение 8'!H337</f>
        <v>Субсидии бюджетным учреждениям</v>
      </c>
      <c r="I590" s="12">
        <f>'Приложение 8'!I337</f>
        <v>27</v>
      </c>
      <c r="J590" s="15">
        <f>'Приложение 8'!J337</f>
        <v>8</v>
      </c>
      <c r="K590" s="15">
        <f>'Приложение 8'!K337</f>
        <v>1</v>
      </c>
      <c r="L590" s="91" t="str">
        <f>'Приложение 8'!L337</f>
        <v>50</v>
      </c>
      <c r="M590" s="92" t="str">
        <f>'Приложение 8'!M337</f>
        <v>0</v>
      </c>
      <c r="N590" s="92" t="str">
        <f>'Приложение 8'!N337</f>
        <v>04</v>
      </c>
      <c r="O590" s="92" t="str">
        <f>'Приложение 8'!O337</f>
        <v>62030</v>
      </c>
      <c r="P590" s="5">
        <f>'Приложение 8'!P337</f>
        <v>610</v>
      </c>
      <c r="Q590" s="197">
        <f>'Приложение 8'!Q337</f>
        <v>63</v>
      </c>
      <c r="R590" s="197">
        <f>'Приложение 8'!R337</f>
        <v>0</v>
      </c>
      <c r="S590" s="197">
        <f>'Приложение 8'!S337</f>
        <v>0</v>
      </c>
    </row>
    <row r="591" spans="1:19" s="171" customFormat="1" ht="21" customHeight="1">
      <c r="A591" s="135"/>
      <c r="B591" s="136"/>
      <c r="C591" s="146"/>
      <c r="D591" s="143"/>
      <c r="E591" s="147"/>
      <c r="F591" s="147"/>
      <c r="G591" s="148"/>
      <c r="H591" s="142" t="s">
        <v>394</v>
      </c>
      <c r="I591" s="131">
        <v>27</v>
      </c>
      <c r="J591" s="132">
        <v>9</v>
      </c>
      <c r="K591" s="132" t="s">
        <v>393</v>
      </c>
      <c r="L591" s="133"/>
      <c r="M591" s="134"/>
      <c r="N591" s="134"/>
      <c r="O591" s="134"/>
      <c r="P591" s="139"/>
      <c r="Q591" s="198">
        <f>Q592</f>
        <v>88.2</v>
      </c>
      <c r="R591" s="198">
        <f aca="true" t="shared" si="55" ref="R591:S595">R592</f>
        <v>88.2</v>
      </c>
      <c r="S591" s="198">
        <f t="shared" si="55"/>
        <v>88.2</v>
      </c>
    </row>
    <row r="592" spans="1:19" s="171" customFormat="1" ht="21" customHeight="1">
      <c r="A592" s="135"/>
      <c r="B592" s="136"/>
      <c r="C592" s="146"/>
      <c r="D592" s="143"/>
      <c r="E592" s="147"/>
      <c r="F592" s="147"/>
      <c r="G592" s="148"/>
      <c r="H592" s="142" t="s">
        <v>351</v>
      </c>
      <c r="I592" s="139">
        <v>27</v>
      </c>
      <c r="J592" s="132">
        <v>9</v>
      </c>
      <c r="K592" s="132">
        <v>7</v>
      </c>
      <c r="L592" s="132" t="s">
        <v>320</v>
      </c>
      <c r="M592" s="134" t="s">
        <v>320</v>
      </c>
      <c r="N592" s="134"/>
      <c r="O592" s="134" t="s">
        <v>320</v>
      </c>
      <c r="P592" s="139"/>
      <c r="Q592" s="194">
        <f>Q593</f>
        <v>88.2</v>
      </c>
      <c r="R592" s="194">
        <f t="shared" si="55"/>
        <v>88.2</v>
      </c>
      <c r="S592" s="194">
        <f t="shared" si="55"/>
        <v>88.2</v>
      </c>
    </row>
    <row r="593" spans="1:19" ht="21" customHeight="1">
      <c r="A593" s="93"/>
      <c r="B593" s="94"/>
      <c r="C593" s="99"/>
      <c r="D593" s="97"/>
      <c r="E593" s="109"/>
      <c r="F593" s="109"/>
      <c r="G593" s="101"/>
      <c r="H593" s="10" t="s">
        <v>53</v>
      </c>
      <c r="I593" s="5">
        <v>27</v>
      </c>
      <c r="J593" s="15">
        <v>9</v>
      </c>
      <c r="K593" s="15">
        <v>7</v>
      </c>
      <c r="L593" s="15">
        <v>50</v>
      </c>
      <c r="M593" s="92" t="s">
        <v>347</v>
      </c>
      <c r="N593" s="92" t="s">
        <v>357</v>
      </c>
      <c r="O593" s="92" t="s">
        <v>392</v>
      </c>
      <c r="P593" s="5"/>
      <c r="Q593" s="195">
        <f>Q594</f>
        <v>88.2</v>
      </c>
      <c r="R593" s="195">
        <f t="shared" si="55"/>
        <v>88.2</v>
      </c>
      <c r="S593" s="195">
        <f t="shared" si="55"/>
        <v>88.2</v>
      </c>
    </row>
    <row r="594" spans="1:19" ht="36" customHeight="1">
      <c r="A594" s="93"/>
      <c r="B594" s="94"/>
      <c r="C594" s="99"/>
      <c r="D594" s="97"/>
      <c r="E594" s="109"/>
      <c r="F594" s="109"/>
      <c r="G594" s="101"/>
      <c r="H594" s="10" t="s">
        <v>55</v>
      </c>
      <c r="I594" s="5">
        <v>27</v>
      </c>
      <c r="J594" s="15">
        <v>9</v>
      </c>
      <c r="K594" s="15">
        <v>7</v>
      </c>
      <c r="L594" s="15">
        <v>50</v>
      </c>
      <c r="M594" s="92" t="s">
        <v>347</v>
      </c>
      <c r="N594" s="92" t="s">
        <v>365</v>
      </c>
      <c r="O594" s="92" t="s">
        <v>392</v>
      </c>
      <c r="P594" s="5"/>
      <c r="Q594" s="195">
        <f>Q595</f>
        <v>88.2</v>
      </c>
      <c r="R594" s="195">
        <f t="shared" si="55"/>
        <v>88.2</v>
      </c>
      <c r="S594" s="195">
        <f t="shared" si="55"/>
        <v>88.2</v>
      </c>
    </row>
    <row r="595" spans="1:19" ht="48" customHeight="1">
      <c r="A595" s="95"/>
      <c r="B595" s="94"/>
      <c r="C595" s="99"/>
      <c r="D595" s="97"/>
      <c r="E595" s="109"/>
      <c r="F595" s="109"/>
      <c r="G595" s="101"/>
      <c r="H595" s="32" t="s">
        <v>453</v>
      </c>
      <c r="I595" s="5">
        <v>27</v>
      </c>
      <c r="J595" s="15">
        <v>9</v>
      </c>
      <c r="K595" s="15">
        <v>7</v>
      </c>
      <c r="L595" s="15">
        <v>50</v>
      </c>
      <c r="M595" s="92" t="s">
        <v>347</v>
      </c>
      <c r="N595" s="92" t="s">
        <v>365</v>
      </c>
      <c r="O595" s="92" t="s">
        <v>400</v>
      </c>
      <c r="P595" s="5"/>
      <c r="Q595" s="195">
        <f>Q596</f>
        <v>88.2</v>
      </c>
      <c r="R595" s="195">
        <f t="shared" si="55"/>
        <v>88.2</v>
      </c>
      <c r="S595" s="195">
        <f t="shared" si="55"/>
        <v>88.2</v>
      </c>
    </row>
    <row r="596" spans="1:19" ht="27" customHeight="1">
      <c r="A596" s="95"/>
      <c r="B596" s="94"/>
      <c r="C596" s="99"/>
      <c r="D596" s="97"/>
      <c r="E596" s="109"/>
      <c r="F596" s="109"/>
      <c r="G596" s="101"/>
      <c r="H596" s="32" t="s">
        <v>454</v>
      </c>
      <c r="I596" s="5">
        <v>27</v>
      </c>
      <c r="J596" s="15">
        <v>9</v>
      </c>
      <c r="K596" s="15">
        <v>7</v>
      </c>
      <c r="L596" s="15">
        <v>50</v>
      </c>
      <c r="M596" s="92" t="s">
        <v>347</v>
      </c>
      <c r="N596" s="92" t="s">
        <v>365</v>
      </c>
      <c r="O596" s="92" t="s">
        <v>400</v>
      </c>
      <c r="P596" s="5">
        <v>240</v>
      </c>
      <c r="Q596" s="195">
        <v>88.2</v>
      </c>
      <c r="R596" s="195">
        <v>88.2</v>
      </c>
      <c r="S596" s="195">
        <v>88.2</v>
      </c>
    </row>
    <row r="597" spans="1:19" s="171" customFormat="1" ht="24" customHeight="1">
      <c r="A597" s="135"/>
      <c r="B597" s="136"/>
      <c r="C597" s="146"/>
      <c r="D597" s="143"/>
      <c r="E597" s="147"/>
      <c r="F597" s="147"/>
      <c r="G597" s="148">
        <v>321</v>
      </c>
      <c r="H597" s="142" t="s">
        <v>327</v>
      </c>
      <c r="I597" s="145">
        <v>27</v>
      </c>
      <c r="J597" s="149">
        <v>10</v>
      </c>
      <c r="K597" s="132"/>
      <c r="L597" s="133"/>
      <c r="M597" s="134"/>
      <c r="N597" s="134"/>
      <c r="O597" s="134"/>
      <c r="P597" s="139"/>
      <c r="Q597" s="198">
        <f>Q598+Q603+Q627+Q633</f>
        <v>18424.2</v>
      </c>
      <c r="R597" s="198">
        <f>R598+R603+R627+R633</f>
        <v>14877.4</v>
      </c>
      <c r="S597" s="198">
        <f>S598+S603+S627+S633</f>
        <v>14850.300000000001</v>
      </c>
    </row>
    <row r="598" spans="1:19" s="171" customFormat="1" ht="19.5" customHeight="1">
      <c r="A598" s="135"/>
      <c r="B598" s="136"/>
      <c r="C598" s="146"/>
      <c r="D598" s="143"/>
      <c r="E598" s="147"/>
      <c r="F598" s="147"/>
      <c r="G598" s="148">
        <v>612</v>
      </c>
      <c r="H598" s="142" t="s">
        <v>137</v>
      </c>
      <c r="I598" s="145">
        <v>27</v>
      </c>
      <c r="J598" s="141">
        <v>10</v>
      </c>
      <c r="K598" s="132">
        <v>1</v>
      </c>
      <c r="L598" s="133"/>
      <c r="M598" s="134"/>
      <c r="N598" s="134"/>
      <c r="O598" s="134"/>
      <c r="P598" s="139"/>
      <c r="Q598" s="198">
        <f>Q599</f>
        <v>2028</v>
      </c>
      <c r="R598" s="198">
        <f aca="true" t="shared" si="56" ref="R598:S600">R599</f>
        <v>2160</v>
      </c>
      <c r="S598" s="198">
        <f t="shared" si="56"/>
        <v>2160</v>
      </c>
    </row>
    <row r="599" spans="1:19" ht="18.75" customHeight="1">
      <c r="A599" s="93"/>
      <c r="B599" s="94"/>
      <c r="C599" s="99"/>
      <c r="D599" s="97"/>
      <c r="E599" s="109"/>
      <c r="F599" s="109"/>
      <c r="G599" s="85"/>
      <c r="H599" s="10" t="s">
        <v>53</v>
      </c>
      <c r="I599" s="5">
        <v>27</v>
      </c>
      <c r="J599" s="6">
        <v>10</v>
      </c>
      <c r="K599" s="15">
        <v>1</v>
      </c>
      <c r="L599" s="91" t="s">
        <v>559</v>
      </c>
      <c r="M599" s="92" t="s">
        <v>347</v>
      </c>
      <c r="N599" s="92" t="s">
        <v>357</v>
      </c>
      <c r="O599" s="92" t="s">
        <v>392</v>
      </c>
      <c r="P599" s="9"/>
      <c r="Q599" s="195">
        <f>Q600</f>
        <v>2028</v>
      </c>
      <c r="R599" s="195">
        <f t="shared" si="56"/>
        <v>2160</v>
      </c>
      <c r="S599" s="195">
        <f t="shared" si="56"/>
        <v>2160</v>
      </c>
    </row>
    <row r="600" spans="1:19" ht="42" customHeight="1">
      <c r="A600" s="93"/>
      <c r="B600" s="94"/>
      <c r="C600" s="99"/>
      <c r="D600" s="97"/>
      <c r="E600" s="109"/>
      <c r="F600" s="109"/>
      <c r="G600" s="85"/>
      <c r="H600" s="10" t="s">
        <v>56</v>
      </c>
      <c r="I600" s="5">
        <v>27</v>
      </c>
      <c r="J600" s="6">
        <v>10</v>
      </c>
      <c r="K600" s="15">
        <v>1</v>
      </c>
      <c r="L600" s="91" t="s">
        <v>559</v>
      </c>
      <c r="M600" s="92" t="s">
        <v>347</v>
      </c>
      <c r="N600" s="92" t="s">
        <v>361</v>
      </c>
      <c r="O600" s="92" t="s">
        <v>392</v>
      </c>
      <c r="P600" s="9"/>
      <c r="Q600" s="195">
        <f>Q601</f>
        <v>2028</v>
      </c>
      <c r="R600" s="195">
        <f t="shared" si="56"/>
        <v>2160</v>
      </c>
      <c r="S600" s="195">
        <f t="shared" si="56"/>
        <v>2160</v>
      </c>
    </row>
    <row r="601" spans="1:19" ht="30.75" customHeight="1">
      <c r="A601" s="95"/>
      <c r="B601" s="94"/>
      <c r="C601" s="99"/>
      <c r="D601" s="97"/>
      <c r="E601" s="362">
        <v>4360400</v>
      </c>
      <c r="F601" s="362"/>
      <c r="G601" s="85">
        <v>340</v>
      </c>
      <c r="H601" s="10" t="s">
        <v>67</v>
      </c>
      <c r="I601" s="5">
        <v>27</v>
      </c>
      <c r="J601" s="6">
        <v>10</v>
      </c>
      <c r="K601" s="15">
        <v>1</v>
      </c>
      <c r="L601" s="91" t="s">
        <v>559</v>
      </c>
      <c r="M601" s="92" t="s">
        <v>347</v>
      </c>
      <c r="N601" s="92" t="s">
        <v>361</v>
      </c>
      <c r="O601" s="92" t="s">
        <v>68</v>
      </c>
      <c r="P601" s="9"/>
      <c r="Q601" s="195">
        <f>Q602</f>
        <v>2028</v>
      </c>
      <c r="R601" s="195">
        <f>R602</f>
        <v>2160</v>
      </c>
      <c r="S601" s="195">
        <f>S602</f>
        <v>2160</v>
      </c>
    </row>
    <row r="602" spans="1:19" ht="30.75" customHeight="1">
      <c r="A602" s="95"/>
      <c r="B602" s="94"/>
      <c r="C602" s="99"/>
      <c r="D602" s="103"/>
      <c r="E602" s="100"/>
      <c r="F602" s="100"/>
      <c r="G602" s="85"/>
      <c r="H602" s="10" t="s">
        <v>459</v>
      </c>
      <c r="I602" s="5">
        <v>27</v>
      </c>
      <c r="J602" s="6">
        <v>10</v>
      </c>
      <c r="K602" s="15">
        <v>1</v>
      </c>
      <c r="L602" s="114" t="s">
        <v>559</v>
      </c>
      <c r="M602" s="115" t="s">
        <v>347</v>
      </c>
      <c r="N602" s="115" t="s">
        <v>361</v>
      </c>
      <c r="O602" s="115" t="s">
        <v>68</v>
      </c>
      <c r="P602" s="9">
        <v>320</v>
      </c>
      <c r="Q602" s="195">
        <f>'Приложение 8'!Q349</f>
        <v>2028</v>
      </c>
      <c r="R602" s="195">
        <v>2160</v>
      </c>
      <c r="S602" s="195">
        <v>2160</v>
      </c>
    </row>
    <row r="603" spans="1:19" s="171" customFormat="1" ht="27" customHeight="1">
      <c r="A603" s="135"/>
      <c r="B603" s="136"/>
      <c r="C603" s="135"/>
      <c r="D603" s="363">
        <v>4520000</v>
      </c>
      <c r="E603" s="363"/>
      <c r="F603" s="363"/>
      <c r="G603" s="129">
        <v>612</v>
      </c>
      <c r="H603" s="270" t="s">
        <v>326</v>
      </c>
      <c r="I603" s="131">
        <v>27</v>
      </c>
      <c r="J603" s="141">
        <v>10</v>
      </c>
      <c r="K603" s="132">
        <v>3</v>
      </c>
      <c r="L603" s="133"/>
      <c r="M603" s="134"/>
      <c r="N603" s="134"/>
      <c r="O603" s="217"/>
      <c r="P603" s="145"/>
      <c r="Q603" s="199">
        <f>Q604+Q608+Q612+Q616</f>
        <v>11503.2</v>
      </c>
      <c r="R603" s="199">
        <f>R604+R608+R612+R616</f>
        <v>7862.5</v>
      </c>
      <c r="S603" s="199">
        <f>S604+S608+S612+S616</f>
        <v>7835.400000000001</v>
      </c>
    </row>
    <row r="604" spans="1:19" ht="33.75" customHeight="1">
      <c r="A604" s="95"/>
      <c r="B604" s="94"/>
      <c r="C604" s="99"/>
      <c r="D604" s="97"/>
      <c r="E604" s="109"/>
      <c r="F604" s="109"/>
      <c r="G604" s="101"/>
      <c r="H604" s="2" t="s">
        <v>619</v>
      </c>
      <c r="I604" s="5">
        <v>28</v>
      </c>
      <c r="J604" s="6">
        <v>10</v>
      </c>
      <c r="K604" s="15">
        <v>3</v>
      </c>
      <c r="L604" s="91" t="s">
        <v>618</v>
      </c>
      <c r="M604" s="92" t="s">
        <v>347</v>
      </c>
      <c r="N604" s="92" t="s">
        <v>357</v>
      </c>
      <c r="O604" s="92" t="s">
        <v>392</v>
      </c>
      <c r="P604" s="5"/>
      <c r="Q604" s="197">
        <f aca="true" t="shared" si="57" ref="Q604:S606">Q605</f>
        <v>119</v>
      </c>
      <c r="R604" s="197">
        <f t="shared" si="57"/>
        <v>144</v>
      </c>
      <c r="S604" s="197">
        <f t="shared" si="57"/>
        <v>144</v>
      </c>
    </row>
    <row r="605" spans="1:19" ht="25.5" customHeight="1">
      <c r="A605" s="106"/>
      <c r="B605" s="107"/>
      <c r="C605" s="102"/>
      <c r="D605" s="103"/>
      <c r="E605" s="100"/>
      <c r="F605" s="100"/>
      <c r="G605" s="101"/>
      <c r="H605" s="4" t="s">
        <v>846</v>
      </c>
      <c r="I605" s="5">
        <v>28</v>
      </c>
      <c r="J605" s="6">
        <v>10</v>
      </c>
      <c r="K605" s="15">
        <v>3</v>
      </c>
      <c r="L605" s="91" t="s">
        <v>618</v>
      </c>
      <c r="M605" s="92" t="s">
        <v>347</v>
      </c>
      <c r="N605" s="92" t="s">
        <v>366</v>
      </c>
      <c r="O605" s="92" t="s">
        <v>392</v>
      </c>
      <c r="P605" s="5"/>
      <c r="Q605" s="195">
        <f t="shared" si="57"/>
        <v>119</v>
      </c>
      <c r="R605" s="195">
        <f t="shared" si="57"/>
        <v>144</v>
      </c>
      <c r="S605" s="195">
        <f t="shared" si="57"/>
        <v>144</v>
      </c>
    </row>
    <row r="606" spans="1:19" ht="34.5" customHeight="1">
      <c r="A606" s="106"/>
      <c r="B606" s="107"/>
      <c r="C606" s="102"/>
      <c r="D606" s="103"/>
      <c r="E606" s="100"/>
      <c r="F606" s="100"/>
      <c r="G606" s="101"/>
      <c r="H606" s="4" t="s">
        <v>11</v>
      </c>
      <c r="I606" s="5">
        <v>28</v>
      </c>
      <c r="J606" s="6">
        <v>10</v>
      </c>
      <c r="K606" s="15">
        <v>3</v>
      </c>
      <c r="L606" s="91" t="s">
        <v>618</v>
      </c>
      <c r="M606" s="92" t="s">
        <v>347</v>
      </c>
      <c r="N606" s="92" t="s">
        <v>366</v>
      </c>
      <c r="O606" s="92" t="s">
        <v>12</v>
      </c>
      <c r="P606" s="5"/>
      <c r="Q606" s="195">
        <f t="shared" si="57"/>
        <v>119</v>
      </c>
      <c r="R606" s="195">
        <f t="shared" si="57"/>
        <v>144</v>
      </c>
      <c r="S606" s="195">
        <f t="shared" si="57"/>
        <v>144</v>
      </c>
    </row>
    <row r="607" spans="1:19" ht="24.75" customHeight="1">
      <c r="A607" s="106"/>
      <c r="B607" s="107"/>
      <c r="C607" s="102"/>
      <c r="D607" s="103"/>
      <c r="E607" s="100"/>
      <c r="F607" s="100"/>
      <c r="G607" s="101"/>
      <c r="H607" s="4" t="s">
        <v>458</v>
      </c>
      <c r="I607" s="5">
        <v>28</v>
      </c>
      <c r="J607" s="6">
        <v>10</v>
      </c>
      <c r="K607" s="15">
        <v>3</v>
      </c>
      <c r="L607" s="91" t="s">
        <v>618</v>
      </c>
      <c r="M607" s="92" t="s">
        <v>347</v>
      </c>
      <c r="N607" s="92" t="s">
        <v>366</v>
      </c>
      <c r="O607" s="92" t="s">
        <v>12</v>
      </c>
      <c r="P607" s="5">
        <v>310</v>
      </c>
      <c r="Q607" s="195">
        <f>'Приложение 8'!Q442</f>
        <v>119</v>
      </c>
      <c r="R607" s="195">
        <v>144</v>
      </c>
      <c r="S607" s="195">
        <v>144</v>
      </c>
    </row>
    <row r="608" spans="1:19" ht="27" customHeight="1">
      <c r="A608" s="95"/>
      <c r="B608" s="94"/>
      <c r="C608" s="93"/>
      <c r="D608" s="103"/>
      <c r="E608" s="98"/>
      <c r="F608" s="98"/>
      <c r="G608" s="85"/>
      <c r="H608" s="183" t="s">
        <v>425</v>
      </c>
      <c r="I608" s="24">
        <v>27</v>
      </c>
      <c r="J608" s="6">
        <v>10</v>
      </c>
      <c r="K608" s="25">
        <v>3</v>
      </c>
      <c r="L608" s="117" t="s">
        <v>424</v>
      </c>
      <c r="M608" s="118" t="s">
        <v>347</v>
      </c>
      <c r="N608" s="118" t="s">
        <v>357</v>
      </c>
      <c r="O608" s="118" t="s">
        <v>392</v>
      </c>
      <c r="P608" s="5"/>
      <c r="Q608" s="195">
        <f>Q609</f>
        <v>899.5</v>
      </c>
      <c r="R608" s="195">
        <f aca="true" t="shared" si="58" ref="R608:S610">R609</f>
        <v>899.5</v>
      </c>
      <c r="S608" s="195">
        <f t="shared" si="58"/>
        <v>869.8</v>
      </c>
    </row>
    <row r="609" spans="1:19" ht="29.25" customHeight="1">
      <c r="A609" s="95"/>
      <c r="B609" s="94"/>
      <c r="C609" s="93"/>
      <c r="D609" s="103"/>
      <c r="E609" s="98"/>
      <c r="F609" s="98"/>
      <c r="G609" s="85"/>
      <c r="H609" s="183" t="s">
        <v>434</v>
      </c>
      <c r="I609" s="24">
        <v>27</v>
      </c>
      <c r="J609" s="6">
        <v>10</v>
      </c>
      <c r="K609" s="25">
        <v>3</v>
      </c>
      <c r="L609" s="117" t="s">
        <v>424</v>
      </c>
      <c r="M609" s="118" t="s">
        <v>347</v>
      </c>
      <c r="N609" s="118" t="s">
        <v>361</v>
      </c>
      <c r="O609" s="118" t="s">
        <v>392</v>
      </c>
      <c r="P609" s="5"/>
      <c r="Q609" s="195">
        <f>Q610</f>
        <v>899.5</v>
      </c>
      <c r="R609" s="195">
        <f t="shared" si="58"/>
        <v>899.5</v>
      </c>
      <c r="S609" s="195">
        <f t="shared" si="58"/>
        <v>869.8</v>
      </c>
    </row>
    <row r="610" spans="1:19" ht="21.75" customHeight="1">
      <c r="A610" s="95"/>
      <c r="B610" s="94"/>
      <c r="C610" s="93"/>
      <c r="D610" s="103"/>
      <c r="E610" s="98"/>
      <c r="F610" s="98"/>
      <c r="G610" s="85"/>
      <c r="H610" s="183" t="s">
        <v>435</v>
      </c>
      <c r="I610" s="24">
        <v>27</v>
      </c>
      <c r="J610" s="6">
        <v>10</v>
      </c>
      <c r="K610" s="25">
        <v>3</v>
      </c>
      <c r="L610" s="117" t="s">
        <v>424</v>
      </c>
      <c r="M610" s="118" t="s">
        <v>347</v>
      </c>
      <c r="N610" s="118" t="s">
        <v>361</v>
      </c>
      <c r="O610" s="118" t="s">
        <v>31</v>
      </c>
      <c r="P610" s="5"/>
      <c r="Q610" s="195">
        <f>Q611</f>
        <v>899.5</v>
      </c>
      <c r="R610" s="195">
        <f t="shared" si="58"/>
        <v>899.5</v>
      </c>
      <c r="S610" s="195">
        <f t="shared" si="58"/>
        <v>869.8</v>
      </c>
    </row>
    <row r="611" spans="1:19" ht="29.25" customHeight="1">
      <c r="A611" s="95"/>
      <c r="B611" s="94"/>
      <c r="C611" s="93"/>
      <c r="D611" s="103"/>
      <c r="E611" s="98"/>
      <c r="F611" s="98"/>
      <c r="G611" s="85"/>
      <c r="H611" s="32" t="s">
        <v>459</v>
      </c>
      <c r="I611" s="24">
        <v>27</v>
      </c>
      <c r="J611" s="6">
        <v>10</v>
      </c>
      <c r="K611" s="25">
        <v>3</v>
      </c>
      <c r="L611" s="117" t="s">
        <v>424</v>
      </c>
      <c r="M611" s="118" t="s">
        <v>347</v>
      </c>
      <c r="N611" s="118" t="s">
        <v>361</v>
      </c>
      <c r="O611" s="118" t="s">
        <v>31</v>
      </c>
      <c r="P611" s="5">
        <v>320</v>
      </c>
      <c r="Q611" s="195">
        <f>'Приложение 8'!Q354</f>
        <v>899.5</v>
      </c>
      <c r="R611" s="195">
        <v>899.5</v>
      </c>
      <c r="S611" s="195">
        <v>869.8</v>
      </c>
    </row>
    <row r="612" spans="1:19" ht="37.5" customHeight="1">
      <c r="A612" s="93"/>
      <c r="B612" s="94"/>
      <c r="C612" s="93"/>
      <c r="D612" s="107"/>
      <c r="E612" s="110"/>
      <c r="F612" s="110"/>
      <c r="G612" s="85"/>
      <c r="H612" s="10" t="s">
        <v>746</v>
      </c>
      <c r="I612" s="9">
        <v>664</v>
      </c>
      <c r="J612" s="15">
        <v>10</v>
      </c>
      <c r="K612" s="15">
        <v>3</v>
      </c>
      <c r="L612" s="91" t="s">
        <v>744</v>
      </c>
      <c r="M612" s="92" t="s">
        <v>347</v>
      </c>
      <c r="N612" s="92" t="s">
        <v>357</v>
      </c>
      <c r="O612" s="92" t="s">
        <v>392</v>
      </c>
      <c r="P612" s="22"/>
      <c r="Q612" s="200">
        <f>Q613</f>
        <v>7372.200000000001</v>
      </c>
      <c r="R612" s="200">
        <f aca="true" t="shared" si="59" ref="R612:S614">R613</f>
        <v>5141.6</v>
      </c>
      <c r="S612" s="200">
        <f t="shared" si="59"/>
        <v>5141.6</v>
      </c>
    </row>
    <row r="613" spans="1:19" ht="50.25" customHeight="1">
      <c r="A613" s="93"/>
      <c r="B613" s="94"/>
      <c r="C613" s="93"/>
      <c r="D613" s="107"/>
      <c r="E613" s="110"/>
      <c r="F613" s="110"/>
      <c r="G613" s="85"/>
      <c r="H613" s="10" t="s">
        <v>745</v>
      </c>
      <c r="I613" s="9">
        <v>664</v>
      </c>
      <c r="J613" s="15">
        <v>10</v>
      </c>
      <c r="K613" s="15">
        <v>3</v>
      </c>
      <c r="L613" s="91" t="s">
        <v>744</v>
      </c>
      <c r="M613" s="92" t="s">
        <v>347</v>
      </c>
      <c r="N613" s="92" t="s">
        <v>747</v>
      </c>
      <c r="O613" s="92" t="s">
        <v>392</v>
      </c>
      <c r="P613" s="22"/>
      <c r="Q613" s="200">
        <f>Q614</f>
        <v>7372.200000000001</v>
      </c>
      <c r="R613" s="200">
        <f t="shared" si="59"/>
        <v>5141.6</v>
      </c>
      <c r="S613" s="200">
        <f t="shared" si="59"/>
        <v>5141.6</v>
      </c>
    </row>
    <row r="614" spans="1:19" ht="51" customHeight="1">
      <c r="A614" s="95"/>
      <c r="B614" s="94"/>
      <c r="C614" s="99"/>
      <c r="D614" s="97"/>
      <c r="E614" s="109"/>
      <c r="F614" s="109"/>
      <c r="G614" s="85"/>
      <c r="H614" s="10" t="s">
        <v>61</v>
      </c>
      <c r="I614" s="9">
        <v>664</v>
      </c>
      <c r="J614" s="15">
        <v>10</v>
      </c>
      <c r="K614" s="15">
        <v>3</v>
      </c>
      <c r="L614" s="91" t="s">
        <v>744</v>
      </c>
      <c r="M614" s="92" t="s">
        <v>347</v>
      </c>
      <c r="N614" s="92" t="s">
        <v>743</v>
      </c>
      <c r="O614" s="92" t="s">
        <v>518</v>
      </c>
      <c r="P614" s="9"/>
      <c r="Q614" s="195">
        <f>Q615</f>
        <v>7372.200000000001</v>
      </c>
      <c r="R614" s="195">
        <f t="shared" si="59"/>
        <v>5141.6</v>
      </c>
      <c r="S614" s="195">
        <f t="shared" si="59"/>
        <v>5141.6</v>
      </c>
    </row>
    <row r="615" spans="1:19" ht="27" customHeight="1">
      <c r="A615" s="95"/>
      <c r="B615" s="94"/>
      <c r="C615" s="99"/>
      <c r="D615" s="97"/>
      <c r="E615" s="109"/>
      <c r="F615" s="109"/>
      <c r="G615" s="85"/>
      <c r="H615" s="10" t="s">
        <v>459</v>
      </c>
      <c r="I615" s="9">
        <v>664</v>
      </c>
      <c r="J615" s="15">
        <v>10</v>
      </c>
      <c r="K615" s="15">
        <v>3</v>
      </c>
      <c r="L615" s="91" t="s">
        <v>744</v>
      </c>
      <c r="M615" s="92" t="s">
        <v>347</v>
      </c>
      <c r="N615" s="92" t="s">
        <v>743</v>
      </c>
      <c r="O615" s="92" t="s">
        <v>518</v>
      </c>
      <c r="P615" s="9">
        <v>320</v>
      </c>
      <c r="Q615" s="200">
        <f>'Приложение 8'!Q721</f>
        <v>7372.200000000001</v>
      </c>
      <c r="R615" s="200">
        <f>'Приложение 8'!R721</f>
        <v>5141.6</v>
      </c>
      <c r="S615" s="200">
        <f>'Приложение 8'!S721</f>
        <v>5141.6</v>
      </c>
    </row>
    <row r="616" spans="1:19" ht="41.25" customHeight="1">
      <c r="A616" s="95"/>
      <c r="B616" s="94"/>
      <c r="C616" s="93"/>
      <c r="D616" s="103"/>
      <c r="E616" s="98"/>
      <c r="F616" s="98"/>
      <c r="G616" s="85"/>
      <c r="H616" s="10" t="s">
        <v>53</v>
      </c>
      <c r="I616" s="24">
        <v>27</v>
      </c>
      <c r="J616" s="6">
        <v>10</v>
      </c>
      <c r="K616" s="25">
        <v>3</v>
      </c>
      <c r="L616" s="117" t="s">
        <v>559</v>
      </c>
      <c r="M616" s="118" t="s">
        <v>347</v>
      </c>
      <c r="N616" s="118" t="s">
        <v>357</v>
      </c>
      <c r="O616" s="118" t="s">
        <v>392</v>
      </c>
      <c r="P616" s="5"/>
      <c r="Q616" s="197">
        <f>Q617+Q624</f>
        <v>3112.5</v>
      </c>
      <c r="R616" s="197">
        <f>R617+R624</f>
        <v>1677.4</v>
      </c>
      <c r="S616" s="197">
        <f>S617+S624</f>
        <v>1680</v>
      </c>
    </row>
    <row r="617" spans="1:19" ht="39" customHeight="1">
      <c r="A617" s="95"/>
      <c r="B617" s="94"/>
      <c r="C617" s="93"/>
      <c r="D617" s="103"/>
      <c r="E617" s="98"/>
      <c r="F617" s="98"/>
      <c r="G617" s="85"/>
      <c r="H617" s="32" t="s">
        <v>55</v>
      </c>
      <c r="I617" s="24">
        <v>27</v>
      </c>
      <c r="J617" s="6">
        <v>10</v>
      </c>
      <c r="K617" s="25">
        <v>3</v>
      </c>
      <c r="L617" s="117" t="s">
        <v>559</v>
      </c>
      <c r="M617" s="118" t="s">
        <v>347</v>
      </c>
      <c r="N617" s="118" t="s">
        <v>365</v>
      </c>
      <c r="O617" s="118" t="s">
        <v>392</v>
      </c>
      <c r="P617" s="5"/>
      <c r="Q617" s="197">
        <f>Q620+Q622+Q618</f>
        <v>2752.5</v>
      </c>
      <c r="R617" s="197">
        <f>R620+R622</f>
        <v>1317.4</v>
      </c>
      <c r="S617" s="197">
        <f>S620+S622</f>
        <v>1320</v>
      </c>
    </row>
    <row r="618" spans="1:19" ht="69" customHeight="1">
      <c r="A618" s="95"/>
      <c r="B618" s="94"/>
      <c r="C618" s="93"/>
      <c r="D618" s="103"/>
      <c r="E618" s="98"/>
      <c r="F618" s="98"/>
      <c r="G618" s="85"/>
      <c r="H618" s="32" t="str">
        <f>'Приложение 8'!H357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18" s="24">
        <f>'Приложение 8'!I357</f>
        <v>27</v>
      </c>
      <c r="J618" s="6">
        <f>'Приложение 8'!J357</f>
        <v>10</v>
      </c>
      <c r="K618" s="25">
        <f>'Приложение 8'!K357</f>
        <v>3</v>
      </c>
      <c r="L618" s="117" t="str">
        <f>'Приложение 8'!L357</f>
        <v>50</v>
      </c>
      <c r="M618" s="118" t="str">
        <f>'Приложение 8'!M357</f>
        <v>0</v>
      </c>
      <c r="N618" s="118" t="str">
        <f>'Приложение 8'!N357</f>
        <v>02</v>
      </c>
      <c r="O618" s="118" t="str">
        <f>'Приложение 8'!O357</f>
        <v>51340</v>
      </c>
      <c r="P618" s="5" t="s">
        <v>393</v>
      </c>
      <c r="Q618" s="197">
        <f>'Приложение 8'!Q357</f>
        <v>680.6</v>
      </c>
      <c r="R618" s="197">
        <f>'Приложение 8'!R357</f>
        <v>0</v>
      </c>
      <c r="S618" s="197">
        <f>'Приложение 8'!S357</f>
        <v>0</v>
      </c>
    </row>
    <row r="619" spans="1:19" ht="21.75" customHeight="1">
      <c r="A619" s="95"/>
      <c r="B619" s="94"/>
      <c r="C619" s="93"/>
      <c r="D619" s="103"/>
      <c r="E619" s="98"/>
      <c r="F619" s="98"/>
      <c r="G619" s="85"/>
      <c r="H619" s="32" t="str">
        <f>'Приложение 8'!H358</f>
        <v>Социальные выплаты гражданам, кроме публичных нормативных социальных выплат</v>
      </c>
      <c r="I619" s="24">
        <f>'Приложение 8'!I358</f>
        <v>27</v>
      </c>
      <c r="J619" s="6">
        <f>'Приложение 8'!J358</f>
        <v>10</v>
      </c>
      <c r="K619" s="25">
        <f>'Приложение 8'!K358</f>
        <v>3</v>
      </c>
      <c r="L619" s="117" t="str">
        <f>'Приложение 8'!L358</f>
        <v>50</v>
      </c>
      <c r="M619" s="118" t="str">
        <f>'Приложение 8'!M358</f>
        <v>0</v>
      </c>
      <c r="N619" s="118" t="str">
        <f>'Приложение 8'!N358</f>
        <v>02</v>
      </c>
      <c r="O619" s="118" t="str">
        <f>'Приложение 8'!O358</f>
        <v>51340</v>
      </c>
      <c r="P619" s="5">
        <f>'Приложение 8'!P358</f>
        <v>320</v>
      </c>
      <c r="Q619" s="197">
        <f>'Приложение 8'!Q358</f>
        <v>680.6</v>
      </c>
      <c r="R619" s="197">
        <f>'Приложение 8'!R358</f>
        <v>0</v>
      </c>
      <c r="S619" s="197">
        <f>'Приложение 8'!S358</f>
        <v>0</v>
      </c>
    </row>
    <row r="620" spans="1:19" ht="57.75" customHeight="1">
      <c r="A620" s="95"/>
      <c r="B620" s="94"/>
      <c r="C620" s="93"/>
      <c r="D620" s="371">
        <v>5220000</v>
      </c>
      <c r="E620" s="372"/>
      <c r="F620" s="372"/>
      <c r="G620" s="85">
        <v>612</v>
      </c>
      <c r="H620" s="10" t="s">
        <v>325</v>
      </c>
      <c r="I620" s="5">
        <v>27</v>
      </c>
      <c r="J620" s="6">
        <v>10</v>
      </c>
      <c r="K620" s="15">
        <v>3</v>
      </c>
      <c r="L620" s="91" t="s">
        <v>559</v>
      </c>
      <c r="M620" s="92" t="s">
        <v>347</v>
      </c>
      <c r="N620" s="92" t="s">
        <v>365</v>
      </c>
      <c r="O620" s="119" t="s">
        <v>401</v>
      </c>
      <c r="P620" s="7"/>
      <c r="Q620" s="197">
        <f>Q621</f>
        <v>1384.3</v>
      </c>
      <c r="R620" s="197">
        <f>R621</f>
        <v>663</v>
      </c>
      <c r="S620" s="197">
        <f>S621</f>
        <v>666.6</v>
      </c>
    </row>
    <row r="621" spans="1:19" ht="28.5" customHeight="1">
      <c r="A621" s="95"/>
      <c r="B621" s="94"/>
      <c r="C621" s="93"/>
      <c r="D621" s="97"/>
      <c r="E621" s="96"/>
      <c r="F621" s="96"/>
      <c r="G621" s="85"/>
      <c r="H621" s="10" t="s">
        <v>459</v>
      </c>
      <c r="I621" s="5">
        <v>27</v>
      </c>
      <c r="J621" s="6">
        <v>10</v>
      </c>
      <c r="K621" s="15">
        <v>3</v>
      </c>
      <c r="L621" s="91" t="s">
        <v>559</v>
      </c>
      <c r="M621" s="92" t="s">
        <v>347</v>
      </c>
      <c r="N621" s="92" t="s">
        <v>365</v>
      </c>
      <c r="O621" s="119" t="s">
        <v>401</v>
      </c>
      <c r="P621" s="12">
        <v>320</v>
      </c>
      <c r="Q621" s="195">
        <f>'Приложение 8'!Q360</f>
        <v>1384.3</v>
      </c>
      <c r="R621" s="195">
        <v>663</v>
      </c>
      <c r="S621" s="195">
        <v>666.6</v>
      </c>
    </row>
    <row r="622" spans="1:19" ht="42" customHeight="1">
      <c r="A622" s="95"/>
      <c r="B622" s="94"/>
      <c r="C622" s="99"/>
      <c r="D622" s="97"/>
      <c r="E622" s="109"/>
      <c r="F622" s="109"/>
      <c r="G622" s="85"/>
      <c r="H622" s="10" t="s">
        <v>52</v>
      </c>
      <c r="I622" s="9">
        <v>27</v>
      </c>
      <c r="J622" s="6">
        <v>10</v>
      </c>
      <c r="K622" s="15">
        <v>3</v>
      </c>
      <c r="L622" s="91" t="s">
        <v>559</v>
      </c>
      <c r="M622" s="92" t="s">
        <v>347</v>
      </c>
      <c r="N622" s="92" t="s">
        <v>365</v>
      </c>
      <c r="O622" s="92" t="s">
        <v>51</v>
      </c>
      <c r="P622" s="9"/>
      <c r="Q622" s="195">
        <f>Q623</f>
        <v>687.6</v>
      </c>
      <c r="R622" s="195">
        <f>R623</f>
        <v>654.4</v>
      </c>
      <c r="S622" s="195">
        <f>S623</f>
        <v>653.4</v>
      </c>
    </row>
    <row r="623" spans="1:19" ht="32.25" customHeight="1">
      <c r="A623" s="95"/>
      <c r="B623" s="94"/>
      <c r="C623" s="99"/>
      <c r="D623" s="97"/>
      <c r="E623" s="109"/>
      <c r="F623" s="109"/>
      <c r="G623" s="85"/>
      <c r="H623" s="10" t="s">
        <v>459</v>
      </c>
      <c r="I623" s="9">
        <v>27</v>
      </c>
      <c r="J623" s="6">
        <v>10</v>
      </c>
      <c r="K623" s="15">
        <v>3</v>
      </c>
      <c r="L623" s="91" t="s">
        <v>559</v>
      </c>
      <c r="M623" s="92" t="s">
        <v>347</v>
      </c>
      <c r="N623" s="92" t="s">
        <v>365</v>
      </c>
      <c r="O623" s="92" t="s">
        <v>51</v>
      </c>
      <c r="P623" s="9">
        <v>320</v>
      </c>
      <c r="Q623" s="195">
        <f>'Приложение 8'!Q362</f>
        <v>687.6</v>
      </c>
      <c r="R623" s="211">
        <v>654.4</v>
      </c>
      <c r="S623" s="211">
        <v>653.4</v>
      </c>
    </row>
    <row r="624" spans="1:19" ht="32.25" customHeight="1">
      <c r="A624" s="95"/>
      <c r="B624" s="94"/>
      <c r="C624" s="99"/>
      <c r="D624" s="97"/>
      <c r="E624" s="109"/>
      <c r="F624" s="109"/>
      <c r="G624" s="85"/>
      <c r="H624" s="10" t="s">
        <v>56</v>
      </c>
      <c r="I624" s="9">
        <v>27</v>
      </c>
      <c r="J624" s="6">
        <v>10</v>
      </c>
      <c r="K624" s="15">
        <v>3</v>
      </c>
      <c r="L624" s="91" t="s">
        <v>559</v>
      </c>
      <c r="M624" s="92" t="s">
        <v>347</v>
      </c>
      <c r="N624" s="92" t="s">
        <v>361</v>
      </c>
      <c r="O624" s="92" t="s">
        <v>392</v>
      </c>
      <c r="P624" s="9"/>
      <c r="Q624" s="195">
        <f aca="true" t="shared" si="60" ref="Q624:S625">Q625</f>
        <v>360</v>
      </c>
      <c r="R624" s="211">
        <f t="shared" si="60"/>
        <v>360</v>
      </c>
      <c r="S624" s="211">
        <f t="shared" si="60"/>
        <v>360</v>
      </c>
    </row>
    <row r="625" spans="1:19" ht="27" customHeight="1">
      <c r="A625" s="95"/>
      <c r="B625" s="94"/>
      <c r="C625" s="99"/>
      <c r="D625" s="97"/>
      <c r="E625" s="109"/>
      <c r="F625" s="109"/>
      <c r="G625" s="85"/>
      <c r="H625" s="4" t="s">
        <v>70</v>
      </c>
      <c r="I625" s="5">
        <v>27</v>
      </c>
      <c r="J625" s="6">
        <v>10</v>
      </c>
      <c r="K625" s="15">
        <v>3</v>
      </c>
      <c r="L625" s="91" t="s">
        <v>559</v>
      </c>
      <c r="M625" s="92" t="s">
        <v>347</v>
      </c>
      <c r="N625" s="92" t="s">
        <v>361</v>
      </c>
      <c r="O625" s="92" t="s">
        <v>69</v>
      </c>
      <c r="P625" s="5"/>
      <c r="Q625" s="195">
        <f t="shared" si="60"/>
        <v>360</v>
      </c>
      <c r="R625" s="195">
        <f t="shared" si="60"/>
        <v>360</v>
      </c>
      <c r="S625" s="195">
        <f t="shared" si="60"/>
        <v>360</v>
      </c>
    </row>
    <row r="626" spans="1:19" ht="27" customHeight="1">
      <c r="A626" s="95"/>
      <c r="B626" s="94"/>
      <c r="C626" s="99"/>
      <c r="D626" s="97"/>
      <c r="E626" s="109"/>
      <c r="F626" s="109"/>
      <c r="G626" s="85"/>
      <c r="H626" s="4" t="s">
        <v>458</v>
      </c>
      <c r="I626" s="7">
        <v>27</v>
      </c>
      <c r="J626" s="6">
        <v>10</v>
      </c>
      <c r="K626" s="15">
        <v>3</v>
      </c>
      <c r="L626" s="91" t="s">
        <v>559</v>
      </c>
      <c r="M626" s="92" t="s">
        <v>347</v>
      </c>
      <c r="N626" s="92" t="s">
        <v>361</v>
      </c>
      <c r="O626" s="92" t="s">
        <v>69</v>
      </c>
      <c r="P626" s="5">
        <v>310</v>
      </c>
      <c r="Q626" s="195">
        <v>360</v>
      </c>
      <c r="R626" s="195">
        <v>360</v>
      </c>
      <c r="S626" s="195">
        <v>360</v>
      </c>
    </row>
    <row r="627" spans="1:19" s="171" customFormat="1" ht="18.75" customHeight="1">
      <c r="A627" s="135"/>
      <c r="B627" s="136"/>
      <c r="C627" s="146"/>
      <c r="D627" s="143"/>
      <c r="E627" s="373">
        <v>3150300</v>
      </c>
      <c r="F627" s="373"/>
      <c r="G627" s="129">
        <v>850</v>
      </c>
      <c r="H627" s="130" t="s">
        <v>125</v>
      </c>
      <c r="I627" s="131">
        <v>663</v>
      </c>
      <c r="J627" s="132">
        <v>10</v>
      </c>
      <c r="K627" s="132">
        <v>4</v>
      </c>
      <c r="L627" s="133" t="s">
        <v>320</v>
      </c>
      <c r="M627" s="134" t="s">
        <v>320</v>
      </c>
      <c r="N627" s="134"/>
      <c r="O627" s="134" t="s">
        <v>320</v>
      </c>
      <c r="P627" s="131" t="s">
        <v>320</v>
      </c>
      <c r="Q627" s="194">
        <f aca="true" t="shared" si="61" ref="Q627:S629">Q628</f>
        <v>3455.4</v>
      </c>
      <c r="R627" s="194">
        <f t="shared" si="61"/>
        <v>3455.4</v>
      </c>
      <c r="S627" s="194">
        <f t="shared" si="61"/>
        <v>3455.4</v>
      </c>
    </row>
    <row r="628" spans="1:19" ht="34.5" customHeight="1">
      <c r="A628" s="95"/>
      <c r="B628" s="94"/>
      <c r="C628" s="99"/>
      <c r="D628" s="97"/>
      <c r="E628" s="362">
        <v>5221300</v>
      </c>
      <c r="F628" s="362"/>
      <c r="G628" s="85">
        <v>410</v>
      </c>
      <c r="H628" s="223" t="s">
        <v>649</v>
      </c>
      <c r="I628" s="9">
        <v>663</v>
      </c>
      <c r="J628" s="15">
        <v>10</v>
      </c>
      <c r="K628" s="15">
        <v>4</v>
      </c>
      <c r="L628" s="91" t="s">
        <v>60</v>
      </c>
      <c r="M628" s="92" t="s">
        <v>347</v>
      </c>
      <c r="N628" s="92" t="s">
        <v>357</v>
      </c>
      <c r="O628" s="92" t="s">
        <v>392</v>
      </c>
      <c r="P628" s="9" t="s">
        <v>320</v>
      </c>
      <c r="Q628" s="195">
        <f t="shared" si="61"/>
        <v>3455.4</v>
      </c>
      <c r="R628" s="195">
        <f t="shared" si="61"/>
        <v>3455.4</v>
      </c>
      <c r="S628" s="195">
        <f t="shared" si="61"/>
        <v>3455.4</v>
      </c>
    </row>
    <row r="629" spans="1:19" ht="29.25" customHeight="1">
      <c r="A629" s="95"/>
      <c r="B629" s="94"/>
      <c r="C629" s="99"/>
      <c r="D629" s="97"/>
      <c r="E629" s="100"/>
      <c r="F629" s="100"/>
      <c r="G629" s="85"/>
      <c r="H629" s="53" t="s">
        <v>95</v>
      </c>
      <c r="I629" s="9">
        <v>663</v>
      </c>
      <c r="J629" s="15">
        <v>10</v>
      </c>
      <c r="K629" s="15">
        <v>4</v>
      </c>
      <c r="L629" s="91" t="s">
        <v>60</v>
      </c>
      <c r="M629" s="92" t="s">
        <v>347</v>
      </c>
      <c r="N629" s="92" t="s">
        <v>348</v>
      </c>
      <c r="O629" s="92" t="s">
        <v>392</v>
      </c>
      <c r="P629" s="9"/>
      <c r="Q629" s="195">
        <f t="shared" si="61"/>
        <v>3455.4</v>
      </c>
      <c r="R629" s="195">
        <f t="shared" si="61"/>
        <v>3455.4</v>
      </c>
      <c r="S629" s="195">
        <f t="shared" si="61"/>
        <v>3455.4</v>
      </c>
    </row>
    <row r="630" spans="1:19" ht="48" customHeight="1">
      <c r="A630" s="95"/>
      <c r="B630" s="94"/>
      <c r="C630" s="99"/>
      <c r="D630" s="97"/>
      <c r="E630" s="100"/>
      <c r="F630" s="100"/>
      <c r="G630" s="85"/>
      <c r="H630" s="224" t="s">
        <v>89</v>
      </c>
      <c r="I630" s="9">
        <v>663</v>
      </c>
      <c r="J630" s="6">
        <v>10</v>
      </c>
      <c r="K630" s="15">
        <v>4</v>
      </c>
      <c r="L630" s="91" t="s">
        <v>60</v>
      </c>
      <c r="M630" s="92" t="s">
        <v>347</v>
      </c>
      <c r="N630" s="92" t="s">
        <v>348</v>
      </c>
      <c r="O630" s="92" t="s">
        <v>88</v>
      </c>
      <c r="P630" s="9"/>
      <c r="Q630" s="195">
        <f>Q632+Q631</f>
        <v>3455.4</v>
      </c>
      <c r="R630" s="195">
        <f>R632+R631</f>
        <v>3455.4</v>
      </c>
      <c r="S630" s="195">
        <f>S632+S631</f>
        <v>3455.4</v>
      </c>
    </row>
    <row r="631" spans="1:19" ht="30" customHeight="1">
      <c r="A631" s="95"/>
      <c r="B631" s="94"/>
      <c r="C631" s="99"/>
      <c r="D631" s="97"/>
      <c r="E631" s="100"/>
      <c r="F631" s="100"/>
      <c r="G631" s="85"/>
      <c r="H631" s="228" t="str">
        <f>'Приложение 8'!H675</f>
        <v>Иные закупки товаров, работ и услуг для обеспечения государственных (муниципальных) нужд</v>
      </c>
      <c r="I631" s="9">
        <f>'Приложение 8'!I675</f>
        <v>663</v>
      </c>
      <c r="J631" s="6">
        <f>'Приложение 8'!J675</f>
        <v>10</v>
      </c>
      <c r="K631" s="15">
        <f>'Приложение 8'!K675</f>
        <v>4</v>
      </c>
      <c r="L631" s="91" t="str">
        <f>'Приложение 8'!L675</f>
        <v>30</v>
      </c>
      <c r="M631" s="92" t="str">
        <f>'Приложение 8'!M675</f>
        <v>0</v>
      </c>
      <c r="N631" s="92" t="str">
        <f>'Приложение 8'!N675</f>
        <v>01</v>
      </c>
      <c r="O631" s="92" t="str">
        <f>'Приложение 8'!O675</f>
        <v>72020</v>
      </c>
      <c r="P631" s="9">
        <f>'Приложение 8'!P675</f>
        <v>240</v>
      </c>
      <c r="Q631" s="195">
        <f>'Приложение 8'!Q675</f>
        <v>41.1</v>
      </c>
      <c r="R631" s="195">
        <f>'Приложение 8'!R675</f>
        <v>41.1</v>
      </c>
      <c r="S631" s="195">
        <f>'Приложение 8'!S675</f>
        <v>41.1</v>
      </c>
    </row>
    <row r="632" spans="1:19" ht="26.25" customHeight="1">
      <c r="A632" s="95"/>
      <c r="B632" s="94"/>
      <c r="C632" s="99"/>
      <c r="D632" s="97"/>
      <c r="E632" s="100"/>
      <c r="F632" s="100"/>
      <c r="G632" s="85"/>
      <c r="H632" s="228" t="s">
        <v>459</v>
      </c>
      <c r="I632" s="9">
        <v>663</v>
      </c>
      <c r="J632" s="6">
        <v>10</v>
      </c>
      <c r="K632" s="15">
        <v>4</v>
      </c>
      <c r="L632" s="91" t="s">
        <v>60</v>
      </c>
      <c r="M632" s="92" t="s">
        <v>347</v>
      </c>
      <c r="N632" s="92" t="s">
        <v>348</v>
      </c>
      <c r="O632" s="92" t="s">
        <v>88</v>
      </c>
      <c r="P632" s="9">
        <v>320</v>
      </c>
      <c r="Q632" s="195">
        <f>'Приложение 8'!Q676</f>
        <v>3414.3</v>
      </c>
      <c r="R632" s="195">
        <f>'Приложение 8'!R676</f>
        <v>3414.3</v>
      </c>
      <c r="S632" s="195">
        <f>'Приложение 8'!S676</f>
        <v>3414.3</v>
      </c>
    </row>
    <row r="633" spans="1:19" s="171" customFormat="1" ht="25.5" customHeight="1">
      <c r="A633" s="135"/>
      <c r="B633" s="136"/>
      <c r="C633" s="146"/>
      <c r="D633" s="143"/>
      <c r="E633" s="138"/>
      <c r="F633" s="138"/>
      <c r="G633" s="148">
        <v>622</v>
      </c>
      <c r="H633" s="142" t="s">
        <v>324</v>
      </c>
      <c r="I633" s="145">
        <v>27</v>
      </c>
      <c r="J633" s="141">
        <v>10</v>
      </c>
      <c r="K633" s="132">
        <v>6</v>
      </c>
      <c r="L633" s="177"/>
      <c r="M633" s="178"/>
      <c r="N633" s="178"/>
      <c r="O633" s="178"/>
      <c r="P633" s="139"/>
      <c r="Q633" s="198">
        <f>Q634</f>
        <v>1437.6</v>
      </c>
      <c r="R633" s="198">
        <f>R634</f>
        <v>1399.5</v>
      </c>
      <c r="S633" s="198">
        <f>S634</f>
        <v>1399.5</v>
      </c>
    </row>
    <row r="634" spans="1:19" s="171" customFormat="1" ht="25.5" customHeight="1">
      <c r="A634" s="135"/>
      <c r="B634" s="136"/>
      <c r="C634" s="146"/>
      <c r="D634" s="143"/>
      <c r="E634" s="138"/>
      <c r="F634" s="138"/>
      <c r="G634" s="129"/>
      <c r="H634" s="10" t="s">
        <v>53</v>
      </c>
      <c r="I634" s="5">
        <v>27</v>
      </c>
      <c r="J634" s="6">
        <v>10</v>
      </c>
      <c r="K634" s="15">
        <v>6</v>
      </c>
      <c r="L634" s="117" t="s">
        <v>559</v>
      </c>
      <c r="M634" s="118" t="s">
        <v>347</v>
      </c>
      <c r="N634" s="118" t="s">
        <v>357</v>
      </c>
      <c r="O634" s="118" t="s">
        <v>392</v>
      </c>
      <c r="P634" s="5"/>
      <c r="Q634" s="197">
        <f>Q635+Q639</f>
        <v>1437.6</v>
      </c>
      <c r="R634" s="197">
        <f>R635+R639</f>
        <v>1399.5</v>
      </c>
      <c r="S634" s="197">
        <f>S635+S639</f>
        <v>1399.5</v>
      </c>
    </row>
    <row r="635" spans="1:19" s="171" customFormat="1" ht="25.5" customHeight="1">
      <c r="A635" s="135"/>
      <c r="B635" s="136"/>
      <c r="C635" s="146"/>
      <c r="D635" s="143"/>
      <c r="E635" s="138"/>
      <c r="F635" s="138"/>
      <c r="G635" s="129"/>
      <c r="H635" s="10" t="s">
        <v>55</v>
      </c>
      <c r="I635" s="9">
        <v>27</v>
      </c>
      <c r="J635" s="6">
        <v>10</v>
      </c>
      <c r="K635" s="15">
        <v>6</v>
      </c>
      <c r="L635" s="117" t="s">
        <v>559</v>
      </c>
      <c r="M635" s="118" t="s">
        <v>347</v>
      </c>
      <c r="N635" s="118" t="s">
        <v>365</v>
      </c>
      <c r="O635" s="118" t="s">
        <v>392</v>
      </c>
      <c r="P635" s="5"/>
      <c r="Q635" s="197">
        <f>Q636</f>
        <v>1335.6</v>
      </c>
      <c r="R635" s="197">
        <f>R636</f>
        <v>1304.5</v>
      </c>
      <c r="S635" s="197">
        <f>S636</f>
        <v>1304.5</v>
      </c>
    </row>
    <row r="636" spans="1:19" ht="30.75" customHeight="1">
      <c r="A636" s="95"/>
      <c r="B636" s="94"/>
      <c r="C636" s="99"/>
      <c r="D636" s="97"/>
      <c r="E636" s="100"/>
      <c r="F636" s="100"/>
      <c r="G636" s="85"/>
      <c r="H636" s="10" t="s">
        <v>538</v>
      </c>
      <c r="I636" s="9">
        <v>27</v>
      </c>
      <c r="J636" s="6">
        <v>10</v>
      </c>
      <c r="K636" s="15">
        <v>6</v>
      </c>
      <c r="L636" s="91" t="s">
        <v>559</v>
      </c>
      <c r="M636" s="92" t="s">
        <v>347</v>
      </c>
      <c r="N636" s="92" t="s">
        <v>365</v>
      </c>
      <c r="O636" s="92" t="s">
        <v>537</v>
      </c>
      <c r="P636" s="5"/>
      <c r="Q636" s="197">
        <f>Q637+Q638</f>
        <v>1335.6</v>
      </c>
      <c r="R636" s="197">
        <f>R637+R638</f>
        <v>1304.5</v>
      </c>
      <c r="S636" s="197">
        <f>S637+S638</f>
        <v>1304.5</v>
      </c>
    </row>
    <row r="637" spans="1:19" ht="26.25" customHeight="1">
      <c r="A637" s="95"/>
      <c r="B637" s="94"/>
      <c r="C637" s="99"/>
      <c r="D637" s="97"/>
      <c r="E637" s="100"/>
      <c r="F637" s="100"/>
      <c r="G637" s="85"/>
      <c r="H637" s="10" t="s">
        <v>319</v>
      </c>
      <c r="I637" s="9">
        <v>27</v>
      </c>
      <c r="J637" s="6">
        <v>10</v>
      </c>
      <c r="K637" s="15">
        <v>6</v>
      </c>
      <c r="L637" s="91" t="s">
        <v>559</v>
      </c>
      <c r="M637" s="92" t="s">
        <v>347</v>
      </c>
      <c r="N637" s="92" t="s">
        <v>365</v>
      </c>
      <c r="O637" s="92" t="s">
        <v>537</v>
      </c>
      <c r="P637" s="5">
        <v>120</v>
      </c>
      <c r="Q637" s="197">
        <f>'Приложение 8'!Q370</f>
        <v>1307.8</v>
      </c>
      <c r="R637" s="211">
        <v>1276.7</v>
      </c>
      <c r="S637" s="211">
        <v>1276.7</v>
      </c>
    </row>
    <row r="638" spans="1:19" ht="26.25" customHeight="1">
      <c r="A638" s="95"/>
      <c r="B638" s="94"/>
      <c r="C638" s="99"/>
      <c r="D638" s="103"/>
      <c r="E638" s="100"/>
      <c r="F638" s="100"/>
      <c r="G638" s="85"/>
      <c r="H638" s="188" t="s">
        <v>454</v>
      </c>
      <c r="I638" s="9">
        <v>27</v>
      </c>
      <c r="J638" s="6">
        <v>10</v>
      </c>
      <c r="K638" s="15">
        <v>6</v>
      </c>
      <c r="L638" s="91" t="s">
        <v>559</v>
      </c>
      <c r="M638" s="92" t="s">
        <v>347</v>
      </c>
      <c r="N638" s="92" t="s">
        <v>365</v>
      </c>
      <c r="O638" s="92" t="s">
        <v>537</v>
      </c>
      <c r="P638" s="5">
        <v>240</v>
      </c>
      <c r="Q638" s="197">
        <v>27.8</v>
      </c>
      <c r="R638" s="211">
        <v>27.8</v>
      </c>
      <c r="S638" s="211">
        <v>27.8</v>
      </c>
    </row>
    <row r="639" spans="1:19" ht="26.25" customHeight="1">
      <c r="A639" s="95"/>
      <c r="B639" s="94"/>
      <c r="C639" s="99"/>
      <c r="D639" s="103"/>
      <c r="E639" s="100"/>
      <c r="F639" s="100"/>
      <c r="G639" s="85"/>
      <c r="H639" s="17" t="s">
        <v>56</v>
      </c>
      <c r="I639" s="9">
        <v>27</v>
      </c>
      <c r="J639" s="6">
        <v>10</v>
      </c>
      <c r="K639" s="15">
        <v>6</v>
      </c>
      <c r="L639" s="91" t="s">
        <v>559</v>
      </c>
      <c r="M639" s="92" t="s">
        <v>347</v>
      </c>
      <c r="N639" s="92" t="s">
        <v>361</v>
      </c>
      <c r="O639" s="92" t="s">
        <v>392</v>
      </c>
      <c r="P639" s="5"/>
      <c r="Q639" s="197">
        <f>Q640+Q642</f>
        <v>102</v>
      </c>
      <c r="R639" s="197">
        <f>R640+R642</f>
        <v>95</v>
      </c>
      <c r="S639" s="197">
        <f>S640+S642</f>
        <v>95</v>
      </c>
    </row>
    <row r="640" spans="1:19" ht="30.75" customHeight="1">
      <c r="A640" s="95"/>
      <c r="B640" s="94"/>
      <c r="C640" s="99"/>
      <c r="D640" s="97"/>
      <c r="E640" s="362">
        <v>5225700</v>
      </c>
      <c r="F640" s="362"/>
      <c r="G640" s="85">
        <v>612</v>
      </c>
      <c r="H640" s="10" t="s">
        <v>588</v>
      </c>
      <c r="I640" s="9">
        <v>27</v>
      </c>
      <c r="J640" s="15">
        <v>10</v>
      </c>
      <c r="K640" s="15">
        <v>6</v>
      </c>
      <c r="L640" s="91" t="s">
        <v>559</v>
      </c>
      <c r="M640" s="92" t="s">
        <v>347</v>
      </c>
      <c r="N640" s="92" t="s">
        <v>361</v>
      </c>
      <c r="O640" s="92" t="s">
        <v>587</v>
      </c>
      <c r="P640" s="5"/>
      <c r="Q640" s="197">
        <f>Q641</f>
        <v>45</v>
      </c>
      <c r="R640" s="197">
        <f>R641</f>
        <v>45</v>
      </c>
      <c r="S640" s="197">
        <f>S641</f>
        <v>45</v>
      </c>
    </row>
    <row r="641" spans="1:19" ht="21.75" customHeight="1">
      <c r="A641" s="95"/>
      <c r="B641" s="94"/>
      <c r="C641" s="99"/>
      <c r="D641" s="97"/>
      <c r="E641" s="100"/>
      <c r="F641" s="100"/>
      <c r="G641" s="85"/>
      <c r="H641" s="4" t="s">
        <v>310</v>
      </c>
      <c r="I641" s="9">
        <v>27</v>
      </c>
      <c r="J641" s="15">
        <v>10</v>
      </c>
      <c r="K641" s="15">
        <v>6</v>
      </c>
      <c r="L641" s="91" t="s">
        <v>559</v>
      </c>
      <c r="M641" s="92" t="s">
        <v>347</v>
      </c>
      <c r="N641" s="92" t="s">
        <v>361</v>
      </c>
      <c r="O641" s="92" t="s">
        <v>587</v>
      </c>
      <c r="P641" s="9">
        <v>630</v>
      </c>
      <c r="Q641" s="195">
        <v>45</v>
      </c>
      <c r="R641" s="195">
        <v>45</v>
      </c>
      <c r="S641" s="195">
        <v>45</v>
      </c>
    </row>
    <row r="642" spans="1:19" ht="21.75" customHeight="1">
      <c r="A642" s="95"/>
      <c r="B642" s="94"/>
      <c r="C642" s="99"/>
      <c r="D642" s="103"/>
      <c r="E642" s="100"/>
      <c r="F642" s="100"/>
      <c r="G642" s="85"/>
      <c r="H642" s="4" t="s">
        <v>622</v>
      </c>
      <c r="I642" s="9">
        <v>27</v>
      </c>
      <c r="J642" s="15">
        <v>10</v>
      </c>
      <c r="K642" s="15">
        <v>6</v>
      </c>
      <c r="L642" s="91" t="s">
        <v>559</v>
      </c>
      <c r="M642" s="92" t="s">
        <v>347</v>
      </c>
      <c r="N642" s="92" t="s">
        <v>361</v>
      </c>
      <c r="O642" s="92" t="s">
        <v>59</v>
      </c>
      <c r="P642" s="5"/>
      <c r="Q642" s="197">
        <f>Q643</f>
        <v>57</v>
      </c>
      <c r="R642" s="197">
        <f>R643</f>
        <v>50</v>
      </c>
      <c r="S642" s="197">
        <f>S643</f>
        <v>50</v>
      </c>
    </row>
    <row r="643" spans="1:19" ht="21.75" customHeight="1">
      <c r="A643" s="95"/>
      <c r="B643" s="94"/>
      <c r="C643" s="99"/>
      <c r="D643" s="103"/>
      <c r="E643" s="100"/>
      <c r="F643" s="100"/>
      <c r="G643" s="85"/>
      <c r="H643" s="188" t="s">
        <v>454</v>
      </c>
      <c r="I643" s="22">
        <v>27</v>
      </c>
      <c r="J643" s="323">
        <v>10</v>
      </c>
      <c r="K643" s="15">
        <v>6</v>
      </c>
      <c r="L643" s="91" t="s">
        <v>559</v>
      </c>
      <c r="M643" s="92" t="s">
        <v>347</v>
      </c>
      <c r="N643" s="92" t="s">
        <v>361</v>
      </c>
      <c r="O643" s="92" t="s">
        <v>59</v>
      </c>
      <c r="P643" s="5">
        <v>240</v>
      </c>
      <c r="Q643" s="197">
        <f>'Приложение 8'!Q376</f>
        <v>57</v>
      </c>
      <c r="R643" s="197">
        <v>50</v>
      </c>
      <c r="S643" s="197">
        <v>50</v>
      </c>
    </row>
    <row r="644" spans="1:19" s="171" customFormat="1" ht="18.75" customHeight="1">
      <c r="A644" s="135"/>
      <c r="B644" s="136"/>
      <c r="C644" s="146"/>
      <c r="D644" s="137"/>
      <c r="E644" s="138"/>
      <c r="F644" s="138"/>
      <c r="G644" s="148">
        <v>612</v>
      </c>
      <c r="H644" s="142" t="s">
        <v>323</v>
      </c>
      <c r="I644" s="145">
        <v>27</v>
      </c>
      <c r="J644" s="149">
        <v>11</v>
      </c>
      <c r="K644" s="132"/>
      <c r="L644" s="133"/>
      <c r="M644" s="134"/>
      <c r="N644" s="134"/>
      <c r="O644" s="134"/>
      <c r="P644" s="139"/>
      <c r="Q644" s="198">
        <f>Q645</f>
        <v>49439.600000000006</v>
      </c>
      <c r="R644" s="198">
        <f>R645</f>
        <v>11807.6</v>
      </c>
      <c r="S644" s="198">
        <f>S645</f>
        <v>8352</v>
      </c>
    </row>
    <row r="645" spans="1:19" s="171" customFormat="1" ht="19.5" customHeight="1">
      <c r="A645" s="135"/>
      <c r="B645" s="136"/>
      <c r="C645" s="135"/>
      <c r="D645" s="363">
        <v>5250000</v>
      </c>
      <c r="E645" s="364"/>
      <c r="F645" s="364"/>
      <c r="G645" s="129">
        <v>530</v>
      </c>
      <c r="H645" s="130" t="s">
        <v>126</v>
      </c>
      <c r="I645" s="131">
        <v>27</v>
      </c>
      <c r="J645" s="132">
        <v>11</v>
      </c>
      <c r="K645" s="132">
        <v>1</v>
      </c>
      <c r="L645" s="133"/>
      <c r="M645" s="134"/>
      <c r="N645" s="134"/>
      <c r="O645" s="134"/>
      <c r="P645" s="131"/>
      <c r="Q645" s="285">
        <f>Q650+Q646</f>
        <v>49439.600000000006</v>
      </c>
      <c r="R645" s="285">
        <f>R650</f>
        <v>11807.6</v>
      </c>
      <c r="S645" s="285">
        <f>S650</f>
        <v>8352</v>
      </c>
    </row>
    <row r="646" spans="1:19" s="171" customFormat="1" ht="39.75" customHeight="1">
      <c r="A646" s="135"/>
      <c r="B646" s="136"/>
      <c r="C646" s="135"/>
      <c r="D646" s="143"/>
      <c r="E646" s="320"/>
      <c r="F646" s="320"/>
      <c r="G646" s="129"/>
      <c r="H646" s="10" t="s">
        <v>865</v>
      </c>
      <c r="I646" s="9">
        <v>27</v>
      </c>
      <c r="J646" s="15">
        <v>11</v>
      </c>
      <c r="K646" s="15">
        <v>1</v>
      </c>
      <c r="L646" s="91" t="s">
        <v>442</v>
      </c>
      <c r="M646" s="92" t="s">
        <v>347</v>
      </c>
      <c r="N646" s="92" t="s">
        <v>357</v>
      </c>
      <c r="O646" s="92" t="s">
        <v>392</v>
      </c>
      <c r="P646" s="9"/>
      <c r="Q646" s="195">
        <f>Q647</f>
        <v>72.3</v>
      </c>
      <c r="R646" s="195">
        <f aca="true" t="shared" si="62" ref="R646:S648">R647</f>
        <v>0</v>
      </c>
      <c r="S646" s="195">
        <f t="shared" si="62"/>
        <v>0</v>
      </c>
    </row>
    <row r="647" spans="1:19" s="171" customFormat="1" ht="34.5" customHeight="1">
      <c r="A647" s="135"/>
      <c r="B647" s="136"/>
      <c r="C647" s="135"/>
      <c r="D647" s="143"/>
      <c r="E647" s="320"/>
      <c r="F647" s="320"/>
      <c r="G647" s="129"/>
      <c r="H647" s="10" t="s">
        <v>440</v>
      </c>
      <c r="I647" s="9">
        <v>27</v>
      </c>
      <c r="J647" s="15">
        <v>11</v>
      </c>
      <c r="K647" s="15">
        <v>1</v>
      </c>
      <c r="L647" s="91" t="s">
        <v>442</v>
      </c>
      <c r="M647" s="92" t="s">
        <v>347</v>
      </c>
      <c r="N647" s="92" t="s">
        <v>361</v>
      </c>
      <c r="O647" s="92" t="s">
        <v>392</v>
      </c>
      <c r="P647" s="9"/>
      <c r="Q647" s="195">
        <f>Q648</f>
        <v>72.3</v>
      </c>
      <c r="R647" s="195">
        <f t="shared" si="62"/>
        <v>0</v>
      </c>
      <c r="S647" s="195">
        <f t="shared" si="62"/>
        <v>0</v>
      </c>
    </row>
    <row r="648" spans="1:19" s="171" customFormat="1" ht="19.5" customHeight="1">
      <c r="A648" s="135"/>
      <c r="B648" s="136"/>
      <c r="C648" s="135"/>
      <c r="D648" s="143"/>
      <c r="E648" s="320"/>
      <c r="F648" s="320"/>
      <c r="G648" s="129"/>
      <c r="H648" s="10" t="s">
        <v>74</v>
      </c>
      <c r="I648" s="9">
        <v>27</v>
      </c>
      <c r="J648" s="15">
        <v>11</v>
      </c>
      <c r="K648" s="15">
        <v>1</v>
      </c>
      <c r="L648" s="91" t="s">
        <v>442</v>
      </c>
      <c r="M648" s="92" t="s">
        <v>347</v>
      </c>
      <c r="N648" s="92" t="s">
        <v>361</v>
      </c>
      <c r="O648" s="92" t="s">
        <v>73</v>
      </c>
      <c r="P648" s="9"/>
      <c r="Q648" s="195">
        <f>Q649</f>
        <v>72.3</v>
      </c>
      <c r="R648" s="195">
        <f t="shared" si="62"/>
        <v>0</v>
      </c>
      <c r="S648" s="195">
        <f t="shared" si="62"/>
        <v>0</v>
      </c>
    </row>
    <row r="649" spans="1:19" s="171" customFormat="1" ht="19.5" customHeight="1">
      <c r="A649" s="135"/>
      <c r="B649" s="136"/>
      <c r="C649" s="135"/>
      <c r="D649" s="143"/>
      <c r="E649" s="320"/>
      <c r="F649" s="320"/>
      <c r="G649" s="129"/>
      <c r="H649" s="10" t="s">
        <v>456</v>
      </c>
      <c r="I649" s="9">
        <v>27</v>
      </c>
      <c r="J649" s="15">
        <v>11</v>
      </c>
      <c r="K649" s="15">
        <v>1</v>
      </c>
      <c r="L649" s="91" t="s">
        <v>442</v>
      </c>
      <c r="M649" s="92" t="s">
        <v>347</v>
      </c>
      <c r="N649" s="92" t="s">
        <v>361</v>
      </c>
      <c r="O649" s="92" t="s">
        <v>73</v>
      </c>
      <c r="P649" s="9">
        <v>610</v>
      </c>
      <c r="Q649" s="195">
        <f>'Приложение 8'!Q382</f>
        <v>72.3</v>
      </c>
      <c r="R649" s="195">
        <v>0</v>
      </c>
      <c r="S649" s="195">
        <v>0</v>
      </c>
    </row>
    <row r="650" spans="1:19" ht="34.5" customHeight="1">
      <c r="A650" s="95"/>
      <c r="B650" s="94"/>
      <c r="C650" s="99"/>
      <c r="D650" s="97"/>
      <c r="E650" s="109"/>
      <c r="F650" s="109"/>
      <c r="G650" s="101"/>
      <c r="H650" s="4" t="s">
        <v>436</v>
      </c>
      <c r="I650" s="5">
        <v>27</v>
      </c>
      <c r="J650" s="6">
        <v>11</v>
      </c>
      <c r="K650" s="15">
        <v>1</v>
      </c>
      <c r="L650" s="91" t="s">
        <v>437</v>
      </c>
      <c r="M650" s="92" t="s">
        <v>347</v>
      </c>
      <c r="N650" s="92" t="s">
        <v>357</v>
      </c>
      <c r="O650" s="92" t="s">
        <v>392</v>
      </c>
      <c r="P650" s="5"/>
      <c r="Q650" s="195">
        <f>Q654+Q651+Q659</f>
        <v>49367.3</v>
      </c>
      <c r="R650" s="195">
        <f>R654+R651+R659</f>
        <v>11807.6</v>
      </c>
      <c r="S650" s="195">
        <f>S654+S651+S659</f>
        <v>8352</v>
      </c>
    </row>
    <row r="651" spans="1:19" ht="34.5" customHeight="1">
      <c r="A651" s="95"/>
      <c r="B651" s="94"/>
      <c r="C651" s="99"/>
      <c r="D651" s="97"/>
      <c r="E651" s="109"/>
      <c r="F651" s="109"/>
      <c r="G651" s="85"/>
      <c r="H651" s="10" t="s">
        <v>615</v>
      </c>
      <c r="I651" s="9">
        <v>27</v>
      </c>
      <c r="J651" s="15">
        <v>11</v>
      </c>
      <c r="K651" s="15">
        <v>1</v>
      </c>
      <c r="L651" s="117" t="s">
        <v>437</v>
      </c>
      <c r="M651" s="118" t="s">
        <v>347</v>
      </c>
      <c r="N651" s="118" t="s">
        <v>348</v>
      </c>
      <c r="O651" s="118" t="s">
        <v>392</v>
      </c>
      <c r="P651" s="9"/>
      <c r="Q651" s="195">
        <f aca="true" t="shared" si="63" ref="Q651:S652">Q652</f>
        <v>76</v>
      </c>
      <c r="R651" s="195">
        <f t="shared" si="63"/>
        <v>100</v>
      </c>
      <c r="S651" s="195">
        <f t="shared" si="63"/>
        <v>100</v>
      </c>
    </row>
    <row r="652" spans="1:19" ht="26.25" customHeight="1">
      <c r="A652" s="95"/>
      <c r="B652" s="94"/>
      <c r="C652" s="99"/>
      <c r="D652" s="97"/>
      <c r="E652" s="109"/>
      <c r="F652" s="109"/>
      <c r="G652" s="85"/>
      <c r="H652" s="10" t="s">
        <v>74</v>
      </c>
      <c r="I652" s="9">
        <v>27</v>
      </c>
      <c r="J652" s="15">
        <v>11</v>
      </c>
      <c r="K652" s="15">
        <v>1</v>
      </c>
      <c r="L652" s="117" t="s">
        <v>437</v>
      </c>
      <c r="M652" s="118" t="s">
        <v>347</v>
      </c>
      <c r="N652" s="118" t="s">
        <v>348</v>
      </c>
      <c r="O652" s="118" t="s">
        <v>73</v>
      </c>
      <c r="P652" s="9"/>
      <c r="Q652" s="195">
        <f t="shared" si="63"/>
        <v>76</v>
      </c>
      <c r="R652" s="195">
        <f t="shared" si="63"/>
        <v>100</v>
      </c>
      <c r="S652" s="195">
        <f t="shared" si="63"/>
        <v>100</v>
      </c>
    </row>
    <row r="653" spans="1:19" ht="27.75" customHeight="1">
      <c r="A653" s="95"/>
      <c r="B653" s="94"/>
      <c r="C653" s="99"/>
      <c r="D653" s="97"/>
      <c r="E653" s="109"/>
      <c r="F653" s="109"/>
      <c r="G653" s="85"/>
      <c r="H653" s="10" t="s">
        <v>456</v>
      </c>
      <c r="I653" s="9">
        <v>27</v>
      </c>
      <c r="J653" s="15">
        <v>11</v>
      </c>
      <c r="K653" s="15">
        <v>1</v>
      </c>
      <c r="L653" s="117" t="s">
        <v>437</v>
      </c>
      <c r="M653" s="118" t="s">
        <v>347</v>
      </c>
      <c r="N653" s="118" t="s">
        <v>348</v>
      </c>
      <c r="O653" s="118" t="s">
        <v>73</v>
      </c>
      <c r="P653" s="9">
        <v>610</v>
      </c>
      <c r="Q653" s="195">
        <f>'Приложение 8'!Q386</f>
        <v>76</v>
      </c>
      <c r="R653" s="195">
        <v>100</v>
      </c>
      <c r="S653" s="195">
        <v>100</v>
      </c>
    </row>
    <row r="654" spans="1:19" ht="24.75" customHeight="1">
      <c r="A654" s="95"/>
      <c r="B654" s="94"/>
      <c r="C654" s="99"/>
      <c r="D654" s="97"/>
      <c r="E654" s="109"/>
      <c r="F654" s="109"/>
      <c r="G654" s="85"/>
      <c r="H654" s="10" t="s">
        <v>75</v>
      </c>
      <c r="I654" s="9">
        <v>27</v>
      </c>
      <c r="J654" s="15">
        <v>11</v>
      </c>
      <c r="K654" s="15">
        <v>1</v>
      </c>
      <c r="L654" s="117" t="s">
        <v>437</v>
      </c>
      <c r="M654" s="118" t="s">
        <v>347</v>
      </c>
      <c r="N654" s="118" t="s">
        <v>365</v>
      </c>
      <c r="O654" s="118" t="s">
        <v>392</v>
      </c>
      <c r="P654" s="9"/>
      <c r="Q654" s="195">
        <f>Q655+Q657</f>
        <v>9659.9</v>
      </c>
      <c r="R654" s="195">
        <f>R655+R657</f>
        <v>8252</v>
      </c>
      <c r="S654" s="195">
        <f>S655+S657</f>
        <v>8252</v>
      </c>
    </row>
    <row r="655" spans="1:19" ht="22.5" customHeight="1">
      <c r="A655" s="95"/>
      <c r="B655" s="94"/>
      <c r="C655" s="99"/>
      <c r="D655" s="97"/>
      <c r="E655" s="109"/>
      <c r="F655" s="109"/>
      <c r="G655" s="85"/>
      <c r="H655" s="10" t="s">
        <v>74</v>
      </c>
      <c r="I655" s="9">
        <v>27</v>
      </c>
      <c r="J655" s="15">
        <v>11</v>
      </c>
      <c r="K655" s="15">
        <v>1</v>
      </c>
      <c r="L655" s="117" t="s">
        <v>437</v>
      </c>
      <c r="M655" s="118" t="s">
        <v>347</v>
      </c>
      <c r="N655" s="118" t="s">
        <v>365</v>
      </c>
      <c r="O655" s="118" t="s">
        <v>73</v>
      </c>
      <c r="P655" s="9"/>
      <c r="Q655" s="195">
        <f>Q656</f>
        <v>7975.6</v>
      </c>
      <c r="R655" s="195">
        <f>R656</f>
        <v>6727.5</v>
      </c>
      <c r="S655" s="195">
        <f>S656</f>
        <v>6727.5</v>
      </c>
    </row>
    <row r="656" spans="1:19" ht="22.5" customHeight="1">
      <c r="A656" s="95"/>
      <c r="B656" s="94"/>
      <c r="C656" s="99"/>
      <c r="D656" s="97"/>
      <c r="E656" s="109"/>
      <c r="F656" s="109"/>
      <c r="G656" s="85"/>
      <c r="H656" s="10" t="s">
        <v>456</v>
      </c>
      <c r="I656" s="9">
        <v>27</v>
      </c>
      <c r="J656" s="15">
        <v>11</v>
      </c>
      <c r="K656" s="15">
        <v>1</v>
      </c>
      <c r="L656" s="117" t="s">
        <v>437</v>
      </c>
      <c r="M656" s="118" t="s">
        <v>347</v>
      </c>
      <c r="N656" s="118" t="s">
        <v>365</v>
      </c>
      <c r="O656" s="118" t="s">
        <v>73</v>
      </c>
      <c r="P656" s="9">
        <v>610</v>
      </c>
      <c r="Q656" s="195">
        <f>'Приложение 8'!Q389</f>
        <v>7975.6</v>
      </c>
      <c r="R656" s="195">
        <v>6727.5</v>
      </c>
      <c r="S656" s="195">
        <v>6727.5</v>
      </c>
    </row>
    <row r="657" spans="1:19" ht="37.5" customHeight="1">
      <c r="A657" s="95"/>
      <c r="B657" s="94"/>
      <c r="C657" s="99"/>
      <c r="D657" s="97"/>
      <c r="E657" s="109"/>
      <c r="F657" s="109"/>
      <c r="G657" s="85"/>
      <c r="H657" s="10" t="s">
        <v>595</v>
      </c>
      <c r="I657" s="9">
        <v>27</v>
      </c>
      <c r="J657" s="15">
        <v>11</v>
      </c>
      <c r="K657" s="15">
        <v>1</v>
      </c>
      <c r="L657" s="117" t="s">
        <v>437</v>
      </c>
      <c r="M657" s="118" t="s">
        <v>347</v>
      </c>
      <c r="N657" s="118" t="s">
        <v>365</v>
      </c>
      <c r="O657" s="118" t="s">
        <v>594</v>
      </c>
      <c r="P657" s="9"/>
      <c r="Q657" s="195">
        <f>Q658</f>
        <v>1684.3</v>
      </c>
      <c r="R657" s="195">
        <f>R658</f>
        <v>1524.5</v>
      </c>
      <c r="S657" s="195">
        <f>S658</f>
        <v>1524.5</v>
      </c>
    </row>
    <row r="658" spans="1:19" ht="27" customHeight="1">
      <c r="A658" s="95"/>
      <c r="B658" s="94"/>
      <c r="C658" s="99"/>
      <c r="D658" s="97"/>
      <c r="E658" s="109"/>
      <c r="F658" s="109"/>
      <c r="G658" s="85"/>
      <c r="H658" s="10" t="s">
        <v>456</v>
      </c>
      <c r="I658" s="9">
        <v>27</v>
      </c>
      <c r="J658" s="15">
        <v>11</v>
      </c>
      <c r="K658" s="15">
        <v>1</v>
      </c>
      <c r="L658" s="117" t="s">
        <v>437</v>
      </c>
      <c r="M658" s="118" t="s">
        <v>347</v>
      </c>
      <c r="N658" s="118" t="s">
        <v>365</v>
      </c>
      <c r="O658" s="118" t="s">
        <v>594</v>
      </c>
      <c r="P658" s="9">
        <v>610</v>
      </c>
      <c r="Q658" s="195">
        <f>'Приложение 8'!Q391</f>
        <v>1684.3</v>
      </c>
      <c r="R658" s="195">
        <v>1524.5</v>
      </c>
      <c r="S658" s="195">
        <v>1524.5</v>
      </c>
    </row>
    <row r="659" spans="1:19" ht="36" customHeight="1">
      <c r="A659" s="95"/>
      <c r="B659" s="94"/>
      <c r="C659" s="99"/>
      <c r="D659" s="97"/>
      <c r="E659" s="109"/>
      <c r="F659" s="109"/>
      <c r="G659" s="85"/>
      <c r="H659" s="10" t="s">
        <v>788</v>
      </c>
      <c r="I659" s="9">
        <v>27</v>
      </c>
      <c r="J659" s="15">
        <v>11</v>
      </c>
      <c r="K659" s="15">
        <v>1</v>
      </c>
      <c r="L659" s="117" t="s">
        <v>437</v>
      </c>
      <c r="M659" s="118" t="s">
        <v>347</v>
      </c>
      <c r="N659" s="118" t="s">
        <v>366</v>
      </c>
      <c r="O659" s="118" t="s">
        <v>392</v>
      </c>
      <c r="P659" s="9"/>
      <c r="Q659" s="195">
        <f>Q662+Q666+Q660+Q664</f>
        <v>39631.4</v>
      </c>
      <c r="R659" s="195">
        <f>R662+R666</f>
        <v>3455.6</v>
      </c>
      <c r="S659" s="195">
        <f>S662+S666</f>
        <v>0</v>
      </c>
    </row>
    <row r="660" spans="1:19" ht="36" customHeight="1">
      <c r="A660" s="95"/>
      <c r="B660" s="94"/>
      <c r="C660" s="99"/>
      <c r="D660" s="97"/>
      <c r="E660" s="109"/>
      <c r="F660" s="109"/>
      <c r="G660" s="85"/>
      <c r="H660" s="10" t="str">
        <f>'Приложение 8'!H393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60" s="9">
        <f>'Приложение 8'!I393</f>
        <v>27</v>
      </c>
      <c r="J660" s="15">
        <f>'Приложение 8'!J393</f>
        <v>11</v>
      </c>
      <c r="K660" s="15">
        <f>'Приложение 8'!K393</f>
        <v>1</v>
      </c>
      <c r="L660" s="117" t="str">
        <f>'Приложение 8'!L393</f>
        <v>29</v>
      </c>
      <c r="M660" s="118" t="str">
        <f>'Приложение 8'!M393</f>
        <v>0</v>
      </c>
      <c r="N660" s="118" t="str">
        <f>'Приложение 8'!N393</f>
        <v>03</v>
      </c>
      <c r="O660" s="118" t="str">
        <f>'Приложение 8'!O393</f>
        <v>23280</v>
      </c>
      <c r="P660" s="9" t="s">
        <v>393</v>
      </c>
      <c r="Q660" s="195">
        <f>'Приложение 8'!Q393</f>
        <v>607.4</v>
      </c>
      <c r="R660" s="195">
        <f>'Приложение 8'!R393</f>
        <v>0</v>
      </c>
      <c r="S660" s="195">
        <f>'Приложение 8'!S393</f>
        <v>0</v>
      </c>
    </row>
    <row r="661" spans="1:19" ht="36" customHeight="1">
      <c r="A661" s="95"/>
      <c r="B661" s="94"/>
      <c r="C661" s="99"/>
      <c r="D661" s="97"/>
      <c r="E661" s="109"/>
      <c r="F661" s="109"/>
      <c r="G661" s="85"/>
      <c r="H661" s="10" t="str">
        <f>'Приложение 8'!H394</f>
        <v>Субсидии бюджетным учреждениям</v>
      </c>
      <c r="I661" s="9">
        <f>'Приложение 8'!I394</f>
        <v>27</v>
      </c>
      <c r="J661" s="15">
        <f>'Приложение 8'!J394</f>
        <v>11</v>
      </c>
      <c r="K661" s="15">
        <f>'Приложение 8'!K394</f>
        <v>1</v>
      </c>
      <c r="L661" s="117" t="str">
        <f>'Приложение 8'!L394</f>
        <v>29</v>
      </c>
      <c r="M661" s="118" t="str">
        <f>'Приложение 8'!M394</f>
        <v>0</v>
      </c>
      <c r="N661" s="118" t="str">
        <f>'Приложение 8'!N394</f>
        <v>03</v>
      </c>
      <c r="O661" s="118" t="str">
        <f>'Приложение 8'!O394</f>
        <v>23280</v>
      </c>
      <c r="P661" s="9">
        <f>'Приложение 8'!P394</f>
        <v>610</v>
      </c>
      <c r="Q661" s="195">
        <f>'Приложение 8'!Q394</f>
        <v>607.4</v>
      </c>
      <c r="R661" s="195">
        <f>'Приложение 8'!R394</f>
        <v>0</v>
      </c>
      <c r="S661" s="195">
        <f>'Приложение 8'!S394</f>
        <v>0</v>
      </c>
    </row>
    <row r="662" spans="1:19" ht="33.75" customHeight="1">
      <c r="A662" s="95"/>
      <c r="B662" s="94"/>
      <c r="C662" s="99"/>
      <c r="D662" s="97"/>
      <c r="E662" s="109"/>
      <c r="F662" s="109"/>
      <c r="G662" s="85"/>
      <c r="H662" s="10" t="s">
        <v>620</v>
      </c>
      <c r="I662" s="9">
        <v>27</v>
      </c>
      <c r="J662" s="15">
        <v>11</v>
      </c>
      <c r="K662" s="15">
        <v>1</v>
      </c>
      <c r="L662" s="117" t="s">
        <v>437</v>
      </c>
      <c r="M662" s="118" t="s">
        <v>347</v>
      </c>
      <c r="N662" s="118" t="s">
        <v>366</v>
      </c>
      <c r="O662" s="118" t="s">
        <v>413</v>
      </c>
      <c r="P662" s="9"/>
      <c r="Q662" s="195">
        <f>Q663</f>
        <v>333.3</v>
      </c>
      <c r="R662" s="195">
        <f>R663</f>
        <v>0</v>
      </c>
      <c r="S662" s="195">
        <f>S663</f>
        <v>0</v>
      </c>
    </row>
    <row r="663" spans="1:19" ht="27" customHeight="1">
      <c r="A663" s="95"/>
      <c r="B663" s="94"/>
      <c r="C663" s="99"/>
      <c r="D663" s="97"/>
      <c r="E663" s="109"/>
      <c r="F663" s="109"/>
      <c r="G663" s="85"/>
      <c r="H663" s="10" t="s">
        <v>456</v>
      </c>
      <c r="I663" s="9">
        <v>27</v>
      </c>
      <c r="J663" s="15">
        <v>11</v>
      </c>
      <c r="K663" s="15">
        <v>1</v>
      </c>
      <c r="L663" s="117" t="s">
        <v>437</v>
      </c>
      <c r="M663" s="118" t="s">
        <v>347</v>
      </c>
      <c r="N663" s="118" t="s">
        <v>366</v>
      </c>
      <c r="O663" s="118" t="s">
        <v>413</v>
      </c>
      <c r="P663" s="9">
        <v>610</v>
      </c>
      <c r="Q663" s="195">
        <f>'Приложение 8'!Q396</f>
        <v>333.3</v>
      </c>
      <c r="R663" s="195">
        <v>0</v>
      </c>
      <c r="S663" s="195">
        <v>0</v>
      </c>
    </row>
    <row r="664" spans="1:19" ht="27" customHeight="1">
      <c r="A664" s="95"/>
      <c r="B664" s="94"/>
      <c r="C664" s="99"/>
      <c r="D664" s="97"/>
      <c r="E664" s="109"/>
      <c r="F664" s="109"/>
      <c r="G664" s="85"/>
      <c r="H664" s="10" t="str">
        <f>'Приложение 8'!H397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64" s="9">
        <f>'Приложение 8'!I397</f>
        <v>27</v>
      </c>
      <c r="J664" s="15">
        <f>'Приложение 8'!J397</f>
        <v>11</v>
      </c>
      <c r="K664" s="15">
        <f>'Приложение 8'!K397</f>
        <v>1</v>
      </c>
      <c r="L664" s="117" t="str">
        <f>'Приложение 8'!L397</f>
        <v>29</v>
      </c>
      <c r="M664" s="118" t="str">
        <f>'Приложение 8'!M397</f>
        <v>0</v>
      </c>
      <c r="N664" s="118" t="str">
        <f>'Приложение 8'!N397</f>
        <v>03</v>
      </c>
      <c r="O664" s="118" t="str">
        <f>'Приложение 8'!O397</f>
        <v>S3280</v>
      </c>
      <c r="P664" s="9" t="s">
        <v>393</v>
      </c>
      <c r="Q664" s="195">
        <f>'Приложение 8'!Q397</f>
        <v>38690.700000000004</v>
      </c>
      <c r="R664" s="195">
        <f>'Приложение 8'!R397</f>
        <v>0</v>
      </c>
      <c r="S664" s="195">
        <f>'Приложение 8'!S397</f>
        <v>0</v>
      </c>
    </row>
    <row r="665" spans="1:19" ht="27" customHeight="1">
      <c r="A665" s="95"/>
      <c r="B665" s="94"/>
      <c r="C665" s="99"/>
      <c r="D665" s="97"/>
      <c r="E665" s="109"/>
      <c r="F665" s="109"/>
      <c r="G665" s="85"/>
      <c r="H665" s="10" t="str">
        <f>'Приложение 8'!H398</f>
        <v>Субсидии бюджетным учреждениям</v>
      </c>
      <c r="I665" s="9">
        <f>'Приложение 8'!I398</f>
        <v>27</v>
      </c>
      <c r="J665" s="15">
        <f>'Приложение 8'!J398</f>
        <v>11</v>
      </c>
      <c r="K665" s="15">
        <f>'Приложение 8'!K398</f>
        <v>1</v>
      </c>
      <c r="L665" s="117" t="str">
        <f>'Приложение 8'!L398</f>
        <v>29</v>
      </c>
      <c r="M665" s="118" t="str">
        <f>'Приложение 8'!M398</f>
        <v>0</v>
      </c>
      <c r="N665" s="118" t="str">
        <f>'Приложение 8'!N398</f>
        <v>03</v>
      </c>
      <c r="O665" s="118" t="str">
        <f>'Приложение 8'!O398</f>
        <v>S3280</v>
      </c>
      <c r="P665" s="9">
        <f>'Приложение 8'!P398</f>
        <v>610</v>
      </c>
      <c r="Q665" s="195">
        <f>'Приложение 8'!Q398</f>
        <v>38690.700000000004</v>
      </c>
      <c r="R665" s="195">
        <f>'Приложение 8'!R398</f>
        <v>0</v>
      </c>
      <c r="S665" s="195">
        <f>'Приложение 8'!S398</f>
        <v>0</v>
      </c>
    </row>
    <row r="666" spans="1:19" ht="36" customHeight="1">
      <c r="A666" s="95"/>
      <c r="B666" s="94"/>
      <c r="C666" s="99"/>
      <c r="D666" s="97"/>
      <c r="E666" s="109"/>
      <c r="F666" s="109"/>
      <c r="G666" s="85"/>
      <c r="H666" s="10" t="s">
        <v>621</v>
      </c>
      <c r="I666" s="9">
        <v>27</v>
      </c>
      <c r="J666" s="15">
        <v>11</v>
      </c>
      <c r="K666" s="15">
        <v>1</v>
      </c>
      <c r="L666" s="117" t="s">
        <v>437</v>
      </c>
      <c r="M666" s="118" t="s">
        <v>347</v>
      </c>
      <c r="N666" s="118" t="s">
        <v>438</v>
      </c>
      <c r="O666" s="118" t="s">
        <v>602</v>
      </c>
      <c r="P666" s="9"/>
      <c r="Q666" s="195">
        <f>Q667</f>
        <v>0</v>
      </c>
      <c r="R666" s="195">
        <f>R667</f>
        <v>3455.6</v>
      </c>
      <c r="S666" s="195">
        <f>S667</f>
        <v>0</v>
      </c>
    </row>
    <row r="667" spans="1:19" ht="27" customHeight="1">
      <c r="A667" s="95"/>
      <c r="B667" s="94"/>
      <c r="C667" s="99"/>
      <c r="D667" s="97"/>
      <c r="E667" s="109"/>
      <c r="F667" s="109"/>
      <c r="G667" s="85"/>
      <c r="H667" s="10" t="s">
        <v>456</v>
      </c>
      <c r="I667" s="9">
        <v>27</v>
      </c>
      <c r="J667" s="15">
        <v>11</v>
      </c>
      <c r="K667" s="15">
        <v>1</v>
      </c>
      <c r="L667" s="117" t="s">
        <v>437</v>
      </c>
      <c r="M667" s="118" t="s">
        <v>347</v>
      </c>
      <c r="N667" s="118" t="s">
        <v>438</v>
      </c>
      <c r="O667" s="118" t="s">
        <v>602</v>
      </c>
      <c r="P667" s="9">
        <v>610</v>
      </c>
      <c r="Q667" s="195">
        <v>0</v>
      </c>
      <c r="R667" s="195">
        <v>3455.6</v>
      </c>
      <c r="S667" s="195">
        <v>0</v>
      </c>
    </row>
    <row r="668" spans="1:19" s="171" customFormat="1" ht="24" customHeight="1">
      <c r="A668" s="135"/>
      <c r="B668" s="136"/>
      <c r="C668" s="150"/>
      <c r="D668" s="162"/>
      <c r="E668" s="138"/>
      <c r="F668" s="138"/>
      <c r="G668" s="148"/>
      <c r="H668" s="130" t="s">
        <v>339</v>
      </c>
      <c r="I668" s="131">
        <v>661</v>
      </c>
      <c r="J668" s="132">
        <v>13</v>
      </c>
      <c r="K668" s="132" t="s">
        <v>393</v>
      </c>
      <c r="L668" s="133" t="s">
        <v>320</v>
      </c>
      <c r="M668" s="134" t="s">
        <v>320</v>
      </c>
      <c r="N668" s="134"/>
      <c r="O668" s="134" t="s">
        <v>320</v>
      </c>
      <c r="P668" s="139" t="s">
        <v>320</v>
      </c>
      <c r="Q668" s="198">
        <f aca="true" t="shared" si="64" ref="Q668:S673">Q669</f>
        <v>10</v>
      </c>
      <c r="R668" s="198">
        <f t="shared" si="64"/>
        <v>0</v>
      </c>
      <c r="S668" s="198">
        <f t="shared" si="64"/>
        <v>0</v>
      </c>
    </row>
    <row r="669" spans="1:19" s="171" customFormat="1" ht="24" customHeight="1">
      <c r="A669" s="135"/>
      <c r="B669" s="136"/>
      <c r="C669" s="150"/>
      <c r="D669" s="162"/>
      <c r="E669" s="138"/>
      <c r="F669" s="138"/>
      <c r="G669" s="148"/>
      <c r="H669" s="130" t="s">
        <v>809</v>
      </c>
      <c r="I669" s="131">
        <v>661</v>
      </c>
      <c r="J669" s="132">
        <v>13</v>
      </c>
      <c r="K669" s="132">
        <v>1</v>
      </c>
      <c r="L669" s="133" t="s">
        <v>320</v>
      </c>
      <c r="M669" s="134" t="s">
        <v>320</v>
      </c>
      <c r="N669" s="134"/>
      <c r="O669" s="134" t="s">
        <v>320</v>
      </c>
      <c r="P669" s="139" t="s">
        <v>320</v>
      </c>
      <c r="Q669" s="198">
        <f t="shared" si="64"/>
        <v>10</v>
      </c>
      <c r="R669" s="198">
        <f t="shared" si="64"/>
        <v>0</v>
      </c>
      <c r="S669" s="198">
        <f t="shared" si="64"/>
        <v>0</v>
      </c>
    </row>
    <row r="670" spans="1:19" ht="36.75" customHeight="1">
      <c r="A670" s="93"/>
      <c r="B670" s="94"/>
      <c r="C670" s="99"/>
      <c r="D670" s="97"/>
      <c r="E670" s="100"/>
      <c r="F670" s="100"/>
      <c r="G670" s="85"/>
      <c r="H670" s="10" t="s">
        <v>446</v>
      </c>
      <c r="I670" s="9">
        <v>661</v>
      </c>
      <c r="J670" s="15">
        <v>13</v>
      </c>
      <c r="K670" s="15">
        <v>1</v>
      </c>
      <c r="L670" s="91" t="s">
        <v>447</v>
      </c>
      <c r="M670" s="92" t="s">
        <v>347</v>
      </c>
      <c r="N670" s="92" t="s">
        <v>357</v>
      </c>
      <c r="O670" s="92" t="s">
        <v>392</v>
      </c>
      <c r="P670" s="5"/>
      <c r="Q670" s="197">
        <f t="shared" si="64"/>
        <v>10</v>
      </c>
      <c r="R670" s="197">
        <f t="shared" si="64"/>
        <v>0</v>
      </c>
      <c r="S670" s="197">
        <f t="shared" si="64"/>
        <v>0</v>
      </c>
    </row>
    <row r="671" spans="1:19" ht="24" customHeight="1">
      <c r="A671" s="93"/>
      <c r="B671" s="94"/>
      <c r="C671" s="102"/>
      <c r="D671" s="103"/>
      <c r="E671" s="100"/>
      <c r="F671" s="100"/>
      <c r="G671" s="101"/>
      <c r="H671" s="10" t="s">
        <v>627</v>
      </c>
      <c r="I671" s="9">
        <v>661</v>
      </c>
      <c r="J671" s="15">
        <v>13</v>
      </c>
      <c r="K671" s="15">
        <v>1</v>
      </c>
      <c r="L671" s="91" t="s">
        <v>447</v>
      </c>
      <c r="M671" s="92" t="s">
        <v>581</v>
      </c>
      <c r="N671" s="92" t="s">
        <v>357</v>
      </c>
      <c r="O671" s="92" t="s">
        <v>392</v>
      </c>
      <c r="P671" s="5"/>
      <c r="Q671" s="197">
        <f t="shared" si="64"/>
        <v>10</v>
      </c>
      <c r="R671" s="197">
        <f t="shared" si="64"/>
        <v>0</v>
      </c>
      <c r="S671" s="197">
        <f t="shared" si="64"/>
        <v>0</v>
      </c>
    </row>
    <row r="672" spans="1:19" ht="24" customHeight="1">
      <c r="A672" s="93"/>
      <c r="B672" s="94"/>
      <c r="C672" s="102"/>
      <c r="D672" s="103"/>
      <c r="E672" s="100"/>
      <c r="F672" s="100"/>
      <c r="G672" s="101"/>
      <c r="H672" s="10" t="s">
        <v>582</v>
      </c>
      <c r="I672" s="9">
        <v>661</v>
      </c>
      <c r="J672" s="15">
        <v>13</v>
      </c>
      <c r="K672" s="15">
        <v>1</v>
      </c>
      <c r="L672" s="91" t="s">
        <v>447</v>
      </c>
      <c r="M672" s="92" t="s">
        <v>581</v>
      </c>
      <c r="N672" s="92" t="s">
        <v>348</v>
      </c>
      <c r="O672" s="92" t="s">
        <v>392</v>
      </c>
      <c r="P672" s="5"/>
      <c r="Q672" s="197">
        <f t="shared" si="64"/>
        <v>10</v>
      </c>
      <c r="R672" s="197">
        <f t="shared" si="64"/>
        <v>0</v>
      </c>
      <c r="S672" s="197">
        <f t="shared" si="64"/>
        <v>0</v>
      </c>
    </row>
    <row r="673" spans="1:19" ht="27" customHeight="1">
      <c r="A673" s="95"/>
      <c r="B673" s="94"/>
      <c r="C673" s="102"/>
      <c r="D673" s="103"/>
      <c r="E673" s="100"/>
      <c r="F673" s="100"/>
      <c r="G673" s="101"/>
      <c r="H673" s="10" t="s">
        <v>77</v>
      </c>
      <c r="I673" s="9">
        <v>661</v>
      </c>
      <c r="J673" s="15">
        <v>13</v>
      </c>
      <c r="K673" s="15">
        <v>1</v>
      </c>
      <c r="L673" s="91" t="s">
        <v>447</v>
      </c>
      <c r="M673" s="92" t="s">
        <v>581</v>
      </c>
      <c r="N673" s="92" t="s">
        <v>348</v>
      </c>
      <c r="O673" s="92" t="s">
        <v>76</v>
      </c>
      <c r="P673" s="5" t="s">
        <v>320</v>
      </c>
      <c r="Q673" s="197">
        <f t="shared" si="64"/>
        <v>10</v>
      </c>
      <c r="R673" s="197">
        <f t="shared" si="64"/>
        <v>0</v>
      </c>
      <c r="S673" s="197">
        <f t="shared" si="64"/>
        <v>0</v>
      </c>
    </row>
    <row r="674" spans="1:19" ht="28.5" customHeight="1">
      <c r="A674" s="95"/>
      <c r="B674" s="94"/>
      <c r="C674" s="102"/>
      <c r="D674" s="103"/>
      <c r="E674" s="100"/>
      <c r="F674" s="100"/>
      <c r="G674" s="101"/>
      <c r="H674" s="4" t="s">
        <v>387</v>
      </c>
      <c r="I674" s="7">
        <v>661</v>
      </c>
      <c r="J674" s="20">
        <v>13</v>
      </c>
      <c r="K674" s="15">
        <v>1</v>
      </c>
      <c r="L674" s="91" t="s">
        <v>447</v>
      </c>
      <c r="M674" s="92" t="s">
        <v>581</v>
      </c>
      <c r="N674" s="92" t="s">
        <v>348</v>
      </c>
      <c r="O674" s="92" t="s">
        <v>76</v>
      </c>
      <c r="P674" s="5">
        <v>730</v>
      </c>
      <c r="Q674" s="195">
        <v>10</v>
      </c>
      <c r="R674" s="197">
        <v>0</v>
      </c>
      <c r="S674" s="197">
        <v>0</v>
      </c>
    </row>
    <row r="675" spans="1:19" s="171" customFormat="1" ht="30.75" customHeight="1">
      <c r="A675" s="135"/>
      <c r="B675" s="136"/>
      <c r="C675" s="150"/>
      <c r="D675" s="162"/>
      <c r="E675" s="138"/>
      <c r="F675" s="138"/>
      <c r="G675" s="148"/>
      <c r="H675" s="130" t="s">
        <v>99</v>
      </c>
      <c r="I675" s="139">
        <v>661</v>
      </c>
      <c r="J675" s="132">
        <v>14</v>
      </c>
      <c r="K675" s="132" t="s">
        <v>320</v>
      </c>
      <c r="L675" s="132" t="s">
        <v>320</v>
      </c>
      <c r="M675" s="134" t="s">
        <v>320</v>
      </c>
      <c r="N675" s="134"/>
      <c r="O675" s="134" t="s">
        <v>320</v>
      </c>
      <c r="P675" s="139" t="s">
        <v>320</v>
      </c>
      <c r="Q675" s="198">
        <f>Q676+Q684</f>
        <v>35351.4</v>
      </c>
      <c r="R675" s="198">
        <f>R676+R684</f>
        <v>19143.600000000002</v>
      </c>
      <c r="S675" s="198">
        <f>S676+S684</f>
        <v>21151.1</v>
      </c>
    </row>
    <row r="676" spans="1:19" s="171" customFormat="1" ht="30.75" customHeight="1">
      <c r="A676" s="135"/>
      <c r="B676" s="136"/>
      <c r="C676" s="150"/>
      <c r="D676" s="162"/>
      <c r="E676" s="138"/>
      <c r="F676" s="138"/>
      <c r="G676" s="148"/>
      <c r="H676" s="130" t="s">
        <v>360</v>
      </c>
      <c r="I676" s="139">
        <v>661</v>
      </c>
      <c r="J676" s="132">
        <v>14</v>
      </c>
      <c r="K676" s="132">
        <v>1</v>
      </c>
      <c r="L676" s="132" t="s">
        <v>320</v>
      </c>
      <c r="M676" s="134" t="s">
        <v>320</v>
      </c>
      <c r="N676" s="134"/>
      <c r="O676" s="134" t="s">
        <v>320</v>
      </c>
      <c r="P676" s="139" t="s">
        <v>320</v>
      </c>
      <c r="Q676" s="198">
        <f>Q677</f>
        <v>5126</v>
      </c>
      <c r="R676" s="198">
        <f aca="true" t="shared" si="65" ref="R676:S678">R677</f>
        <v>5225.3</v>
      </c>
      <c r="S676" s="198">
        <f t="shared" si="65"/>
        <v>5640.5</v>
      </c>
    </row>
    <row r="677" spans="1:19" ht="36.75" customHeight="1">
      <c r="A677" s="93"/>
      <c r="B677" s="94"/>
      <c r="C677" s="99"/>
      <c r="D677" s="97"/>
      <c r="E677" s="100"/>
      <c r="F677" s="100"/>
      <c r="G677" s="85"/>
      <c r="H677" s="10" t="s">
        <v>446</v>
      </c>
      <c r="I677" s="9">
        <v>661</v>
      </c>
      <c r="J677" s="15">
        <v>14</v>
      </c>
      <c r="K677" s="15">
        <v>1</v>
      </c>
      <c r="L677" s="91" t="s">
        <v>447</v>
      </c>
      <c r="M677" s="92" t="s">
        <v>347</v>
      </c>
      <c r="N677" s="92" t="s">
        <v>357</v>
      </c>
      <c r="O677" s="92" t="s">
        <v>392</v>
      </c>
      <c r="P677" s="5"/>
      <c r="Q677" s="197">
        <f>Q678</f>
        <v>5126</v>
      </c>
      <c r="R677" s="197">
        <f t="shared" si="65"/>
        <v>5225.3</v>
      </c>
      <c r="S677" s="197">
        <f t="shared" si="65"/>
        <v>5640.5</v>
      </c>
    </row>
    <row r="678" spans="1:19" ht="36.75" customHeight="1">
      <c r="A678" s="93"/>
      <c r="B678" s="94"/>
      <c r="C678" s="102"/>
      <c r="D678" s="103"/>
      <c r="E678" s="100"/>
      <c r="F678" s="100"/>
      <c r="G678" s="85"/>
      <c r="H678" s="10" t="s">
        <v>449</v>
      </c>
      <c r="I678" s="9">
        <v>661</v>
      </c>
      <c r="J678" s="15">
        <v>14</v>
      </c>
      <c r="K678" s="15">
        <v>1</v>
      </c>
      <c r="L678" s="91" t="s">
        <v>447</v>
      </c>
      <c r="M678" s="92" t="s">
        <v>343</v>
      </c>
      <c r="N678" s="92" t="s">
        <v>357</v>
      </c>
      <c r="O678" s="92" t="s">
        <v>392</v>
      </c>
      <c r="P678" s="5"/>
      <c r="Q678" s="197">
        <f>Q679</f>
        <v>5126</v>
      </c>
      <c r="R678" s="197">
        <f t="shared" si="65"/>
        <v>5225.3</v>
      </c>
      <c r="S678" s="197">
        <f t="shared" si="65"/>
        <v>5640.5</v>
      </c>
    </row>
    <row r="679" spans="1:19" ht="22.5" customHeight="1">
      <c r="A679" s="95"/>
      <c r="B679" s="94"/>
      <c r="C679" s="102"/>
      <c r="D679" s="103"/>
      <c r="E679" s="100"/>
      <c r="F679" s="100"/>
      <c r="G679" s="101"/>
      <c r="H679" s="10" t="s">
        <v>584</v>
      </c>
      <c r="I679" s="5">
        <v>661</v>
      </c>
      <c r="J679" s="6">
        <v>14</v>
      </c>
      <c r="K679" s="15">
        <v>1</v>
      </c>
      <c r="L679" s="91" t="s">
        <v>447</v>
      </c>
      <c r="M679" s="92" t="s">
        <v>343</v>
      </c>
      <c r="N679" s="92" t="s">
        <v>348</v>
      </c>
      <c r="O679" s="92" t="s">
        <v>392</v>
      </c>
      <c r="P679" s="5" t="s">
        <v>320</v>
      </c>
      <c r="Q679" s="197">
        <f>Q682+Q680</f>
        <v>5126</v>
      </c>
      <c r="R679" s="197">
        <f>R682+R680</f>
        <v>5225.3</v>
      </c>
      <c r="S679" s="197">
        <f>S682+S680</f>
        <v>5640.5</v>
      </c>
    </row>
    <row r="680" spans="1:19" ht="21" customHeight="1">
      <c r="A680" s="95"/>
      <c r="B680" s="94"/>
      <c r="C680" s="102"/>
      <c r="D680" s="103"/>
      <c r="E680" s="100"/>
      <c r="F680" s="100"/>
      <c r="G680" s="101"/>
      <c r="H680" s="10" t="s">
        <v>590</v>
      </c>
      <c r="I680" s="5">
        <v>661</v>
      </c>
      <c r="J680" s="6">
        <v>14</v>
      </c>
      <c r="K680" s="15">
        <v>1</v>
      </c>
      <c r="L680" s="91" t="s">
        <v>447</v>
      </c>
      <c r="M680" s="92" t="s">
        <v>343</v>
      </c>
      <c r="N680" s="92" t="s">
        <v>348</v>
      </c>
      <c r="O680" s="92" t="s">
        <v>608</v>
      </c>
      <c r="P680" s="5" t="s">
        <v>320</v>
      </c>
      <c r="Q680" s="197">
        <f>Q681</f>
        <v>1994.5</v>
      </c>
      <c r="R680" s="197">
        <f>R681</f>
        <v>2232.3</v>
      </c>
      <c r="S680" s="197">
        <f>S681</f>
        <v>2429</v>
      </c>
    </row>
    <row r="681" spans="1:19" ht="23.25" customHeight="1">
      <c r="A681" s="95"/>
      <c r="B681" s="94"/>
      <c r="C681" s="102"/>
      <c r="D681" s="103"/>
      <c r="E681" s="100"/>
      <c r="F681" s="100"/>
      <c r="G681" s="101"/>
      <c r="H681" s="10" t="s">
        <v>460</v>
      </c>
      <c r="I681" s="5">
        <v>661</v>
      </c>
      <c r="J681" s="6">
        <v>14</v>
      </c>
      <c r="K681" s="15">
        <v>1</v>
      </c>
      <c r="L681" s="91" t="s">
        <v>447</v>
      </c>
      <c r="M681" s="92" t="s">
        <v>343</v>
      </c>
      <c r="N681" s="92" t="s">
        <v>348</v>
      </c>
      <c r="O681" s="92" t="s">
        <v>608</v>
      </c>
      <c r="P681" s="5">
        <v>510</v>
      </c>
      <c r="Q681" s="197">
        <v>1994.5</v>
      </c>
      <c r="R681" s="197">
        <v>2232.3</v>
      </c>
      <c r="S681" s="197">
        <v>2429</v>
      </c>
    </row>
    <row r="682" spans="1:19" ht="67.5" customHeight="1">
      <c r="A682" s="95"/>
      <c r="B682" s="94"/>
      <c r="C682" s="102"/>
      <c r="D682" s="103"/>
      <c r="E682" s="100"/>
      <c r="F682" s="100"/>
      <c r="G682" s="101"/>
      <c r="H682" s="10" t="s">
        <v>589</v>
      </c>
      <c r="I682" s="5">
        <v>661</v>
      </c>
      <c r="J682" s="6">
        <v>14</v>
      </c>
      <c r="K682" s="15">
        <v>1</v>
      </c>
      <c r="L682" s="91" t="s">
        <v>447</v>
      </c>
      <c r="M682" s="92" t="s">
        <v>343</v>
      </c>
      <c r="N682" s="92" t="s">
        <v>348</v>
      </c>
      <c r="O682" s="92" t="s">
        <v>403</v>
      </c>
      <c r="P682" s="5"/>
      <c r="Q682" s="195">
        <f>Q683</f>
        <v>3131.5</v>
      </c>
      <c r="R682" s="195">
        <f>R683</f>
        <v>2993</v>
      </c>
      <c r="S682" s="195">
        <f>S683</f>
        <v>3211.5</v>
      </c>
    </row>
    <row r="683" spans="1:19" ht="24.75" customHeight="1">
      <c r="A683" s="95"/>
      <c r="B683" s="94"/>
      <c r="C683" s="102"/>
      <c r="D683" s="103"/>
      <c r="E683" s="100"/>
      <c r="F683" s="100"/>
      <c r="G683" s="101"/>
      <c r="H683" s="10" t="s">
        <v>460</v>
      </c>
      <c r="I683" s="5">
        <v>661</v>
      </c>
      <c r="J683" s="6">
        <v>14</v>
      </c>
      <c r="K683" s="15">
        <v>1</v>
      </c>
      <c r="L683" s="91" t="s">
        <v>447</v>
      </c>
      <c r="M683" s="92" t="s">
        <v>343</v>
      </c>
      <c r="N683" s="92" t="s">
        <v>348</v>
      </c>
      <c r="O683" s="92" t="s">
        <v>403</v>
      </c>
      <c r="P683" s="5">
        <v>510</v>
      </c>
      <c r="Q683" s="195">
        <v>3131.5</v>
      </c>
      <c r="R683" s="195">
        <v>2993</v>
      </c>
      <c r="S683" s="195">
        <v>3211.5</v>
      </c>
    </row>
    <row r="684" spans="1:19" s="171" customFormat="1" ht="22.5" customHeight="1">
      <c r="A684" s="135"/>
      <c r="B684" s="136"/>
      <c r="C684" s="150"/>
      <c r="D684" s="162"/>
      <c r="E684" s="138"/>
      <c r="F684" s="138"/>
      <c r="G684" s="148"/>
      <c r="H684" s="130" t="s">
        <v>395</v>
      </c>
      <c r="I684" s="139">
        <v>661</v>
      </c>
      <c r="J684" s="141">
        <v>14</v>
      </c>
      <c r="K684" s="132">
        <v>2</v>
      </c>
      <c r="L684" s="91" t="s">
        <v>393</v>
      </c>
      <c r="M684" s="134" t="s">
        <v>320</v>
      </c>
      <c r="N684" s="134"/>
      <c r="O684" s="134" t="s">
        <v>320</v>
      </c>
      <c r="P684" s="139" t="s">
        <v>320</v>
      </c>
      <c r="Q684" s="198">
        <f>Q685</f>
        <v>30225.4</v>
      </c>
      <c r="R684" s="198">
        <f aca="true" t="shared" si="66" ref="R684:S686">R685</f>
        <v>13918.300000000001</v>
      </c>
      <c r="S684" s="198">
        <f t="shared" si="66"/>
        <v>15510.6</v>
      </c>
    </row>
    <row r="685" spans="1:19" ht="36.75" customHeight="1">
      <c r="A685" s="93"/>
      <c r="B685" s="94"/>
      <c r="C685" s="99"/>
      <c r="D685" s="97"/>
      <c r="E685" s="100"/>
      <c r="F685" s="100"/>
      <c r="G685" s="85"/>
      <c r="H685" s="10" t="s">
        <v>446</v>
      </c>
      <c r="I685" s="9">
        <v>661</v>
      </c>
      <c r="J685" s="6">
        <v>14</v>
      </c>
      <c r="K685" s="15">
        <v>2</v>
      </c>
      <c r="L685" s="91" t="s">
        <v>447</v>
      </c>
      <c r="M685" s="92" t="s">
        <v>347</v>
      </c>
      <c r="N685" s="92" t="s">
        <v>357</v>
      </c>
      <c r="O685" s="92" t="s">
        <v>392</v>
      </c>
      <c r="P685" s="5"/>
      <c r="Q685" s="197">
        <f>Q686</f>
        <v>30225.4</v>
      </c>
      <c r="R685" s="197">
        <f t="shared" si="66"/>
        <v>13918.300000000001</v>
      </c>
      <c r="S685" s="197">
        <f t="shared" si="66"/>
        <v>15510.6</v>
      </c>
    </row>
    <row r="686" spans="1:19" ht="36.75" customHeight="1">
      <c r="A686" s="93"/>
      <c r="B686" s="94"/>
      <c r="C686" s="102"/>
      <c r="D686" s="103"/>
      <c r="E686" s="100"/>
      <c r="F686" s="100"/>
      <c r="G686" s="85"/>
      <c r="H686" s="10" t="s">
        <v>449</v>
      </c>
      <c r="I686" s="9">
        <v>661</v>
      </c>
      <c r="J686" s="6">
        <v>14</v>
      </c>
      <c r="K686" s="15">
        <v>2</v>
      </c>
      <c r="L686" s="91" t="s">
        <v>447</v>
      </c>
      <c r="M686" s="92" t="s">
        <v>343</v>
      </c>
      <c r="N686" s="92" t="s">
        <v>357</v>
      </c>
      <c r="O686" s="92" t="s">
        <v>392</v>
      </c>
      <c r="P686" s="5"/>
      <c r="Q686" s="197">
        <f>Q687</f>
        <v>30225.4</v>
      </c>
      <c r="R686" s="197">
        <f t="shared" si="66"/>
        <v>13918.300000000001</v>
      </c>
      <c r="S686" s="197">
        <f t="shared" si="66"/>
        <v>15510.6</v>
      </c>
    </row>
    <row r="687" spans="1:19" ht="18.75" customHeight="1">
      <c r="A687" s="93"/>
      <c r="B687" s="94"/>
      <c r="C687" s="102"/>
      <c r="D687" s="103"/>
      <c r="E687" s="100"/>
      <c r="F687" s="100"/>
      <c r="G687" s="101"/>
      <c r="H687" s="10" t="s">
        <v>586</v>
      </c>
      <c r="I687" s="5">
        <v>661</v>
      </c>
      <c r="J687" s="6">
        <v>14</v>
      </c>
      <c r="K687" s="15">
        <v>2</v>
      </c>
      <c r="L687" s="91" t="s">
        <v>447</v>
      </c>
      <c r="M687" s="92" t="s">
        <v>343</v>
      </c>
      <c r="N687" s="92" t="s">
        <v>365</v>
      </c>
      <c r="O687" s="92" t="s">
        <v>392</v>
      </c>
      <c r="P687" s="5"/>
      <c r="Q687" s="197">
        <f>Q688+Q690</f>
        <v>30225.4</v>
      </c>
      <c r="R687" s="197">
        <f>R688+R690</f>
        <v>13918.300000000001</v>
      </c>
      <c r="S687" s="197">
        <f>S688+S690</f>
        <v>15510.6</v>
      </c>
    </row>
    <row r="688" spans="1:19" ht="23.25" customHeight="1">
      <c r="A688" s="95"/>
      <c r="B688" s="94"/>
      <c r="C688" s="102"/>
      <c r="D688" s="103"/>
      <c r="E688" s="100"/>
      <c r="F688" s="100"/>
      <c r="G688" s="101"/>
      <c r="H688" s="10" t="s">
        <v>585</v>
      </c>
      <c r="I688" s="5">
        <v>661</v>
      </c>
      <c r="J688" s="6">
        <v>14</v>
      </c>
      <c r="K688" s="15">
        <v>2</v>
      </c>
      <c r="L688" s="91" t="s">
        <v>447</v>
      </c>
      <c r="M688" s="92" t="s">
        <v>343</v>
      </c>
      <c r="N688" s="92" t="s">
        <v>365</v>
      </c>
      <c r="O688" s="92" t="s">
        <v>609</v>
      </c>
      <c r="P688" s="5" t="s">
        <v>320</v>
      </c>
      <c r="Q688" s="197">
        <f>Q689</f>
        <v>26266.5</v>
      </c>
      <c r="R688" s="197">
        <f>R689</f>
        <v>10798.2</v>
      </c>
      <c r="S688" s="197">
        <f>S689</f>
        <v>12390.5</v>
      </c>
    </row>
    <row r="689" spans="1:19" ht="20.25" customHeight="1">
      <c r="A689" s="95"/>
      <c r="B689" s="94"/>
      <c r="C689" s="102"/>
      <c r="D689" s="103"/>
      <c r="E689" s="100"/>
      <c r="F689" s="100"/>
      <c r="G689" s="101"/>
      <c r="H689" s="10" t="s">
        <v>460</v>
      </c>
      <c r="I689" s="5">
        <v>661</v>
      </c>
      <c r="J689" s="6">
        <v>14</v>
      </c>
      <c r="K689" s="15">
        <v>2</v>
      </c>
      <c r="L689" s="91" t="s">
        <v>447</v>
      </c>
      <c r="M689" s="92" t="s">
        <v>343</v>
      </c>
      <c r="N689" s="92" t="s">
        <v>365</v>
      </c>
      <c r="O689" s="92" t="s">
        <v>609</v>
      </c>
      <c r="P689" s="5">
        <v>510</v>
      </c>
      <c r="Q689" s="197">
        <f>'Приложение 8'!Q521</f>
        <v>26266.5</v>
      </c>
      <c r="R689" s="197">
        <v>10798.2</v>
      </c>
      <c r="S689" s="197">
        <v>12390.5</v>
      </c>
    </row>
    <row r="690" spans="1:19" ht="32.25" customHeight="1">
      <c r="A690" s="95"/>
      <c r="B690" s="94"/>
      <c r="C690" s="102"/>
      <c r="D690" s="103"/>
      <c r="E690" s="100"/>
      <c r="F690" s="100"/>
      <c r="G690" s="101"/>
      <c r="H690" s="10" t="s">
        <v>595</v>
      </c>
      <c r="I690" s="9">
        <v>661</v>
      </c>
      <c r="J690" s="6">
        <v>14</v>
      </c>
      <c r="K690" s="15">
        <v>2</v>
      </c>
      <c r="L690" s="91" t="s">
        <v>447</v>
      </c>
      <c r="M690" s="92" t="s">
        <v>343</v>
      </c>
      <c r="N690" s="92" t="s">
        <v>365</v>
      </c>
      <c r="O690" s="92" t="s">
        <v>594</v>
      </c>
      <c r="P690" s="5"/>
      <c r="Q690" s="197">
        <f>Q691</f>
        <v>3958.8999999999996</v>
      </c>
      <c r="R690" s="197">
        <f>R691</f>
        <v>3120.1</v>
      </c>
      <c r="S690" s="197">
        <f>S691</f>
        <v>3120.1</v>
      </c>
    </row>
    <row r="691" spans="1:19" ht="20.25" customHeight="1">
      <c r="A691" s="95"/>
      <c r="B691" s="94"/>
      <c r="C691" s="102"/>
      <c r="D691" s="103"/>
      <c r="E691" s="100"/>
      <c r="F691" s="100"/>
      <c r="G691" s="101"/>
      <c r="H691" s="10" t="s">
        <v>460</v>
      </c>
      <c r="I691" s="9">
        <v>661</v>
      </c>
      <c r="J691" s="6">
        <v>14</v>
      </c>
      <c r="K691" s="15">
        <v>2</v>
      </c>
      <c r="L691" s="91" t="s">
        <v>447</v>
      </c>
      <c r="M691" s="92" t="s">
        <v>343</v>
      </c>
      <c r="N691" s="92" t="s">
        <v>365</v>
      </c>
      <c r="O691" s="92" t="s">
        <v>594</v>
      </c>
      <c r="P691" s="5">
        <v>510</v>
      </c>
      <c r="Q691" s="197">
        <f>'Приложение 8'!Q523</f>
        <v>3958.8999999999996</v>
      </c>
      <c r="R691" s="197">
        <v>3120.1</v>
      </c>
      <c r="S691" s="197">
        <v>3120.1</v>
      </c>
    </row>
    <row r="692" spans="1:19" ht="21.75" customHeight="1">
      <c r="A692" s="95"/>
      <c r="B692" s="94"/>
      <c r="C692" s="93"/>
      <c r="D692" s="371">
        <v>20000</v>
      </c>
      <c r="E692" s="372"/>
      <c r="F692" s="372"/>
      <c r="G692" s="85">
        <v>360</v>
      </c>
      <c r="H692" s="120" t="s">
        <v>318</v>
      </c>
      <c r="I692" s="86"/>
      <c r="J692" s="87"/>
      <c r="K692" s="87"/>
      <c r="L692" s="88"/>
      <c r="M692" s="89"/>
      <c r="N692" s="89"/>
      <c r="O692" s="89"/>
      <c r="P692" s="8"/>
      <c r="Q692" s="193">
        <f>Q15+Q204+Q231+Q314+Q365+Q387+Q555+Q591+Q597+Q644+Q668+Q675</f>
        <v>655210.3999999999</v>
      </c>
      <c r="R692" s="193">
        <f>R15+R204+R231+R314+R365+R387+R555+R591+R597+R644+R668+R675</f>
        <v>536350.3</v>
      </c>
      <c r="S692" s="193">
        <f>S15+S204+S231+S314+S365+S387+S555+S591+S597+S644+S668+S675</f>
        <v>477348.6</v>
      </c>
    </row>
    <row r="693" spans="8:19" ht="18.75">
      <c r="H693" s="299" t="s">
        <v>573</v>
      </c>
      <c r="I693" s="300"/>
      <c r="J693" s="300"/>
      <c r="K693" s="300"/>
      <c r="L693" s="301"/>
      <c r="M693" s="302"/>
      <c r="N693" s="302"/>
      <c r="O693" s="303"/>
      <c r="P693" s="300"/>
      <c r="Q693" s="304" t="s">
        <v>393</v>
      </c>
      <c r="R693" s="305">
        <v>6500</v>
      </c>
      <c r="S693" s="305">
        <v>13200</v>
      </c>
    </row>
    <row r="694" spans="8:19" ht="18.75">
      <c r="H694" s="299" t="s">
        <v>526</v>
      </c>
      <c r="I694" s="300"/>
      <c r="J694" s="300"/>
      <c r="K694" s="300"/>
      <c r="L694" s="301"/>
      <c r="M694" s="302"/>
      <c r="N694" s="302"/>
      <c r="O694" s="303"/>
      <c r="P694" s="300"/>
      <c r="Q694" s="305">
        <f>Q692</f>
        <v>655210.3999999999</v>
      </c>
      <c r="R694" s="305">
        <f>R692+R693</f>
        <v>542850.3</v>
      </c>
      <c r="S694" s="305">
        <f>S692+S693</f>
        <v>490548.6</v>
      </c>
    </row>
    <row r="695" ht="15.75">
      <c r="S695" s="319" t="s">
        <v>314</v>
      </c>
    </row>
  </sheetData>
  <sheetProtection/>
  <mergeCells count="45"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480:F480"/>
    <mergeCell ref="D555:F555"/>
    <mergeCell ref="E556:F556"/>
    <mergeCell ref="D41:F41"/>
    <mergeCell ref="A93:F93"/>
    <mergeCell ref="R11:S11"/>
    <mergeCell ref="H12:H13"/>
    <mergeCell ref="C94:F94"/>
    <mergeCell ref="D95:F95"/>
    <mergeCell ref="E161:F161"/>
    <mergeCell ref="D182:F182"/>
    <mergeCell ref="E304:F304"/>
    <mergeCell ref="C458:F458"/>
    <mergeCell ref="D582:F582"/>
    <mergeCell ref="E627:F627"/>
    <mergeCell ref="D692:F692"/>
    <mergeCell ref="D193:F193"/>
    <mergeCell ref="E67:F67"/>
    <mergeCell ref="E388:F388"/>
    <mergeCell ref="E601:F601"/>
    <mergeCell ref="D603:F603"/>
    <mergeCell ref="D620:F620"/>
    <mergeCell ref="E628:F628"/>
    <mergeCell ref="E640:F640"/>
    <mergeCell ref="D645:F645"/>
    <mergeCell ref="C478:F478"/>
    <mergeCell ref="J4:S4"/>
    <mergeCell ref="J5:S5"/>
    <mergeCell ref="J6:S6"/>
    <mergeCell ref="J7:S7"/>
    <mergeCell ref="J8:S8"/>
    <mergeCell ref="H10:S10"/>
    <mergeCell ref="E557:F55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5"/>
  <sheetViews>
    <sheetView showGridLines="0" tabSelected="1" zoomScale="70" zoomScaleNormal="70" zoomScaleSheetLayoutView="100" workbookViewId="0" topLeftCell="H467">
      <selection activeCell="Q471" sqref="Q471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4" customWidth="1"/>
    <col min="9" max="9" width="7.8515625" style="167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ht="15.75">
      <c r="I1" s="168" t="s">
        <v>880</v>
      </c>
    </row>
    <row r="2" ht="15.75">
      <c r="I2" s="168" t="s">
        <v>315</v>
      </c>
    </row>
    <row r="3" ht="15.75">
      <c r="I3" s="66" t="s">
        <v>316</v>
      </c>
    </row>
    <row r="4" spans="8:19" ht="15.75">
      <c r="H4" s="271"/>
      <c r="I4" s="376" t="s">
        <v>815</v>
      </c>
      <c r="J4" s="376"/>
      <c r="K4" s="376"/>
      <c r="L4" s="376"/>
      <c r="M4" s="376"/>
      <c r="N4" s="376"/>
      <c r="O4" s="376"/>
      <c r="P4" s="376"/>
      <c r="Q4" s="376"/>
      <c r="R4" s="376"/>
      <c r="S4" s="376"/>
    </row>
    <row r="5" spans="9:19" ht="15.75">
      <c r="I5" s="376" t="s">
        <v>571</v>
      </c>
      <c r="J5" s="376"/>
      <c r="K5" s="376"/>
      <c r="L5" s="376"/>
      <c r="M5" s="376"/>
      <c r="N5" s="376"/>
      <c r="O5" s="376"/>
      <c r="P5" s="376"/>
      <c r="Q5" s="376"/>
      <c r="R5" s="376"/>
      <c r="S5" s="376"/>
    </row>
    <row r="6" spans="9:19" ht="15.75">
      <c r="I6" s="376" t="s">
        <v>556</v>
      </c>
      <c r="J6" s="376"/>
      <c r="K6" s="376"/>
      <c r="L6" s="376"/>
      <c r="M6" s="376"/>
      <c r="N6" s="376"/>
      <c r="O6" s="376"/>
      <c r="P6" s="376"/>
      <c r="Q6" s="376"/>
      <c r="R6" s="376"/>
      <c r="S6" s="376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367" t="s">
        <v>557</v>
      </c>
      <c r="J7" s="367"/>
      <c r="K7" s="367"/>
      <c r="L7" s="367"/>
      <c r="M7" s="367"/>
      <c r="N7" s="367"/>
      <c r="O7" s="367"/>
      <c r="P7" s="367"/>
      <c r="Q7" s="367"/>
      <c r="R7" s="367"/>
      <c r="S7" s="367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367" t="s">
        <v>816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393</v>
      </c>
      <c r="I9" s="70" t="s">
        <v>393</v>
      </c>
      <c r="J9" s="71" t="s">
        <v>393</v>
      </c>
      <c r="K9" s="71"/>
      <c r="L9" s="68"/>
      <c r="M9" s="68"/>
      <c r="N9" s="68"/>
      <c r="O9" s="68" t="s">
        <v>393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398" t="s">
        <v>558</v>
      </c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77"/>
      <c r="S11" s="377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78" t="s">
        <v>258</v>
      </c>
      <c r="I12" s="392" t="s">
        <v>257</v>
      </c>
      <c r="J12" s="392" t="s">
        <v>256</v>
      </c>
      <c r="K12" s="378" t="s">
        <v>255</v>
      </c>
      <c r="L12" s="383" t="s">
        <v>254</v>
      </c>
      <c r="M12" s="384"/>
      <c r="N12" s="384"/>
      <c r="O12" s="385"/>
      <c r="P12" s="378" t="s">
        <v>253</v>
      </c>
      <c r="Q12" s="389" t="s">
        <v>309</v>
      </c>
      <c r="R12" s="390"/>
      <c r="S12" s="391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79"/>
      <c r="I13" s="393"/>
      <c r="J13" s="393"/>
      <c r="K13" s="379"/>
      <c r="L13" s="386"/>
      <c r="M13" s="387"/>
      <c r="N13" s="387"/>
      <c r="O13" s="388"/>
      <c r="P13" s="379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80">
        <v>5</v>
      </c>
      <c r="M14" s="381"/>
      <c r="N14" s="381"/>
      <c r="O14" s="382"/>
      <c r="P14" s="80">
        <v>6</v>
      </c>
      <c r="Q14" s="83">
        <v>7</v>
      </c>
      <c r="R14" s="272">
        <v>8</v>
      </c>
      <c r="S14" s="272">
        <v>9</v>
      </c>
    </row>
    <row r="15" spans="1:19" s="273" customFormat="1" ht="18.75" customHeight="1">
      <c r="A15" s="394">
        <v>1</v>
      </c>
      <c r="B15" s="394"/>
      <c r="C15" s="394"/>
      <c r="D15" s="394"/>
      <c r="E15" s="394"/>
      <c r="F15" s="394"/>
      <c r="G15" s="125">
        <v>120</v>
      </c>
      <c r="H15" s="31" t="s">
        <v>265</v>
      </c>
      <c r="I15" s="13">
        <v>27</v>
      </c>
      <c r="J15" s="14" t="s">
        <v>320</v>
      </c>
      <c r="K15" s="14" t="s">
        <v>320</v>
      </c>
      <c r="L15" s="126" t="s">
        <v>320</v>
      </c>
      <c r="M15" s="127" t="s">
        <v>320</v>
      </c>
      <c r="N15" s="127"/>
      <c r="O15" s="127" t="s">
        <v>320</v>
      </c>
      <c r="P15" s="13" t="s">
        <v>320</v>
      </c>
      <c r="Q15" s="193">
        <f>Q16+Q92+Q119+Q199+Q250+Q272+Q302+Q338+Q344+Q377</f>
        <v>287849.20000000007</v>
      </c>
      <c r="R15" s="193">
        <f>R16+R92+R119+R199+R250+R272+R302+R338+R344+R377</f>
        <v>204300.80000000002</v>
      </c>
      <c r="S15" s="193">
        <f>S16+S92+S119+S199+S250+S272+S302+S338+S344+S377</f>
        <v>140011.09999999998</v>
      </c>
    </row>
    <row r="16" spans="1:19" s="171" customFormat="1" ht="18.75" customHeight="1">
      <c r="A16" s="365">
        <v>100</v>
      </c>
      <c r="B16" s="365"/>
      <c r="C16" s="366"/>
      <c r="D16" s="366"/>
      <c r="E16" s="366"/>
      <c r="F16" s="366"/>
      <c r="G16" s="129">
        <v>120</v>
      </c>
      <c r="H16" s="130" t="s">
        <v>322</v>
      </c>
      <c r="I16" s="131">
        <v>27</v>
      </c>
      <c r="J16" s="132">
        <v>1</v>
      </c>
      <c r="K16" s="132" t="s">
        <v>393</v>
      </c>
      <c r="L16" s="133" t="s">
        <v>320</v>
      </c>
      <c r="M16" s="134" t="s">
        <v>320</v>
      </c>
      <c r="N16" s="134"/>
      <c r="O16" s="134" t="s">
        <v>320</v>
      </c>
      <c r="P16" s="131" t="s">
        <v>320</v>
      </c>
      <c r="Q16" s="194">
        <f>Q17+Q41+Q46+Q50</f>
        <v>58445.90000000001</v>
      </c>
      <c r="R16" s="194">
        <f>R17+R41+R46+R50</f>
        <v>60156.100000000006</v>
      </c>
      <c r="S16" s="194">
        <f>S17+S41+S46+S50</f>
        <v>56394.1</v>
      </c>
    </row>
    <row r="17" spans="1:19" s="318" customFormat="1" ht="45" customHeight="1">
      <c r="A17" s="311"/>
      <c r="B17" s="312"/>
      <c r="C17" s="396">
        <v>104</v>
      </c>
      <c r="D17" s="397"/>
      <c r="E17" s="397"/>
      <c r="F17" s="397"/>
      <c r="G17" s="313">
        <v>120</v>
      </c>
      <c r="H17" s="297" t="s">
        <v>250</v>
      </c>
      <c r="I17" s="314">
        <v>27</v>
      </c>
      <c r="J17" s="315">
        <v>1</v>
      </c>
      <c r="K17" s="315">
        <v>4</v>
      </c>
      <c r="L17" s="316" t="s">
        <v>320</v>
      </c>
      <c r="M17" s="317" t="s">
        <v>320</v>
      </c>
      <c r="N17" s="317" t="s">
        <v>393</v>
      </c>
      <c r="O17" s="317" t="s">
        <v>320</v>
      </c>
      <c r="P17" s="314" t="s">
        <v>320</v>
      </c>
      <c r="Q17" s="285">
        <f aca="true" t="shared" si="0" ref="Q17:S18">Q18</f>
        <v>23116.600000000002</v>
      </c>
      <c r="R17" s="285">
        <f t="shared" si="0"/>
        <v>22012.100000000002</v>
      </c>
      <c r="S17" s="285">
        <f t="shared" si="0"/>
        <v>22012.100000000002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53</v>
      </c>
      <c r="I18" s="9">
        <v>27</v>
      </c>
      <c r="J18" s="15">
        <v>1</v>
      </c>
      <c r="K18" s="15">
        <v>4</v>
      </c>
      <c r="L18" s="15">
        <v>50</v>
      </c>
      <c r="M18" s="92" t="s">
        <v>347</v>
      </c>
      <c r="N18" s="92" t="s">
        <v>357</v>
      </c>
      <c r="O18" s="92" t="s">
        <v>392</v>
      </c>
      <c r="P18" s="9"/>
      <c r="Q18" s="195">
        <f t="shared" si="0"/>
        <v>23116.600000000002</v>
      </c>
      <c r="R18" s="195">
        <f t="shared" si="0"/>
        <v>22012.100000000002</v>
      </c>
      <c r="S18" s="195">
        <f t="shared" si="0"/>
        <v>22012.100000000002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54</v>
      </c>
      <c r="I19" s="9">
        <v>27</v>
      </c>
      <c r="J19" s="15">
        <v>1</v>
      </c>
      <c r="K19" s="15">
        <v>4</v>
      </c>
      <c r="L19" s="15">
        <v>50</v>
      </c>
      <c r="M19" s="92" t="s">
        <v>347</v>
      </c>
      <c r="N19" s="92" t="s">
        <v>348</v>
      </c>
      <c r="O19" s="92" t="s">
        <v>392</v>
      </c>
      <c r="P19" s="9"/>
      <c r="Q19" s="195">
        <f>Q20+Q27+Q29+Q32+Q34+Q37+Q39+Q25</f>
        <v>23116.600000000002</v>
      </c>
      <c r="R19" s="195">
        <f>R20+R27+R29+R32+R34+R37</f>
        <v>22012.100000000002</v>
      </c>
      <c r="S19" s="195">
        <f>S20+S27+S29+S32+S34+S37</f>
        <v>22012.100000000002</v>
      </c>
    </row>
    <row r="20" spans="1:19" ht="29.25" customHeight="1">
      <c r="A20" s="95"/>
      <c r="B20" s="94"/>
      <c r="C20" s="93"/>
      <c r="D20" s="371">
        <v>20000</v>
      </c>
      <c r="E20" s="372"/>
      <c r="F20" s="372"/>
      <c r="G20" s="85">
        <v>120</v>
      </c>
      <c r="H20" s="10" t="s">
        <v>100</v>
      </c>
      <c r="I20" s="9">
        <v>27</v>
      </c>
      <c r="J20" s="15">
        <v>1</v>
      </c>
      <c r="K20" s="15">
        <v>4</v>
      </c>
      <c r="L20" s="15">
        <v>50</v>
      </c>
      <c r="M20" s="92" t="s">
        <v>347</v>
      </c>
      <c r="N20" s="92" t="s">
        <v>348</v>
      </c>
      <c r="O20" s="92" t="s">
        <v>398</v>
      </c>
      <c r="P20" s="9" t="s">
        <v>320</v>
      </c>
      <c r="Q20" s="195">
        <f>SUM(Q21:Q24)</f>
        <v>17991.300000000003</v>
      </c>
      <c r="R20" s="195">
        <f>SUM(R21:R24)</f>
        <v>19338.600000000002</v>
      </c>
      <c r="S20" s="195">
        <f>SUM(S21:S24)</f>
        <v>19338.600000000002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319</v>
      </c>
      <c r="I21" s="5">
        <v>27</v>
      </c>
      <c r="J21" s="15">
        <v>1</v>
      </c>
      <c r="K21" s="15">
        <v>4</v>
      </c>
      <c r="L21" s="15">
        <v>50</v>
      </c>
      <c r="M21" s="92" t="s">
        <v>347</v>
      </c>
      <c r="N21" s="92" t="s">
        <v>348</v>
      </c>
      <c r="O21" s="92" t="s">
        <v>398</v>
      </c>
      <c r="P21" s="9">
        <v>120</v>
      </c>
      <c r="Q21" s="195">
        <f>14759.6+490.7+30-597.7-0.9-336.6-215.6+934.3+377.7</f>
        <v>15441.5</v>
      </c>
      <c r="R21" s="195">
        <v>14759.7</v>
      </c>
      <c r="S21" s="195">
        <v>14759.7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454</v>
      </c>
      <c r="I22" s="7">
        <v>27</v>
      </c>
      <c r="J22" s="15">
        <v>1</v>
      </c>
      <c r="K22" s="15">
        <v>4</v>
      </c>
      <c r="L22" s="15">
        <v>50</v>
      </c>
      <c r="M22" s="92" t="s">
        <v>347</v>
      </c>
      <c r="N22" s="92" t="s">
        <v>348</v>
      </c>
      <c r="O22" s="92" t="s">
        <v>398</v>
      </c>
      <c r="P22" s="5">
        <v>240</v>
      </c>
      <c r="Q22" s="195">
        <f>3725-1000-30-211.2-1000+211.2</f>
        <v>1695.0000000000002</v>
      </c>
      <c r="R22" s="195">
        <v>3725</v>
      </c>
      <c r="S22" s="195">
        <v>3725</v>
      </c>
    </row>
    <row r="23" spans="1:19" ht="26.25" customHeight="1">
      <c r="A23" s="95"/>
      <c r="B23" s="94"/>
      <c r="C23" s="102"/>
      <c r="D23" s="103"/>
      <c r="E23" s="100"/>
      <c r="F23" s="100"/>
      <c r="G23" s="85"/>
      <c r="H23" s="4" t="s">
        <v>459</v>
      </c>
      <c r="I23" s="7">
        <v>27</v>
      </c>
      <c r="J23" s="15">
        <v>1</v>
      </c>
      <c r="K23" s="15">
        <v>4</v>
      </c>
      <c r="L23" s="15">
        <v>50</v>
      </c>
      <c r="M23" s="92" t="s">
        <v>347</v>
      </c>
      <c r="N23" s="92" t="s">
        <v>348</v>
      </c>
      <c r="O23" s="92" t="s">
        <v>398</v>
      </c>
      <c r="P23" s="5">
        <v>320</v>
      </c>
      <c r="Q23" s="195">
        <v>0.9</v>
      </c>
      <c r="R23" s="195">
        <v>0</v>
      </c>
      <c r="S23" s="195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455</v>
      </c>
      <c r="I24" s="7">
        <v>27</v>
      </c>
      <c r="J24" s="15">
        <v>1</v>
      </c>
      <c r="K24" s="15">
        <v>4</v>
      </c>
      <c r="L24" s="15">
        <v>50</v>
      </c>
      <c r="M24" s="92" t="s">
        <v>347</v>
      </c>
      <c r="N24" s="92" t="s">
        <v>348</v>
      </c>
      <c r="O24" s="92" t="s">
        <v>398</v>
      </c>
      <c r="P24" s="5">
        <v>850</v>
      </c>
      <c r="Q24" s="195">
        <v>853.9</v>
      </c>
      <c r="R24" s="195">
        <v>853.9</v>
      </c>
      <c r="S24" s="195">
        <v>853.9</v>
      </c>
    </row>
    <row r="25" spans="1:19" ht="37.5" customHeight="1">
      <c r="A25" s="95"/>
      <c r="B25" s="94"/>
      <c r="C25" s="102"/>
      <c r="D25" s="103"/>
      <c r="E25" s="100"/>
      <c r="F25" s="100"/>
      <c r="G25" s="85"/>
      <c r="H25" s="104" t="s">
        <v>884</v>
      </c>
      <c r="I25" s="12">
        <v>27</v>
      </c>
      <c r="J25" s="15">
        <v>1</v>
      </c>
      <c r="K25" s="15">
        <v>4</v>
      </c>
      <c r="L25" s="15">
        <v>50</v>
      </c>
      <c r="M25" s="92" t="s">
        <v>347</v>
      </c>
      <c r="N25" s="92" t="s">
        <v>348</v>
      </c>
      <c r="O25" s="92" t="s">
        <v>883</v>
      </c>
      <c r="P25" s="9"/>
      <c r="Q25" s="195">
        <f>Q26</f>
        <v>419.9</v>
      </c>
      <c r="R25" s="195">
        <f>R26</f>
        <v>0</v>
      </c>
      <c r="S25" s="195">
        <f>S26</f>
        <v>0</v>
      </c>
    </row>
    <row r="26" spans="1:19" ht="20.25" customHeight="1">
      <c r="A26" s="95"/>
      <c r="B26" s="94"/>
      <c r="C26" s="102"/>
      <c r="D26" s="103"/>
      <c r="E26" s="100"/>
      <c r="F26" s="100"/>
      <c r="G26" s="85"/>
      <c r="H26" s="4" t="s">
        <v>319</v>
      </c>
      <c r="I26" s="12">
        <v>27</v>
      </c>
      <c r="J26" s="15">
        <v>1</v>
      </c>
      <c r="K26" s="15">
        <v>4</v>
      </c>
      <c r="L26" s="15">
        <v>50</v>
      </c>
      <c r="M26" s="92" t="s">
        <v>347</v>
      </c>
      <c r="N26" s="92" t="s">
        <v>348</v>
      </c>
      <c r="O26" s="92" t="s">
        <v>883</v>
      </c>
      <c r="P26" s="9">
        <v>120</v>
      </c>
      <c r="Q26" s="195">
        <v>419.9</v>
      </c>
      <c r="R26" s="195">
        <v>0</v>
      </c>
      <c r="S26" s="195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595</v>
      </c>
      <c r="I27" s="12">
        <v>27</v>
      </c>
      <c r="J27" s="15">
        <v>1</v>
      </c>
      <c r="K27" s="15">
        <v>4</v>
      </c>
      <c r="L27" s="15">
        <v>50</v>
      </c>
      <c r="M27" s="92" t="s">
        <v>347</v>
      </c>
      <c r="N27" s="92" t="s">
        <v>348</v>
      </c>
      <c r="O27" s="92" t="s">
        <v>594</v>
      </c>
      <c r="P27" s="9"/>
      <c r="Q27" s="195">
        <f>Q28</f>
        <v>3225.1</v>
      </c>
      <c r="R27" s="195">
        <f>R28</f>
        <v>2673.5</v>
      </c>
      <c r="S27" s="195">
        <f>S28</f>
        <v>2673.5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319</v>
      </c>
      <c r="I28" s="12">
        <v>27</v>
      </c>
      <c r="J28" s="15">
        <v>1</v>
      </c>
      <c r="K28" s="15">
        <v>4</v>
      </c>
      <c r="L28" s="15">
        <v>50</v>
      </c>
      <c r="M28" s="92" t="s">
        <v>347</v>
      </c>
      <c r="N28" s="92" t="s">
        <v>348</v>
      </c>
      <c r="O28" s="92" t="s">
        <v>594</v>
      </c>
      <c r="P28" s="9">
        <v>120</v>
      </c>
      <c r="Q28" s="195">
        <f>2673.5+551.6</f>
        <v>3225.1</v>
      </c>
      <c r="R28" s="195">
        <v>2673.5</v>
      </c>
      <c r="S28" s="195">
        <v>2673.5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592</v>
      </c>
      <c r="I29" s="9">
        <v>27</v>
      </c>
      <c r="J29" s="15">
        <v>1</v>
      </c>
      <c r="K29" s="15">
        <v>4</v>
      </c>
      <c r="L29" s="15">
        <v>50</v>
      </c>
      <c r="M29" s="92" t="s">
        <v>347</v>
      </c>
      <c r="N29" s="92" t="s">
        <v>348</v>
      </c>
      <c r="O29" s="92" t="s">
        <v>591</v>
      </c>
      <c r="P29" s="9"/>
      <c r="Q29" s="195">
        <f>SUM(Q30:Q31)</f>
        <v>818</v>
      </c>
      <c r="R29" s="195">
        <f>SUM(R30:R31)</f>
        <v>0</v>
      </c>
      <c r="S29" s="195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319</v>
      </c>
      <c r="I30" s="9">
        <v>27</v>
      </c>
      <c r="J30" s="15">
        <v>1</v>
      </c>
      <c r="K30" s="15">
        <v>4</v>
      </c>
      <c r="L30" s="15">
        <v>50</v>
      </c>
      <c r="M30" s="92" t="s">
        <v>347</v>
      </c>
      <c r="N30" s="92" t="s">
        <v>348</v>
      </c>
      <c r="O30" s="92" t="s">
        <v>591</v>
      </c>
      <c r="P30" s="9">
        <v>120</v>
      </c>
      <c r="Q30" s="195">
        <f>783</f>
        <v>783</v>
      </c>
      <c r="R30" s="195">
        <v>0</v>
      </c>
      <c r="S30" s="195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454</v>
      </c>
      <c r="I31" s="9">
        <v>27</v>
      </c>
      <c r="J31" s="15">
        <v>1</v>
      </c>
      <c r="K31" s="15">
        <v>4</v>
      </c>
      <c r="L31" s="15">
        <v>50</v>
      </c>
      <c r="M31" s="92" t="s">
        <v>347</v>
      </c>
      <c r="N31" s="92" t="s">
        <v>348</v>
      </c>
      <c r="O31" s="92" t="s">
        <v>591</v>
      </c>
      <c r="P31" s="9">
        <v>240</v>
      </c>
      <c r="Q31" s="195">
        <v>35</v>
      </c>
      <c r="R31" s="195">
        <v>0</v>
      </c>
      <c r="S31" s="195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347</v>
      </c>
      <c r="N32" s="92" t="s">
        <v>348</v>
      </c>
      <c r="O32" s="92" t="s">
        <v>593</v>
      </c>
      <c r="P32" s="9"/>
      <c r="Q32" s="195">
        <f>Q33</f>
        <v>84.7</v>
      </c>
      <c r="R32" s="195">
        <v>0</v>
      </c>
      <c r="S32" s="195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319</v>
      </c>
      <c r="I33" s="9">
        <v>27</v>
      </c>
      <c r="J33" s="15">
        <v>1</v>
      </c>
      <c r="K33" s="15">
        <v>4</v>
      </c>
      <c r="L33" s="15">
        <v>50</v>
      </c>
      <c r="M33" s="92" t="s">
        <v>347</v>
      </c>
      <c r="N33" s="92" t="s">
        <v>348</v>
      </c>
      <c r="O33" s="92" t="s">
        <v>593</v>
      </c>
      <c r="P33" s="9">
        <v>120</v>
      </c>
      <c r="Q33" s="195">
        <f>84.5+0.2</f>
        <v>84.7</v>
      </c>
      <c r="R33" s="195">
        <v>0</v>
      </c>
      <c r="S33" s="195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848</v>
      </c>
      <c r="I34" s="9">
        <v>27</v>
      </c>
      <c r="J34" s="15">
        <v>1</v>
      </c>
      <c r="K34" s="15">
        <v>4</v>
      </c>
      <c r="L34" s="15">
        <v>50</v>
      </c>
      <c r="M34" s="92" t="s">
        <v>347</v>
      </c>
      <c r="N34" s="92" t="s">
        <v>348</v>
      </c>
      <c r="O34" s="92" t="s">
        <v>476</v>
      </c>
      <c r="P34" s="9"/>
      <c r="Q34" s="195">
        <f>SUM(Q35:Q36)</f>
        <v>424.1</v>
      </c>
      <c r="R34" s="195">
        <f>SUM(R35:R36)</f>
        <v>0</v>
      </c>
      <c r="S34" s="195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319</v>
      </c>
      <c r="I35" s="9">
        <v>27</v>
      </c>
      <c r="J35" s="15">
        <v>1</v>
      </c>
      <c r="K35" s="15">
        <v>4</v>
      </c>
      <c r="L35" s="15">
        <v>50</v>
      </c>
      <c r="M35" s="92" t="s">
        <v>347</v>
      </c>
      <c r="N35" s="92" t="s">
        <v>348</v>
      </c>
      <c r="O35" s="92" t="s">
        <v>476</v>
      </c>
      <c r="P35" s="9">
        <v>120</v>
      </c>
      <c r="Q35" s="195">
        <f>419.1</f>
        <v>419.1</v>
      </c>
      <c r="R35" s="195">
        <v>0</v>
      </c>
      <c r="S35" s="195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454</v>
      </c>
      <c r="I36" s="9">
        <v>27</v>
      </c>
      <c r="J36" s="15">
        <v>1</v>
      </c>
      <c r="K36" s="15">
        <v>4</v>
      </c>
      <c r="L36" s="15">
        <v>50</v>
      </c>
      <c r="M36" s="92" t="s">
        <v>347</v>
      </c>
      <c r="N36" s="92" t="s">
        <v>348</v>
      </c>
      <c r="O36" s="92" t="s">
        <v>476</v>
      </c>
      <c r="P36" s="9">
        <v>240</v>
      </c>
      <c r="Q36" s="195">
        <v>5</v>
      </c>
      <c r="R36" s="196">
        <v>0</v>
      </c>
      <c r="S36" s="196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491</v>
      </c>
      <c r="I37" s="9">
        <v>27</v>
      </c>
      <c r="J37" s="15">
        <v>1</v>
      </c>
      <c r="K37" s="15">
        <v>4</v>
      </c>
      <c r="L37" s="15">
        <v>50</v>
      </c>
      <c r="M37" s="92" t="s">
        <v>347</v>
      </c>
      <c r="N37" s="92" t="s">
        <v>348</v>
      </c>
      <c r="O37" s="92" t="s">
        <v>477</v>
      </c>
      <c r="P37" s="9"/>
      <c r="Q37" s="195">
        <f>Q38</f>
        <v>153</v>
      </c>
      <c r="R37" s="195">
        <f>R38</f>
        <v>0</v>
      </c>
      <c r="S37" s="195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319</v>
      </c>
      <c r="I38" s="9">
        <v>27</v>
      </c>
      <c r="J38" s="15">
        <v>1</v>
      </c>
      <c r="K38" s="15">
        <v>4</v>
      </c>
      <c r="L38" s="15">
        <v>50</v>
      </c>
      <c r="M38" s="92" t="s">
        <v>347</v>
      </c>
      <c r="N38" s="92" t="s">
        <v>348</v>
      </c>
      <c r="O38" s="92" t="s">
        <v>477</v>
      </c>
      <c r="P38" s="9">
        <v>120</v>
      </c>
      <c r="Q38" s="195">
        <v>153</v>
      </c>
      <c r="R38" s="195">
        <v>0</v>
      </c>
      <c r="S38" s="195">
        <v>0</v>
      </c>
    </row>
    <row r="39" spans="1:19" ht="68.25" customHeight="1">
      <c r="A39" s="95"/>
      <c r="B39" s="94"/>
      <c r="C39" s="102"/>
      <c r="D39" s="103"/>
      <c r="E39" s="100"/>
      <c r="F39" s="100"/>
      <c r="G39" s="85"/>
      <c r="H39" s="10" t="s">
        <v>490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348</v>
      </c>
      <c r="O39" s="92" t="s">
        <v>847</v>
      </c>
      <c r="P39" s="9"/>
      <c r="Q39" s="195">
        <f>Q40</f>
        <v>0.5</v>
      </c>
      <c r="R39" s="195">
        <f>R40</f>
        <v>0</v>
      </c>
      <c r="S39" s="195">
        <f>S40</f>
        <v>0</v>
      </c>
    </row>
    <row r="40" spans="1:19" ht="24" customHeight="1">
      <c r="A40" s="95"/>
      <c r="B40" s="94"/>
      <c r="C40" s="102"/>
      <c r="D40" s="103"/>
      <c r="E40" s="100"/>
      <c r="F40" s="100"/>
      <c r="G40" s="85"/>
      <c r="H40" s="10" t="s">
        <v>319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847</v>
      </c>
      <c r="P40" s="9">
        <v>120</v>
      </c>
      <c r="Q40" s="195">
        <v>0.5</v>
      </c>
      <c r="R40" s="195">
        <v>0</v>
      </c>
      <c r="S40" s="195">
        <v>0</v>
      </c>
    </row>
    <row r="41" spans="1:19" s="171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389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4">
        <f>Q42</f>
        <v>9.1</v>
      </c>
      <c r="R41" s="194">
        <f aca="true" t="shared" si="1" ref="R41:S43">R42</f>
        <v>26.9</v>
      </c>
      <c r="S41" s="194">
        <f t="shared" si="1"/>
        <v>3.7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53</v>
      </c>
      <c r="I42" s="9">
        <v>27</v>
      </c>
      <c r="J42" s="15">
        <v>1</v>
      </c>
      <c r="K42" s="15">
        <v>5</v>
      </c>
      <c r="L42" s="15">
        <v>50</v>
      </c>
      <c r="M42" s="92" t="s">
        <v>347</v>
      </c>
      <c r="N42" s="92" t="s">
        <v>357</v>
      </c>
      <c r="O42" s="92" t="s">
        <v>392</v>
      </c>
      <c r="P42" s="9"/>
      <c r="Q42" s="195">
        <f>Q43</f>
        <v>9.1</v>
      </c>
      <c r="R42" s="195">
        <f t="shared" si="1"/>
        <v>26.9</v>
      </c>
      <c r="S42" s="195">
        <f t="shared" si="1"/>
        <v>3.7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55</v>
      </c>
      <c r="I43" s="9">
        <v>27</v>
      </c>
      <c r="J43" s="15">
        <v>1</v>
      </c>
      <c r="K43" s="15">
        <v>5</v>
      </c>
      <c r="L43" s="15">
        <v>50</v>
      </c>
      <c r="M43" s="92" t="s">
        <v>347</v>
      </c>
      <c r="N43" s="92" t="s">
        <v>365</v>
      </c>
      <c r="O43" s="92" t="s">
        <v>392</v>
      </c>
      <c r="P43" s="9"/>
      <c r="Q43" s="195">
        <f>Q44</f>
        <v>9.1</v>
      </c>
      <c r="R43" s="195">
        <f t="shared" si="1"/>
        <v>26.9</v>
      </c>
      <c r="S43" s="195">
        <f t="shared" si="1"/>
        <v>3.7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499</v>
      </c>
      <c r="I44" s="9">
        <v>27</v>
      </c>
      <c r="J44" s="15">
        <v>1</v>
      </c>
      <c r="K44" s="15">
        <v>5</v>
      </c>
      <c r="L44" s="15">
        <v>50</v>
      </c>
      <c r="M44" s="92" t="s">
        <v>347</v>
      </c>
      <c r="N44" s="92" t="s">
        <v>365</v>
      </c>
      <c r="O44" s="92" t="s">
        <v>498</v>
      </c>
      <c r="P44" s="9"/>
      <c r="Q44" s="195">
        <f>Q45</f>
        <v>9.1</v>
      </c>
      <c r="R44" s="195">
        <f>R45</f>
        <v>26.9</v>
      </c>
      <c r="S44" s="195">
        <f>S45</f>
        <v>3.7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454</v>
      </c>
      <c r="I45" s="9">
        <v>27</v>
      </c>
      <c r="J45" s="15">
        <v>1</v>
      </c>
      <c r="K45" s="15">
        <v>5</v>
      </c>
      <c r="L45" s="15">
        <v>50</v>
      </c>
      <c r="M45" s="92" t="s">
        <v>347</v>
      </c>
      <c r="N45" s="92" t="s">
        <v>365</v>
      </c>
      <c r="O45" s="92" t="s">
        <v>498</v>
      </c>
      <c r="P45" s="9">
        <v>240</v>
      </c>
      <c r="Q45" s="195">
        <v>9.1</v>
      </c>
      <c r="R45" s="195">
        <v>26.9</v>
      </c>
      <c r="S45" s="195">
        <v>3.7</v>
      </c>
    </row>
    <row r="46" spans="1:19" s="171" customFormat="1" ht="18.75" customHeight="1">
      <c r="A46" s="365">
        <v>1200</v>
      </c>
      <c r="B46" s="365"/>
      <c r="C46" s="366"/>
      <c r="D46" s="366"/>
      <c r="E46" s="366"/>
      <c r="F46" s="366"/>
      <c r="G46" s="129">
        <v>622</v>
      </c>
      <c r="H46" s="130" t="s">
        <v>119</v>
      </c>
      <c r="I46" s="131">
        <v>27</v>
      </c>
      <c r="J46" s="132">
        <v>1</v>
      </c>
      <c r="K46" s="132">
        <v>11</v>
      </c>
      <c r="L46" s="133" t="s">
        <v>320</v>
      </c>
      <c r="M46" s="134" t="s">
        <v>320</v>
      </c>
      <c r="N46" s="134"/>
      <c r="O46" s="134" t="s">
        <v>320</v>
      </c>
      <c r="P46" s="131" t="s">
        <v>320</v>
      </c>
      <c r="Q46" s="194">
        <f aca="true" t="shared" si="2" ref="Q46:S48">Q47</f>
        <v>0</v>
      </c>
      <c r="R46" s="194">
        <f t="shared" si="2"/>
        <v>500</v>
      </c>
      <c r="S46" s="194">
        <f t="shared" si="2"/>
        <v>500</v>
      </c>
    </row>
    <row r="47" spans="1:19" ht="23.25" customHeight="1">
      <c r="A47" s="95"/>
      <c r="B47" s="94"/>
      <c r="C47" s="374">
        <v>1204</v>
      </c>
      <c r="D47" s="375"/>
      <c r="E47" s="375"/>
      <c r="F47" s="375"/>
      <c r="G47" s="85">
        <v>622</v>
      </c>
      <c r="H47" s="10" t="s">
        <v>119</v>
      </c>
      <c r="I47" s="9">
        <v>27</v>
      </c>
      <c r="J47" s="15">
        <v>1</v>
      </c>
      <c r="K47" s="15">
        <v>11</v>
      </c>
      <c r="L47" s="91">
        <v>70</v>
      </c>
      <c r="M47" s="92">
        <v>0</v>
      </c>
      <c r="N47" s="92" t="s">
        <v>357</v>
      </c>
      <c r="O47" s="92" t="s">
        <v>392</v>
      </c>
      <c r="P47" s="9" t="s">
        <v>320</v>
      </c>
      <c r="Q47" s="195">
        <f t="shared" si="2"/>
        <v>0</v>
      </c>
      <c r="R47" s="195">
        <f t="shared" si="2"/>
        <v>500</v>
      </c>
      <c r="S47" s="195">
        <f t="shared" si="2"/>
        <v>500</v>
      </c>
    </row>
    <row r="48" spans="1:19" ht="21" customHeight="1">
      <c r="A48" s="95"/>
      <c r="B48" s="94"/>
      <c r="C48" s="93"/>
      <c r="D48" s="371">
        <v>4440000</v>
      </c>
      <c r="E48" s="371"/>
      <c r="F48" s="371"/>
      <c r="G48" s="85">
        <v>621</v>
      </c>
      <c r="H48" s="10" t="s">
        <v>111</v>
      </c>
      <c r="I48" s="9">
        <v>27</v>
      </c>
      <c r="J48" s="15">
        <v>1</v>
      </c>
      <c r="K48" s="15">
        <v>11</v>
      </c>
      <c r="L48" s="91" t="s">
        <v>101</v>
      </c>
      <c r="M48" s="92" t="s">
        <v>359</v>
      </c>
      <c r="N48" s="92" t="s">
        <v>357</v>
      </c>
      <c r="O48" s="92" t="s">
        <v>392</v>
      </c>
      <c r="P48" s="9" t="s">
        <v>320</v>
      </c>
      <c r="Q48" s="195">
        <f t="shared" si="2"/>
        <v>0</v>
      </c>
      <c r="R48" s="195">
        <f t="shared" si="2"/>
        <v>500</v>
      </c>
      <c r="S48" s="195">
        <f t="shared" si="2"/>
        <v>500</v>
      </c>
    </row>
    <row r="49" spans="1:19" ht="23.25" customHeight="1">
      <c r="A49" s="95"/>
      <c r="B49" s="94"/>
      <c r="C49" s="99"/>
      <c r="D49" s="105"/>
      <c r="E49" s="100"/>
      <c r="F49" s="100"/>
      <c r="G49" s="101">
        <v>621</v>
      </c>
      <c r="H49" s="4" t="s">
        <v>337</v>
      </c>
      <c r="I49" s="7">
        <v>27</v>
      </c>
      <c r="J49" s="20">
        <v>1</v>
      </c>
      <c r="K49" s="15">
        <v>11</v>
      </c>
      <c r="L49" s="91" t="s">
        <v>101</v>
      </c>
      <c r="M49" s="92" t="s">
        <v>359</v>
      </c>
      <c r="N49" s="92" t="s">
        <v>357</v>
      </c>
      <c r="O49" s="92" t="s">
        <v>392</v>
      </c>
      <c r="P49" s="5">
        <v>870</v>
      </c>
      <c r="Q49" s="197">
        <f>500-226.2+76-349.8</f>
        <v>0</v>
      </c>
      <c r="R49" s="197">
        <v>500</v>
      </c>
      <c r="S49" s="197">
        <v>500</v>
      </c>
    </row>
    <row r="50" spans="1:19" s="171" customFormat="1" ht="23.25" customHeight="1">
      <c r="A50" s="135"/>
      <c r="B50" s="136"/>
      <c r="C50" s="135"/>
      <c r="D50" s="137"/>
      <c r="E50" s="138"/>
      <c r="F50" s="138"/>
      <c r="G50" s="129"/>
      <c r="H50" s="130" t="s">
        <v>321</v>
      </c>
      <c r="I50" s="139">
        <v>27</v>
      </c>
      <c r="J50" s="140">
        <v>1</v>
      </c>
      <c r="K50" s="132">
        <v>13</v>
      </c>
      <c r="L50" s="133"/>
      <c r="M50" s="134"/>
      <c r="N50" s="134"/>
      <c r="O50" s="134"/>
      <c r="P50" s="139"/>
      <c r="Q50" s="198">
        <f>Q51+Q59</f>
        <v>35320.200000000004</v>
      </c>
      <c r="R50" s="198">
        <f>R51+R59</f>
        <v>37617.100000000006</v>
      </c>
      <c r="S50" s="198">
        <f>S51+S59</f>
        <v>33878.299999999996</v>
      </c>
    </row>
    <row r="51" spans="1:19" ht="33.75" customHeight="1">
      <c r="A51" s="93"/>
      <c r="B51" s="94"/>
      <c r="C51" s="93"/>
      <c r="D51" s="105"/>
      <c r="E51" s="100"/>
      <c r="F51" s="100"/>
      <c r="G51" s="85"/>
      <c r="H51" s="10" t="s">
        <v>629</v>
      </c>
      <c r="I51" s="5">
        <v>27</v>
      </c>
      <c r="J51" s="18">
        <v>1</v>
      </c>
      <c r="K51" s="15">
        <v>13</v>
      </c>
      <c r="L51" s="91" t="s">
        <v>560</v>
      </c>
      <c r="M51" s="92" t="s">
        <v>347</v>
      </c>
      <c r="N51" s="92" t="s">
        <v>357</v>
      </c>
      <c r="O51" s="92" t="s">
        <v>392</v>
      </c>
      <c r="P51" s="5"/>
      <c r="Q51" s="197">
        <f>Q52</f>
        <v>50</v>
      </c>
      <c r="R51" s="197">
        <f>R52</f>
        <v>35</v>
      </c>
      <c r="S51" s="197">
        <f>S52</f>
        <v>35</v>
      </c>
    </row>
    <row r="52" spans="1:19" ht="23.25" customHeight="1">
      <c r="A52" s="93"/>
      <c r="B52" s="94"/>
      <c r="C52" s="93"/>
      <c r="D52" s="105"/>
      <c r="E52" s="100"/>
      <c r="F52" s="100"/>
      <c r="G52" s="85"/>
      <c r="H52" s="10" t="s">
        <v>640</v>
      </c>
      <c r="I52" s="5">
        <v>27</v>
      </c>
      <c r="J52" s="18">
        <v>1</v>
      </c>
      <c r="K52" s="15">
        <v>13</v>
      </c>
      <c r="L52" s="91" t="s">
        <v>560</v>
      </c>
      <c r="M52" s="92" t="s">
        <v>343</v>
      </c>
      <c r="N52" s="92" t="s">
        <v>357</v>
      </c>
      <c r="O52" s="92" t="s">
        <v>392</v>
      </c>
      <c r="P52" s="5"/>
      <c r="Q52" s="197">
        <f>Q53+Q56</f>
        <v>50</v>
      </c>
      <c r="R52" s="197">
        <f>R53+R56</f>
        <v>35</v>
      </c>
      <c r="S52" s="197">
        <f>S53+S56</f>
        <v>35</v>
      </c>
    </row>
    <row r="53" spans="1:19" ht="39" customHeight="1">
      <c r="A53" s="93"/>
      <c r="B53" s="94"/>
      <c r="C53" s="93"/>
      <c r="D53" s="105"/>
      <c r="E53" s="100"/>
      <c r="F53" s="100"/>
      <c r="G53" s="85"/>
      <c r="H53" s="10" t="s">
        <v>641</v>
      </c>
      <c r="I53" s="5">
        <v>27</v>
      </c>
      <c r="J53" s="18">
        <v>1</v>
      </c>
      <c r="K53" s="15">
        <v>13</v>
      </c>
      <c r="L53" s="91" t="s">
        <v>560</v>
      </c>
      <c r="M53" s="92" t="s">
        <v>343</v>
      </c>
      <c r="N53" s="92" t="s">
        <v>348</v>
      </c>
      <c r="O53" s="92" t="s">
        <v>392</v>
      </c>
      <c r="P53" s="5"/>
      <c r="Q53" s="197">
        <f aca="true" t="shared" si="3" ref="Q53:S54">Q54</f>
        <v>50</v>
      </c>
      <c r="R53" s="197">
        <f t="shared" si="3"/>
        <v>20</v>
      </c>
      <c r="S53" s="197">
        <f t="shared" si="3"/>
        <v>20</v>
      </c>
    </row>
    <row r="54" spans="1:19" ht="56.25" customHeight="1">
      <c r="A54" s="93"/>
      <c r="B54" s="94"/>
      <c r="C54" s="93"/>
      <c r="D54" s="105"/>
      <c r="E54" s="100"/>
      <c r="F54" s="100"/>
      <c r="G54" s="85"/>
      <c r="H54" s="10" t="s">
        <v>642</v>
      </c>
      <c r="I54" s="5">
        <v>27</v>
      </c>
      <c r="J54" s="18">
        <v>1</v>
      </c>
      <c r="K54" s="15">
        <v>13</v>
      </c>
      <c r="L54" s="91" t="s">
        <v>560</v>
      </c>
      <c r="M54" s="92" t="s">
        <v>343</v>
      </c>
      <c r="N54" s="92" t="s">
        <v>348</v>
      </c>
      <c r="O54" s="92" t="s">
        <v>537</v>
      </c>
      <c r="P54" s="5"/>
      <c r="Q54" s="197">
        <f t="shared" si="3"/>
        <v>50</v>
      </c>
      <c r="R54" s="197">
        <f t="shared" si="3"/>
        <v>20</v>
      </c>
      <c r="S54" s="197">
        <f t="shared" si="3"/>
        <v>20</v>
      </c>
    </row>
    <row r="55" spans="1:19" ht="23.25" customHeight="1">
      <c r="A55" s="93"/>
      <c r="B55" s="94"/>
      <c r="C55" s="93"/>
      <c r="D55" s="105"/>
      <c r="E55" s="100"/>
      <c r="F55" s="100"/>
      <c r="G55" s="85"/>
      <c r="H55" s="10" t="s">
        <v>454</v>
      </c>
      <c r="I55" s="5">
        <v>27</v>
      </c>
      <c r="J55" s="18">
        <v>1</v>
      </c>
      <c r="K55" s="15">
        <v>13</v>
      </c>
      <c r="L55" s="91" t="s">
        <v>560</v>
      </c>
      <c r="M55" s="92" t="s">
        <v>343</v>
      </c>
      <c r="N55" s="92" t="s">
        <v>348</v>
      </c>
      <c r="O55" s="92" t="s">
        <v>537</v>
      </c>
      <c r="P55" s="5">
        <v>240</v>
      </c>
      <c r="Q55" s="197">
        <f>15+35</f>
        <v>50</v>
      </c>
      <c r="R55" s="197">
        <v>20</v>
      </c>
      <c r="S55" s="197">
        <v>20</v>
      </c>
    </row>
    <row r="56" spans="1:19" ht="54" customHeight="1">
      <c r="A56" s="93"/>
      <c r="B56" s="94"/>
      <c r="C56" s="93"/>
      <c r="D56" s="105"/>
      <c r="E56" s="100"/>
      <c r="F56" s="100"/>
      <c r="G56" s="85"/>
      <c r="H56" s="10" t="s">
        <v>643</v>
      </c>
      <c r="I56" s="5">
        <v>27</v>
      </c>
      <c r="J56" s="18">
        <v>1</v>
      </c>
      <c r="K56" s="15">
        <v>13</v>
      </c>
      <c r="L56" s="91" t="s">
        <v>560</v>
      </c>
      <c r="M56" s="92" t="s">
        <v>343</v>
      </c>
      <c r="N56" s="92" t="s">
        <v>365</v>
      </c>
      <c r="O56" s="92" t="s">
        <v>392</v>
      </c>
      <c r="P56" s="5"/>
      <c r="Q56" s="197">
        <f aca="true" t="shared" si="4" ref="Q56:S57">Q57</f>
        <v>0</v>
      </c>
      <c r="R56" s="197">
        <f t="shared" si="4"/>
        <v>15</v>
      </c>
      <c r="S56" s="197">
        <f t="shared" si="4"/>
        <v>15</v>
      </c>
    </row>
    <row r="57" spans="1:19" ht="51.75" customHeight="1">
      <c r="A57" s="93"/>
      <c r="B57" s="94"/>
      <c r="C57" s="93"/>
      <c r="D57" s="105"/>
      <c r="E57" s="100"/>
      <c r="F57" s="100"/>
      <c r="G57" s="85"/>
      <c r="H57" s="10" t="s">
        <v>642</v>
      </c>
      <c r="I57" s="5">
        <v>27</v>
      </c>
      <c r="J57" s="18">
        <v>1</v>
      </c>
      <c r="K57" s="15">
        <v>13</v>
      </c>
      <c r="L57" s="91" t="s">
        <v>560</v>
      </c>
      <c r="M57" s="92" t="s">
        <v>343</v>
      </c>
      <c r="N57" s="92" t="s">
        <v>365</v>
      </c>
      <c r="O57" s="92" t="s">
        <v>537</v>
      </c>
      <c r="P57" s="5"/>
      <c r="Q57" s="197">
        <f t="shared" si="4"/>
        <v>0</v>
      </c>
      <c r="R57" s="197">
        <f t="shared" si="4"/>
        <v>15</v>
      </c>
      <c r="S57" s="197">
        <f t="shared" si="4"/>
        <v>15</v>
      </c>
    </row>
    <row r="58" spans="1:19" ht="23.25" customHeight="1">
      <c r="A58" s="93"/>
      <c r="B58" s="94"/>
      <c r="C58" s="93"/>
      <c r="D58" s="105"/>
      <c r="E58" s="100"/>
      <c r="F58" s="100"/>
      <c r="G58" s="85"/>
      <c r="H58" s="10" t="s">
        <v>454</v>
      </c>
      <c r="I58" s="5">
        <v>27</v>
      </c>
      <c r="J58" s="18">
        <v>1</v>
      </c>
      <c r="K58" s="15">
        <v>13</v>
      </c>
      <c r="L58" s="91" t="s">
        <v>560</v>
      </c>
      <c r="M58" s="92" t="s">
        <v>343</v>
      </c>
      <c r="N58" s="92" t="s">
        <v>365</v>
      </c>
      <c r="O58" s="92" t="s">
        <v>537</v>
      </c>
      <c r="P58" s="5">
        <v>240</v>
      </c>
      <c r="Q58" s="197">
        <v>0</v>
      </c>
      <c r="R58" s="197">
        <v>15</v>
      </c>
      <c r="S58" s="197">
        <v>15</v>
      </c>
    </row>
    <row r="59" spans="1:19" ht="23.25" customHeight="1">
      <c r="A59" s="93"/>
      <c r="B59" s="94"/>
      <c r="C59" s="93"/>
      <c r="D59" s="105"/>
      <c r="E59" s="100"/>
      <c r="F59" s="100"/>
      <c r="G59" s="85"/>
      <c r="H59" s="10" t="s">
        <v>53</v>
      </c>
      <c r="I59" s="5">
        <v>27</v>
      </c>
      <c r="J59" s="18">
        <v>1</v>
      </c>
      <c r="K59" s="15">
        <v>13</v>
      </c>
      <c r="L59" s="91" t="s">
        <v>559</v>
      </c>
      <c r="M59" s="92" t="s">
        <v>347</v>
      </c>
      <c r="N59" s="92" t="s">
        <v>357</v>
      </c>
      <c r="O59" s="92" t="s">
        <v>392</v>
      </c>
      <c r="P59" s="5"/>
      <c r="Q59" s="197">
        <f>Q60+Q70+Q81+Q89</f>
        <v>35270.200000000004</v>
      </c>
      <c r="R59" s="197">
        <f>R60+R70+R81</f>
        <v>37582.100000000006</v>
      </c>
      <c r="S59" s="197">
        <f>S60+S70+S81</f>
        <v>33843.299999999996</v>
      </c>
    </row>
    <row r="60" spans="1:19" s="171" customFormat="1" ht="37.5" customHeight="1">
      <c r="A60" s="135"/>
      <c r="B60" s="136"/>
      <c r="C60" s="135"/>
      <c r="D60" s="137"/>
      <c r="E60" s="138"/>
      <c r="F60" s="138"/>
      <c r="G60" s="129"/>
      <c r="H60" s="10" t="s">
        <v>54</v>
      </c>
      <c r="I60" s="5">
        <v>27</v>
      </c>
      <c r="J60" s="18">
        <v>1</v>
      </c>
      <c r="K60" s="15">
        <v>13</v>
      </c>
      <c r="L60" s="91" t="s">
        <v>559</v>
      </c>
      <c r="M60" s="92" t="s">
        <v>347</v>
      </c>
      <c r="N60" s="92" t="s">
        <v>348</v>
      </c>
      <c r="O60" s="92" t="s">
        <v>392</v>
      </c>
      <c r="P60" s="5"/>
      <c r="Q60" s="197">
        <f>Q61+Q64+Q66+Q68</f>
        <v>1537.6999999999998</v>
      </c>
      <c r="R60" s="197">
        <f>R61+R64+R66+R68</f>
        <v>1072.6</v>
      </c>
      <c r="S60" s="197">
        <f>S61+S64+S66+S68</f>
        <v>1069</v>
      </c>
    </row>
    <row r="61" spans="1:19" ht="25.5" customHeight="1">
      <c r="A61" s="95"/>
      <c r="B61" s="94"/>
      <c r="C61" s="99"/>
      <c r="D61" s="97"/>
      <c r="E61" s="362">
        <v>5203500</v>
      </c>
      <c r="F61" s="362"/>
      <c r="G61" s="85">
        <v>521</v>
      </c>
      <c r="H61" s="10" t="s">
        <v>100</v>
      </c>
      <c r="I61" s="9">
        <v>27</v>
      </c>
      <c r="J61" s="15">
        <v>1</v>
      </c>
      <c r="K61" s="15">
        <v>13</v>
      </c>
      <c r="L61" s="91" t="s">
        <v>559</v>
      </c>
      <c r="M61" s="92" t="s">
        <v>347</v>
      </c>
      <c r="N61" s="92" t="s">
        <v>348</v>
      </c>
      <c r="O61" s="92" t="s">
        <v>398</v>
      </c>
      <c r="P61" s="9" t="s">
        <v>320</v>
      </c>
      <c r="Q61" s="195">
        <f>SUM(Q62:Q63)</f>
        <v>1031.8</v>
      </c>
      <c r="R61" s="195">
        <f>SUM(R62:R63)</f>
        <v>1072.6</v>
      </c>
      <c r="S61" s="195">
        <f>SUM(S62:S63)</f>
        <v>1069</v>
      </c>
    </row>
    <row r="62" spans="1:19" ht="26.25" customHeight="1">
      <c r="A62" s="106"/>
      <c r="B62" s="107"/>
      <c r="C62" s="102"/>
      <c r="D62" s="103"/>
      <c r="E62" s="100"/>
      <c r="F62" s="100"/>
      <c r="G62" s="85"/>
      <c r="H62" s="10" t="s">
        <v>454</v>
      </c>
      <c r="I62" s="5">
        <v>27</v>
      </c>
      <c r="J62" s="18">
        <v>1</v>
      </c>
      <c r="K62" s="15">
        <v>13</v>
      </c>
      <c r="L62" s="91" t="s">
        <v>559</v>
      </c>
      <c r="M62" s="92" t="s">
        <v>347</v>
      </c>
      <c r="N62" s="92" t="s">
        <v>348</v>
      </c>
      <c r="O62" s="92" t="s">
        <v>398</v>
      </c>
      <c r="P62" s="5">
        <v>240</v>
      </c>
      <c r="Q62" s="197">
        <f>1011.8-1.2-61.3-50-50</f>
        <v>849.3</v>
      </c>
      <c r="R62" s="197">
        <f>1011.8-21.7</f>
        <v>990.0999999999999</v>
      </c>
      <c r="S62" s="197">
        <f>1011.7-25.2</f>
        <v>986.5</v>
      </c>
    </row>
    <row r="63" spans="1:19" ht="20.25" customHeight="1">
      <c r="A63" s="106"/>
      <c r="B63" s="108"/>
      <c r="C63" s="102"/>
      <c r="D63" s="105"/>
      <c r="E63" s="100"/>
      <c r="F63" s="100"/>
      <c r="G63" s="85"/>
      <c r="H63" s="10" t="s">
        <v>455</v>
      </c>
      <c r="I63" s="5">
        <v>27</v>
      </c>
      <c r="J63" s="20">
        <v>1</v>
      </c>
      <c r="K63" s="15">
        <v>13</v>
      </c>
      <c r="L63" s="91" t="s">
        <v>559</v>
      </c>
      <c r="M63" s="92" t="s">
        <v>347</v>
      </c>
      <c r="N63" s="92" t="s">
        <v>348</v>
      </c>
      <c r="O63" s="92" t="s">
        <v>398</v>
      </c>
      <c r="P63" s="5">
        <v>850</v>
      </c>
      <c r="Q63" s="197">
        <f>82.5+50+50</f>
        <v>182.5</v>
      </c>
      <c r="R63" s="197">
        <v>82.5</v>
      </c>
      <c r="S63" s="197">
        <v>82.5</v>
      </c>
    </row>
    <row r="64" spans="1:19" ht="21" customHeight="1">
      <c r="A64" s="106"/>
      <c r="B64" s="107"/>
      <c r="C64" s="102"/>
      <c r="D64" s="103"/>
      <c r="E64" s="100"/>
      <c r="F64" s="100"/>
      <c r="G64" s="85"/>
      <c r="H64" s="10" t="s">
        <v>58</v>
      </c>
      <c r="I64" s="9">
        <v>27</v>
      </c>
      <c r="J64" s="15">
        <v>1</v>
      </c>
      <c r="K64" s="15">
        <v>13</v>
      </c>
      <c r="L64" s="91" t="s">
        <v>559</v>
      </c>
      <c r="M64" s="92" t="s">
        <v>347</v>
      </c>
      <c r="N64" s="92" t="s">
        <v>348</v>
      </c>
      <c r="O64" s="92" t="s">
        <v>697</v>
      </c>
      <c r="P64" s="9"/>
      <c r="Q64" s="195">
        <f>Q65</f>
        <v>389.9</v>
      </c>
      <c r="R64" s="197">
        <f>R65</f>
        <v>0</v>
      </c>
      <c r="S64" s="197">
        <f>S65</f>
        <v>0</v>
      </c>
    </row>
    <row r="65" spans="1:19" ht="21" customHeight="1">
      <c r="A65" s="106"/>
      <c r="B65" s="107"/>
      <c r="C65" s="102"/>
      <c r="D65" s="103"/>
      <c r="E65" s="100"/>
      <c r="F65" s="100"/>
      <c r="G65" s="85"/>
      <c r="H65" s="10" t="s">
        <v>454</v>
      </c>
      <c r="I65" s="9">
        <v>27</v>
      </c>
      <c r="J65" s="15">
        <v>1</v>
      </c>
      <c r="K65" s="15">
        <v>13</v>
      </c>
      <c r="L65" s="91" t="s">
        <v>559</v>
      </c>
      <c r="M65" s="92" t="s">
        <v>347</v>
      </c>
      <c r="N65" s="92" t="s">
        <v>348</v>
      </c>
      <c r="O65" s="92" t="s">
        <v>697</v>
      </c>
      <c r="P65" s="9">
        <v>240</v>
      </c>
      <c r="Q65" s="195">
        <f>388.7+1.2</f>
        <v>389.9</v>
      </c>
      <c r="R65" s="197">
        <v>0</v>
      </c>
      <c r="S65" s="197">
        <v>0</v>
      </c>
    </row>
    <row r="66" spans="1:19" ht="38.25" customHeight="1">
      <c r="A66" s="93"/>
      <c r="B66" s="94"/>
      <c r="C66" s="102"/>
      <c r="D66" s="107"/>
      <c r="E66" s="110"/>
      <c r="F66" s="110"/>
      <c r="G66" s="85"/>
      <c r="H66" s="2" t="s">
        <v>312</v>
      </c>
      <c r="I66" s="9">
        <v>27</v>
      </c>
      <c r="J66" s="15">
        <v>1</v>
      </c>
      <c r="K66" s="15">
        <v>13</v>
      </c>
      <c r="L66" s="91" t="s">
        <v>559</v>
      </c>
      <c r="M66" s="92" t="s">
        <v>347</v>
      </c>
      <c r="N66" s="92" t="s">
        <v>348</v>
      </c>
      <c r="O66" s="92" t="s">
        <v>313</v>
      </c>
      <c r="P66" s="9" t="s">
        <v>393</v>
      </c>
      <c r="Q66" s="195">
        <f>Q67</f>
        <v>4.7</v>
      </c>
      <c r="R66" s="195">
        <f>R67</f>
        <v>0</v>
      </c>
      <c r="S66" s="195">
        <f>S67</f>
        <v>0</v>
      </c>
    </row>
    <row r="67" spans="1:19" ht="28.5" customHeight="1">
      <c r="A67" s="93"/>
      <c r="B67" s="94"/>
      <c r="C67" s="102"/>
      <c r="D67" s="107"/>
      <c r="E67" s="110"/>
      <c r="F67" s="110"/>
      <c r="G67" s="85"/>
      <c r="H67" s="2" t="s">
        <v>454</v>
      </c>
      <c r="I67" s="9">
        <v>27</v>
      </c>
      <c r="J67" s="15">
        <v>1</v>
      </c>
      <c r="K67" s="15">
        <v>13</v>
      </c>
      <c r="L67" s="91" t="s">
        <v>559</v>
      </c>
      <c r="M67" s="92" t="s">
        <v>347</v>
      </c>
      <c r="N67" s="92" t="s">
        <v>348</v>
      </c>
      <c r="O67" s="92" t="s">
        <v>313</v>
      </c>
      <c r="P67" s="9">
        <v>240</v>
      </c>
      <c r="Q67" s="195">
        <f>2.5+2.2</f>
        <v>4.7</v>
      </c>
      <c r="R67" s="195">
        <v>0</v>
      </c>
      <c r="S67" s="195">
        <v>0</v>
      </c>
    </row>
    <row r="68" spans="1:19" ht="33.75" customHeight="1">
      <c r="A68" s="110"/>
      <c r="B68" s="107"/>
      <c r="C68" s="102"/>
      <c r="D68" s="107"/>
      <c r="E68" s="110"/>
      <c r="F68" s="110"/>
      <c r="G68" s="85"/>
      <c r="H68" s="274" t="s">
        <v>604</v>
      </c>
      <c r="I68" s="9">
        <v>27</v>
      </c>
      <c r="J68" s="15">
        <v>1</v>
      </c>
      <c r="K68" s="15">
        <v>13</v>
      </c>
      <c r="L68" s="91" t="s">
        <v>559</v>
      </c>
      <c r="M68" s="92" t="s">
        <v>347</v>
      </c>
      <c r="N68" s="92" t="s">
        <v>348</v>
      </c>
      <c r="O68" s="92" t="s">
        <v>605</v>
      </c>
      <c r="P68" s="5"/>
      <c r="Q68" s="197">
        <f>Q69</f>
        <v>111.3</v>
      </c>
      <c r="R68" s="211">
        <f>R69</f>
        <v>0</v>
      </c>
      <c r="S68" s="211">
        <f>S69</f>
        <v>0</v>
      </c>
    </row>
    <row r="69" spans="1:19" ht="33.75" customHeight="1">
      <c r="A69" s="110"/>
      <c r="B69" s="107"/>
      <c r="C69" s="102"/>
      <c r="D69" s="107"/>
      <c r="E69" s="110"/>
      <c r="F69" s="110"/>
      <c r="G69" s="85"/>
      <c r="H69" s="2" t="s">
        <v>454</v>
      </c>
      <c r="I69" s="9">
        <v>27</v>
      </c>
      <c r="J69" s="15">
        <v>1</v>
      </c>
      <c r="K69" s="15">
        <v>13</v>
      </c>
      <c r="L69" s="91" t="s">
        <v>559</v>
      </c>
      <c r="M69" s="92" t="s">
        <v>347</v>
      </c>
      <c r="N69" s="92" t="s">
        <v>348</v>
      </c>
      <c r="O69" s="92" t="s">
        <v>605</v>
      </c>
      <c r="P69" s="5">
        <v>240</v>
      </c>
      <c r="Q69" s="197">
        <v>111.3</v>
      </c>
      <c r="R69" s="211">
        <v>0</v>
      </c>
      <c r="S69" s="211">
        <v>0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55</v>
      </c>
      <c r="I70" s="9">
        <v>27</v>
      </c>
      <c r="J70" s="15">
        <v>1</v>
      </c>
      <c r="K70" s="15">
        <v>13</v>
      </c>
      <c r="L70" s="91" t="s">
        <v>559</v>
      </c>
      <c r="M70" s="92" t="s">
        <v>347</v>
      </c>
      <c r="N70" s="92" t="s">
        <v>365</v>
      </c>
      <c r="O70" s="92" t="s">
        <v>392</v>
      </c>
      <c r="P70" s="5"/>
      <c r="Q70" s="197">
        <f>Q73+Q76+Q79+Q71</f>
        <v>2380.7000000000003</v>
      </c>
      <c r="R70" s="197">
        <f>R73+R76+R79+R71</f>
        <v>1553.2</v>
      </c>
      <c r="S70" s="197">
        <f>S73+S76+S79+S71</f>
        <v>1603.2</v>
      </c>
    </row>
    <row r="71" spans="1:19" ht="60" customHeight="1">
      <c r="A71" s="106"/>
      <c r="B71" s="107"/>
      <c r="C71" s="102"/>
      <c r="D71" s="103"/>
      <c r="E71" s="100"/>
      <c r="F71" s="100"/>
      <c r="G71" s="85"/>
      <c r="H71" s="10" t="s">
        <v>807</v>
      </c>
      <c r="I71" s="9">
        <v>27</v>
      </c>
      <c r="J71" s="15">
        <v>1</v>
      </c>
      <c r="K71" s="15">
        <v>13</v>
      </c>
      <c r="L71" s="91" t="s">
        <v>559</v>
      </c>
      <c r="M71" s="92" t="s">
        <v>347</v>
      </c>
      <c r="N71" s="92" t="s">
        <v>365</v>
      </c>
      <c r="O71" s="92" t="s">
        <v>806</v>
      </c>
      <c r="P71" s="5"/>
      <c r="Q71" s="197">
        <f>Q72</f>
        <v>298.8</v>
      </c>
      <c r="R71" s="197">
        <f>R72</f>
        <v>0</v>
      </c>
      <c r="S71" s="197">
        <f>S72</f>
        <v>0</v>
      </c>
    </row>
    <row r="72" spans="1:19" ht="21" customHeight="1">
      <c r="A72" s="106"/>
      <c r="B72" s="107"/>
      <c r="C72" s="102"/>
      <c r="D72" s="103"/>
      <c r="E72" s="100"/>
      <c r="F72" s="100"/>
      <c r="G72" s="85"/>
      <c r="H72" s="2" t="s">
        <v>454</v>
      </c>
      <c r="I72" s="9">
        <v>27</v>
      </c>
      <c r="J72" s="15">
        <v>1</v>
      </c>
      <c r="K72" s="15">
        <v>13</v>
      </c>
      <c r="L72" s="91" t="s">
        <v>559</v>
      </c>
      <c r="M72" s="92" t="s">
        <v>347</v>
      </c>
      <c r="N72" s="92" t="s">
        <v>365</v>
      </c>
      <c r="O72" s="92" t="s">
        <v>806</v>
      </c>
      <c r="P72" s="5">
        <v>240</v>
      </c>
      <c r="Q72" s="197">
        <v>298.8</v>
      </c>
      <c r="R72" s="197">
        <v>0</v>
      </c>
      <c r="S72" s="197">
        <v>0</v>
      </c>
    </row>
    <row r="73" spans="1:19" ht="51" customHeight="1">
      <c r="A73" s="106"/>
      <c r="B73" s="108"/>
      <c r="C73" s="102"/>
      <c r="D73" s="105"/>
      <c r="E73" s="100"/>
      <c r="F73" s="100"/>
      <c r="G73" s="85"/>
      <c r="H73" s="32" t="s">
        <v>410</v>
      </c>
      <c r="I73" s="9">
        <v>27</v>
      </c>
      <c r="J73" s="15">
        <v>1</v>
      </c>
      <c r="K73" s="15">
        <v>13</v>
      </c>
      <c r="L73" s="91" t="s">
        <v>559</v>
      </c>
      <c r="M73" s="92" t="s">
        <v>347</v>
      </c>
      <c r="N73" s="92" t="s">
        <v>365</v>
      </c>
      <c r="O73" s="92" t="s">
        <v>405</v>
      </c>
      <c r="P73" s="5"/>
      <c r="Q73" s="197">
        <f>SUM(Q74:Q75)</f>
        <v>405.2</v>
      </c>
      <c r="R73" s="197">
        <f>SUM(R74:R75)</f>
        <v>405.2</v>
      </c>
      <c r="S73" s="197">
        <f>SUM(S74:S75)</f>
        <v>405.2</v>
      </c>
    </row>
    <row r="74" spans="1:19" ht="30" customHeight="1">
      <c r="A74" s="106"/>
      <c r="B74" s="108"/>
      <c r="C74" s="102"/>
      <c r="D74" s="105"/>
      <c r="E74" s="100"/>
      <c r="F74" s="100"/>
      <c r="G74" s="85"/>
      <c r="H74" s="32" t="s">
        <v>319</v>
      </c>
      <c r="I74" s="9">
        <v>27</v>
      </c>
      <c r="J74" s="15">
        <v>1</v>
      </c>
      <c r="K74" s="15">
        <v>13</v>
      </c>
      <c r="L74" s="91" t="s">
        <v>559</v>
      </c>
      <c r="M74" s="92" t="s">
        <v>347</v>
      </c>
      <c r="N74" s="92" t="s">
        <v>365</v>
      </c>
      <c r="O74" s="92" t="s">
        <v>405</v>
      </c>
      <c r="P74" s="9">
        <v>120</v>
      </c>
      <c r="Q74" s="195">
        <v>268.9</v>
      </c>
      <c r="R74" s="195">
        <v>268.9</v>
      </c>
      <c r="S74" s="195">
        <v>268.9</v>
      </c>
    </row>
    <row r="75" spans="1:19" ht="27" customHeight="1">
      <c r="A75" s="106"/>
      <c r="B75" s="108"/>
      <c r="C75" s="102"/>
      <c r="D75" s="105"/>
      <c r="E75" s="100"/>
      <c r="F75" s="100"/>
      <c r="G75" s="85"/>
      <c r="H75" s="32" t="s">
        <v>454</v>
      </c>
      <c r="I75" s="9">
        <v>27</v>
      </c>
      <c r="J75" s="15">
        <v>1</v>
      </c>
      <c r="K75" s="15">
        <v>13</v>
      </c>
      <c r="L75" s="91" t="s">
        <v>559</v>
      </c>
      <c r="M75" s="92" t="s">
        <v>347</v>
      </c>
      <c r="N75" s="92" t="s">
        <v>365</v>
      </c>
      <c r="O75" s="92" t="s">
        <v>405</v>
      </c>
      <c r="P75" s="9">
        <v>240</v>
      </c>
      <c r="Q75" s="195">
        <v>136.3</v>
      </c>
      <c r="R75" s="195">
        <v>136.3</v>
      </c>
      <c r="S75" s="195">
        <v>136.3</v>
      </c>
    </row>
    <row r="76" spans="1:19" ht="21" customHeight="1">
      <c r="A76" s="93"/>
      <c r="B76" s="94"/>
      <c r="C76" s="102"/>
      <c r="D76" s="107"/>
      <c r="E76" s="110"/>
      <c r="F76" s="110"/>
      <c r="G76" s="85"/>
      <c r="H76" s="2" t="s">
        <v>538</v>
      </c>
      <c r="I76" s="9">
        <v>27</v>
      </c>
      <c r="J76" s="15">
        <v>1</v>
      </c>
      <c r="K76" s="15">
        <v>13</v>
      </c>
      <c r="L76" s="91" t="s">
        <v>559</v>
      </c>
      <c r="M76" s="92" t="s">
        <v>347</v>
      </c>
      <c r="N76" s="92" t="s">
        <v>365</v>
      </c>
      <c r="O76" s="92" t="s">
        <v>537</v>
      </c>
      <c r="P76" s="9"/>
      <c r="Q76" s="195">
        <f>SUM(Q77:Q78)</f>
        <v>852.7</v>
      </c>
      <c r="R76" s="195">
        <f>SUM(R77:R78)</f>
        <v>848</v>
      </c>
      <c r="S76" s="195">
        <f>SUM(S77:S78)</f>
        <v>848</v>
      </c>
    </row>
    <row r="77" spans="1:19" ht="26.25" customHeight="1">
      <c r="A77" s="93"/>
      <c r="B77" s="94"/>
      <c r="C77" s="102"/>
      <c r="D77" s="107"/>
      <c r="E77" s="110"/>
      <c r="F77" s="110"/>
      <c r="G77" s="85"/>
      <c r="H77" s="32" t="s">
        <v>319</v>
      </c>
      <c r="I77" s="9">
        <v>27</v>
      </c>
      <c r="J77" s="15">
        <v>1</v>
      </c>
      <c r="K77" s="15">
        <v>13</v>
      </c>
      <c r="L77" s="91" t="s">
        <v>559</v>
      </c>
      <c r="M77" s="92" t="s">
        <v>347</v>
      </c>
      <c r="N77" s="92" t="s">
        <v>365</v>
      </c>
      <c r="O77" s="92" t="s">
        <v>537</v>
      </c>
      <c r="P77" s="9">
        <v>120</v>
      </c>
      <c r="Q77" s="195">
        <f>479.2+19.7</f>
        <v>498.9</v>
      </c>
      <c r="R77" s="196">
        <v>479.2</v>
      </c>
      <c r="S77" s="196">
        <v>479.2</v>
      </c>
    </row>
    <row r="78" spans="1:19" ht="30" customHeight="1">
      <c r="A78" s="93"/>
      <c r="B78" s="94"/>
      <c r="C78" s="102"/>
      <c r="D78" s="107"/>
      <c r="E78" s="110"/>
      <c r="F78" s="110"/>
      <c r="G78" s="85"/>
      <c r="H78" s="4" t="s">
        <v>454</v>
      </c>
      <c r="I78" s="9">
        <v>27</v>
      </c>
      <c r="J78" s="15">
        <v>1</v>
      </c>
      <c r="K78" s="15">
        <v>13</v>
      </c>
      <c r="L78" s="91" t="s">
        <v>559</v>
      </c>
      <c r="M78" s="92" t="s">
        <v>347</v>
      </c>
      <c r="N78" s="92" t="s">
        <v>365</v>
      </c>
      <c r="O78" s="92" t="s">
        <v>537</v>
      </c>
      <c r="P78" s="9">
        <v>240</v>
      </c>
      <c r="Q78" s="195">
        <f>373.8-20</f>
        <v>353.8</v>
      </c>
      <c r="R78" s="196">
        <v>368.8</v>
      </c>
      <c r="S78" s="196">
        <v>368.8</v>
      </c>
    </row>
    <row r="79" spans="1:19" ht="27.75" customHeight="1">
      <c r="A79" s="93"/>
      <c r="B79" s="94"/>
      <c r="C79" s="102"/>
      <c r="D79" s="107"/>
      <c r="E79" s="110"/>
      <c r="F79" s="110"/>
      <c r="G79" s="85"/>
      <c r="H79" s="2" t="s">
        <v>42</v>
      </c>
      <c r="I79" s="9">
        <v>27</v>
      </c>
      <c r="J79" s="15">
        <v>1</v>
      </c>
      <c r="K79" s="15">
        <v>13</v>
      </c>
      <c r="L79" s="91" t="s">
        <v>559</v>
      </c>
      <c r="M79" s="92" t="s">
        <v>347</v>
      </c>
      <c r="N79" s="92" t="s">
        <v>365</v>
      </c>
      <c r="O79" s="92" t="s">
        <v>819</v>
      </c>
      <c r="P79" s="9"/>
      <c r="Q79" s="195">
        <f>Q80</f>
        <v>824</v>
      </c>
      <c r="R79" s="195">
        <f>R80</f>
        <v>300</v>
      </c>
      <c r="S79" s="195">
        <f>S80</f>
        <v>350</v>
      </c>
    </row>
    <row r="80" spans="1:19" ht="33.75" customHeight="1">
      <c r="A80" s="93"/>
      <c r="B80" s="94"/>
      <c r="C80" s="102"/>
      <c r="D80" s="107"/>
      <c r="E80" s="110"/>
      <c r="F80" s="110"/>
      <c r="G80" s="85"/>
      <c r="H80" s="2" t="s">
        <v>454</v>
      </c>
      <c r="I80" s="9">
        <v>27</v>
      </c>
      <c r="J80" s="15">
        <v>1</v>
      </c>
      <c r="K80" s="15">
        <v>13</v>
      </c>
      <c r="L80" s="91" t="s">
        <v>559</v>
      </c>
      <c r="M80" s="92" t="s">
        <v>347</v>
      </c>
      <c r="N80" s="92" t="s">
        <v>365</v>
      </c>
      <c r="O80" s="92" t="s">
        <v>819</v>
      </c>
      <c r="P80" s="9">
        <v>240</v>
      </c>
      <c r="Q80" s="195">
        <f>788.7+61.3-26</f>
        <v>824</v>
      </c>
      <c r="R80" s="211">
        <f>278.3+21.7</f>
        <v>300</v>
      </c>
      <c r="S80" s="211">
        <f>324.8+25.2</f>
        <v>350</v>
      </c>
    </row>
    <row r="81" spans="1:19" ht="33.75" customHeight="1">
      <c r="A81" s="93"/>
      <c r="B81" s="94"/>
      <c r="C81" s="110"/>
      <c r="D81" s="107"/>
      <c r="E81" s="110"/>
      <c r="F81" s="110"/>
      <c r="G81" s="85"/>
      <c r="H81" s="274" t="s">
        <v>57</v>
      </c>
      <c r="I81" s="9">
        <v>27</v>
      </c>
      <c r="J81" s="15">
        <v>1</v>
      </c>
      <c r="K81" s="15">
        <v>13</v>
      </c>
      <c r="L81" s="91" t="s">
        <v>559</v>
      </c>
      <c r="M81" s="92" t="s">
        <v>347</v>
      </c>
      <c r="N81" s="92" t="s">
        <v>366</v>
      </c>
      <c r="O81" s="92" t="s">
        <v>392</v>
      </c>
      <c r="P81" s="9"/>
      <c r="Q81" s="195">
        <f>Q82+Q85+Q87</f>
        <v>31321.800000000003</v>
      </c>
      <c r="R81" s="195">
        <f>R82+R85+R87</f>
        <v>34956.3</v>
      </c>
      <c r="S81" s="195">
        <f>S82+S85+S87</f>
        <v>31171.1</v>
      </c>
    </row>
    <row r="82" spans="1:19" ht="26.25" customHeight="1">
      <c r="A82" s="95"/>
      <c r="B82" s="94"/>
      <c r="C82" s="93"/>
      <c r="D82" s="371">
        <v>5220000</v>
      </c>
      <c r="E82" s="372"/>
      <c r="F82" s="372"/>
      <c r="G82" s="85">
        <v>622</v>
      </c>
      <c r="H82" s="10" t="s">
        <v>102</v>
      </c>
      <c r="I82" s="9">
        <v>27</v>
      </c>
      <c r="J82" s="15">
        <v>1</v>
      </c>
      <c r="K82" s="15">
        <v>13</v>
      </c>
      <c r="L82" s="91" t="s">
        <v>559</v>
      </c>
      <c r="M82" s="92" t="s">
        <v>347</v>
      </c>
      <c r="N82" s="92" t="s">
        <v>366</v>
      </c>
      <c r="O82" s="92" t="s">
        <v>103</v>
      </c>
      <c r="P82" s="9"/>
      <c r="Q82" s="195">
        <f>SUM(Q83:Q84)</f>
        <v>16547</v>
      </c>
      <c r="R82" s="195">
        <f>SUM(R83:R84)</f>
        <v>21185.1</v>
      </c>
      <c r="S82" s="195">
        <f>SUM(S83:S84)</f>
        <v>17399.899999999998</v>
      </c>
    </row>
    <row r="83" spans="1:19" ht="26.25" customHeight="1">
      <c r="A83" s="95"/>
      <c r="B83" s="94"/>
      <c r="C83" s="93"/>
      <c r="D83" s="97"/>
      <c r="E83" s="96"/>
      <c r="F83" s="96"/>
      <c r="G83" s="85"/>
      <c r="H83" s="10" t="s">
        <v>456</v>
      </c>
      <c r="I83" s="5">
        <v>27</v>
      </c>
      <c r="J83" s="18">
        <v>1</v>
      </c>
      <c r="K83" s="15">
        <v>13</v>
      </c>
      <c r="L83" s="91" t="s">
        <v>559</v>
      </c>
      <c r="M83" s="92" t="s">
        <v>347</v>
      </c>
      <c r="N83" s="92" t="s">
        <v>366</v>
      </c>
      <c r="O83" s="92" t="s">
        <v>103</v>
      </c>
      <c r="P83" s="9">
        <v>610</v>
      </c>
      <c r="Q83" s="195">
        <v>360.6</v>
      </c>
      <c r="R83" s="195">
        <v>360.6</v>
      </c>
      <c r="S83" s="195">
        <v>360.6</v>
      </c>
    </row>
    <row r="84" spans="1:19" ht="21" customHeight="1">
      <c r="A84" s="95"/>
      <c r="B84" s="94"/>
      <c r="C84" s="99"/>
      <c r="D84" s="103"/>
      <c r="E84" s="170"/>
      <c r="F84" s="170"/>
      <c r="G84" s="85"/>
      <c r="H84" s="10" t="s">
        <v>492</v>
      </c>
      <c r="I84" s="9">
        <v>27</v>
      </c>
      <c r="J84" s="15">
        <v>1</v>
      </c>
      <c r="K84" s="15">
        <v>13</v>
      </c>
      <c r="L84" s="91" t="s">
        <v>559</v>
      </c>
      <c r="M84" s="92" t="s">
        <v>347</v>
      </c>
      <c r="N84" s="92" t="s">
        <v>366</v>
      </c>
      <c r="O84" s="92" t="s">
        <v>103</v>
      </c>
      <c r="P84" s="9">
        <v>620</v>
      </c>
      <c r="Q84" s="195">
        <f>15019.3-830.4+1000+546.7+228+100+122.8</f>
        <v>16186.4</v>
      </c>
      <c r="R84" s="195">
        <f>23024.5-2200-5500+5500</f>
        <v>20824.5</v>
      </c>
      <c r="S84" s="195">
        <v>17039.3</v>
      </c>
    </row>
    <row r="85" spans="1:19" ht="34.5" customHeight="1">
      <c r="A85" s="106"/>
      <c r="B85" s="107"/>
      <c r="C85" s="102"/>
      <c r="D85" s="103"/>
      <c r="E85" s="100"/>
      <c r="F85" s="100"/>
      <c r="G85" s="85"/>
      <c r="H85" s="10" t="s">
        <v>595</v>
      </c>
      <c r="I85" s="9">
        <v>27</v>
      </c>
      <c r="J85" s="15">
        <v>1</v>
      </c>
      <c r="K85" s="15">
        <v>13</v>
      </c>
      <c r="L85" s="91" t="s">
        <v>559</v>
      </c>
      <c r="M85" s="92" t="s">
        <v>347</v>
      </c>
      <c r="N85" s="92" t="s">
        <v>366</v>
      </c>
      <c r="O85" s="92" t="s">
        <v>594</v>
      </c>
      <c r="P85" s="5"/>
      <c r="Q85" s="197">
        <f>Q86</f>
        <v>10065.2</v>
      </c>
      <c r="R85" s="197">
        <f>R86</f>
        <v>9228.7</v>
      </c>
      <c r="S85" s="197">
        <f>S86</f>
        <v>9228.7</v>
      </c>
    </row>
    <row r="86" spans="1:19" ht="21" customHeight="1">
      <c r="A86" s="106"/>
      <c r="B86" s="107"/>
      <c r="C86" s="102"/>
      <c r="D86" s="103"/>
      <c r="E86" s="100"/>
      <c r="F86" s="100"/>
      <c r="G86" s="85"/>
      <c r="H86" s="10" t="s">
        <v>492</v>
      </c>
      <c r="I86" s="9">
        <v>27</v>
      </c>
      <c r="J86" s="15">
        <v>1</v>
      </c>
      <c r="K86" s="15">
        <v>13</v>
      </c>
      <c r="L86" s="91" t="s">
        <v>559</v>
      </c>
      <c r="M86" s="92" t="s">
        <v>347</v>
      </c>
      <c r="N86" s="92" t="s">
        <v>366</v>
      </c>
      <c r="O86" s="92" t="s">
        <v>594</v>
      </c>
      <c r="P86" s="5">
        <v>620</v>
      </c>
      <c r="Q86" s="197">
        <f>9228.7+836.5</f>
        <v>10065.2</v>
      </c>
      <c r="R86" s="197">
        <v>9228.7</v>
      </c>
      <c r="S86" s="197">
        <v>9228.7</v>
      </c>
    </row>
    <row r="87" spans="1:19" ht="66" customHeight="1">
      <c r="A87" s="106"/>
      <c r="B87" s="108"/>
      <c r="C87" s="102"/>
      <c r="D87" s="105"/>
      <c r="E87" s="100"/>
      <c r="F87" s="100"/>
      <c r="G87" s="85"/>
      <c r="H87" s="10" t="s">
        <v>104</v>
      </c>
      <c r="I87" s="9">
        <v>27</v>
      </c>
      <c r="J87" s="15">
        <v>1</v>
      </c>
      <c r="K87" s="15">
        <v>13</v>
      </c>
      <c r="L87" s="91" t="s">
        <v>559</v>
      </c>
      <c r="M87" s="92" t="s">
        <v>347</v>
      </c>
      <c r="N87" s="92" t="s">
        <v>366</v>
      </c>
      <c r="O87" s="92" t="s">
        <v>399</v>
      </c>
      <c r="P87" s="5"/>
      <c r="Q87" s="197">
        <f>Q88</f>
        <v>4709.6</v>
      </c>
      <c r="R87" s="197">
        <f>R88</f>
        <v>4542.5</v>
      </c>
      <c r="S87" s="197">
        <f>S88</f>
        <v>4542.5</v>
      </c>
    </row>
    <row r="88" spans="1:19" ht="27" customHeight="1">
      <c r="A88" s="95"/>
      <c r="B88" s="94"/>
      <c r="C88" s="99"/>
      <c r="D88" s="97"/>
      <c r="E88" s="109"/>
      <c r="F88" s="109"/>
      <c r="G88" s="101">
        <v>120</v>
      </c>
      <c r="H88" s="10" t="s">
        <v>456</v>
      </c>
      <c r="I88" s="9">
        <v>27</v>
      </c>
      <c r="J88" s="15">
        <v>1</v>
      </c>
      <c r="K88" s="15">
        <v>13</v>
      </c>
      <c r="L88" s="91" t="s">
        <v>559</v>
      </c>
      <c r="M88" s="92" t="s">
        <v>347</v>
      </c>
      <c r="N88" s="92" t="s">
        <v>366</v>
      </c>
      <c r="O88" s="92" t="s">
        <v>399</v>
      </c>
      <c r="P88" s="5">
        <v>610</v>
      </c>
      <c r="Q88" s="197">
        <f>4542.5+38.1+129</f>
        <v>4709.6</v>
      </c>
      <c r="R88" s="197">
        <v>4542.5</v>
      </c>
      <c r="S88" s="197">
        <v>4542.5</v>
      </c>
    </row>
    <row r="89" spans="1:19" ht="34.5" customHeight="1">
      <c r="A89" s="106"/>
      <c r="B89" s="107"/>
      <c r="C89" s="102"/>
      <c r="D89" s="103"/>
      <c r="E89" s="100"/>
      <c r="F89" s="100"/>
      <c r="G89" s="85"/>
      <c r="H89" s="17" t="s">
        <v>56</v>
      </c>
      <c r="I89" s="9">
        <v>27</v>
      </c>
      <c r="J89" s="15">
        <v>1</v>
      </c>
      <c r="K89" s="15">
        <v>13</v>
      </c>
      <c r="L89" s="91" t="s">
        <v>559</v>
      </c>
      <c r="M89" s="92" t="s">
        <v>347</v>
      </c>
      <c r="N89" s="92" t="s">
        <v>361</v>
      </c>
      <c r="O89" s="92" t="s">
        <v>392</v>
      </c>
      <c r="P89" s="5"/>
      <c r="Q89" s="197">
        <f aca="true" t="shared" si="5" ref="Q89:S90">Q90</f>
        <v>30</v>
      </c>
      <c r="R89" s="197">
        <f t="shared" si="5"/>
        <v>0</v>
      </c>
      <c r="S89" s="197">
        <f t="shared" si="5"/>
        <v>0</v>
      </c>
    </row>
    <row r="90" spans="1:19" ht="27" customHeight="1">
      <c r="A90" s="106"/>
      <c r="B90" s="107"/>
      <c r="C90" s="102"/>
      <c r="D90" s="103"/>
      <c r="E90" s="100"/>
      <c r="F90" s="100"/>
      <c r="G90" s="85"/>
      <c r="H90" s="4" t="s">
        <v>622</v>
      </c>
      <c r="I90" s="9">
        <v>27</v>
      </c>
      <c r="J90" s="15">
        <v>1</v>
      </c>
      <c r="K90" s="15">
        <v>13</v>
      </c>
      <c r="L90" s="91" t="s">
        <v>559</v>
      </c>
      <c r="M90" s="92" t="s">
        <v>347</v>
      </c>
      <c r="N90" s="92" t="s">
        <v>361</v>
      </c>
      <c r="O90" s="92" t="s">
        <v>59</v>
      </c>
      <c r="P90" s="5"/>
      <c r="Q90" s="197">
        <f t="shared" si="5"/>
        <v>30</v>
      </c>
      <c r="R90" s="197">
        <f t="shared" si="5"/>
        <v>0</v>
      </c>
      <c r="S90" s="197">
        <f t="shared" si="5"/>
        <v>0</v>
      </c>
    </row>
    <row r="91" spans="1:19" ht="27" customHeight="1">
      <c r="A91" s="106"/>
      <c r="B91" s="107"/>
      <c r="C91" s="102"/>
      <c r="D91" s="103"/>
      <c r="E91" s="100"/>
      <c r="F91" s="100"/>
      <c r="G91" s="85"/>
      <c r="H91" s="10" t="s">
        <v>492</v>
      </c>
      <c r="I91" s="9">
        <v>27</v>
      </c>
      <c r="J91" s="15">
        <v>1</v>
      </c>
      <c r="K91" s="15">
        <v>13</v>
      </c>
      <c r="L91" s="91" t="s">
        <v>559</v>
      </c>
      <c r="M91" s="92" t="s">
        <v>347</v>
      </c>
      <c r="N91" s="92" t="s">
        <v>361</v>
      </c>
      <c r="O91" s="92" t="s">
        <v>59</v>
      </c>
      <c r="P91" s="5">
        <v>620</v>
      </c>
      <c r="Q91" s="197">
        <f>15+15</f>
        <v>30</v>
      </c>
      <c r="R91" s="197">
        <v>0</v>
      </c>
      <c r="S91" s="197">
        <v>0</v>
      </c>
    </row>
    <row r="92" spans="1:19" s="171" customFormat="1" ht="27" customHeight="1">
      <c r="A92" s="128"/>
      <c r="B92" s="128"/>
      <c r="C92" s="128"/>
      <c r="D92" s="128"/>
      <c r="E92" s="128"/>
      <c r="F92" s="128"/>
      <c r="G92" s="129"/>
      <c r="H92" s="130" t="s">
        <v>340</v>
      </c>
      <c r="I92" s="131">
        <v>27</v>
      </c>
      <c r="J92" s="132">
        <v>3</v>
      </c>
      <c r="K92" s="132" t="s">
        <v>393</v>
      </c>
      <c r="L92" s="133"/>
      <c r="M92" s="134"/>
      <c r="N92" s="134"/>
      <c r="O92" s="134"/>
      <c r="P92" s="139"/>
      <c r="Q92" s="198">
        <f>Q93+Q102</f>
        <v>2511.4</v>
      </c>
      <c r="R92" s="198">
        <f>R93+R102</f>
        <v>2381.6</v>
      </c>
      <c r="S92" s="198">
        <f>S93+S102</f>
        <v>2381.6</v>
      </c>
    </row>
    <row r="93" spans="1:19" s="171" customFormat="1" ht="33" customHeight="1">
      <c r="A93" s="128"/>
      <c r="B93" s="128"/>
      <c r="C93" s="128"/>
      <c r="D93" s="128"/>
      <c r="E93" s="128"/>
      <c r="F93" s="128"/>
      <c r="G93" s="129"/>
      <c r="H93" s="130" t="s">
        <v>810</v>
      </c>
      <c r="I93" s="131">
        <v>27</v>
      </c>
      <c r="J93" s="132">
        <v>3</v>
      </c>
      <c r="K93" s="132">
        <v>9</v>
      </c>
      <c r="L93" s="133" t="s">
        <v>320</v>
      </c>
      <c r="M93" s="134" t="s">
        <v>320</v>
      </c>
      <c r="N93" s="134"/>
      <c r="O93" s="134" t="s">
        <v>320</v>
      </c>
      <c r="P93" s="139" t="s">
        <v>320</v>
      </c>
      <c r="Q93" s="284">
        <f aca="true" t="shared" si="6" ref="Q93:S94">Q94</f>
        <v>2245.5</v>
      </c>
      <c r="R93" s="284">
        <f t="shared" si="6"/>
        <v>2115.7</v>
      </c>
      <c r="S93" s="284">
        <f t="shared" si="6"/>
        <v>2115.7</v>
      </c>
    </row>
    <row r="94" spans="1:19" s="171" customFormat="1" ht="33" customHeight="1">
      <c r="A94" s="128"/>
      <c r="B94" s="128"/>
      <c r="C94" s="128"/>
      <c r="D94" s="128"/>
      <c r="E94" s="128"/>
      <c r="F94" s="128"/>
      <c r="G94" s="129"/>
      <c r="H94" s="10" t="s">
        <v>53</v>
      </c>
      <c r="I94" s="9">
        <v>27</v>
      </c>
      <c r="J94" s="15">
        <v>3</v>
      </c>
      <c r="K94" s="15">
        <v>9</v>
      </c>
      <c r="L94" s="91" t="s">
        <v>559</v>
      </c>
      <c r="M94" s="92" t="s">
        <v>347</v>
      </c>
      <c r="N94" s="92" t="s">
        <v>357</v>
      </c>
      <c r="O94" s="92" t="s">
        <v>392</v>
      </c>
      <c r="P94" s="139"/>
      <c r="Q94" s="197">
        <f t="shared" si="6"/>
        <v>2245.5</v>
      </c>
      <c r="R94" s="197">
        <f t="shared" si="6"/>
        <v>2115.7</v>
      </c>
      <c r="S94" s="197">
        <f t="shared" si="6"/>
        <v>2115.7</v>
      </c>
    </row>
    <row r="95" spans="1:19" s="171" customFormat="1" ht="33" customHeight="1">
      <c r="A95" s="128"/>
      <c r="B95" s="128"/>
      <c r="C95" s="128"/>
      <c r="D95" s="128"/>
      <c r="E95" s="128"/>
      <c r="F95" s="128"/>
      <c r="G95" s="129"/>
      <c r="H95" s="10" t="s">
        <v>57</v>
      </c>
      <c r="I95" s="9">
        <v>27</v>
      </c>
      <c r="J95" s="15">
        <v>3</v>
      </c>
      <c r="K95" s="15">
        <v>9</v>
      </c>
      <c r="L95" s="91" t="s">
        <v>559</v>
      </c>
      <c r="M95" s="92" t="s">
        <v>347</v>
      </c>
      <c r="N95" s="92" t="s">
        <v>366</v>
      </c>
      <c r="O95" s="92" t="s">
        <v>392</v>
      </c>
      <c r="P95" s="139"/>
      <c r="Q95" s="197">
        <f>Q96+Q100</f>
        <v>2245.5</v>
      </c>
      <c r="R95" s="197">
        <f>R96+R100</f>
        <v>2115.7</v>
      </c>
      <c r="S95" s="197">
        <f>S96+S100</f>
        <v>2115.7</v>
      </c>
    </row>
    <row r="96" spans="1:19" ht="26.25" customHeight="1">
      <c r="A96" s="84"/>
      <c r="B96" s="84"/>
      <c r="C96" s="84"/>
      <c r="D96" s="84"/>
      <c r="E96" s="84"/>
      <c r="F96" s="84"/>
      <c r="G96" s="85"/>
      <c r="H96" s="10" t="s">
        <v>102</v>
      </c>
      <c r="I96" s="9">
        <v>27</v>
      </c>
      <c r="J96" s="15">
        <v>3</v>
      </c>
      <c r="K96" s="15">
        <v>9</v>
      </c>
      <c r="L96" s="91" t="s">
        <v>559</v>
      </c>
      <c r="M96" s="92" t="s">
        <v>347</v>
      </c>
      <c r="N96" s="92" t="s">
        <v>366</v>
      </c>
      <c r="O96" s="92" t="s">
        <v>103</v>
      </c>
      <c r="P96" s="5" t="s">
        <v>320</v>
      </c>
      <c r="Q96" s="197">
        <f>SUM(Q97:Q99)</f>
        <v>1848.3</v>
      </c>
      <c r="R96" s="197">
        <f>SUM(R97:R98)</f>
        <v>1778.8</v>
      </c>
      <c r="S96" s="197">
        <f>SUM(S97:S98)</f>
        <v>1778.8</v>
      </c>
    </row>
    <row r="97" spans="1:19" ht="26.25" customHeight="1">
      <c r="A97" s="84"/>
      <c r="B97" s="84"/>
      <c r="C97" s="84"/>
      <c r="D97" s="84"/>
      <c r="E97" s="84"/>
      <c r="F97" s="84"/>
      <c r="G97" s="85"/>
      <c r="H97" s="10" t="s">
        <v>457</v>
      </c>
      <c r="I97" s="5">
        <v>27</v>
      </c>
      <c r="J97" s="18">
        <v>3</v>
      </c>
      <c r="K97" s="15">
        <v>9</v>
      </c>
      <c r="L97" s="91" t="s">
        <v>559</v>
      </c>
      <c r="M97" s="92" t="s">
        <v>347</v>
      </c>
      <c r="N97" s="92" t="s">
        <v>366</v>
      </c>
      <c r="O97" s="92" t="s">
        <v>103</v>
      </c>
      <c r="P97" s="5">
        <v>110</v>
      </c>
      <c r="Q97" s="197">
        <f>1625.8-0.2+49.5</f>
        <v>1675.1</v>
      </c>
      <c r="R97" s="197">
        <v>1625.8</v>
      </c>
      <c r="S97" s="197">
        <v>1625.8</v>
      </c>
    </row>
    <row r="98" spans="1:19" ht="23.25" customHeight="1">
      <c r="A98" s="84"/>
      <c r="B98" s="84"/>
      <c r="C98" s="84"/>
      <c r="D98" s="84"/>
      <c r="E98" s="84"/>
      <c r="F98" s="84"/>
      <c r="G98" s="85"/>
      <c r="H98" s="4" t="s">
        <v>454</v>
      </c>
      <c r="I98" s="7">
        <v>27</v>
      </c>
      <c r="J98" s="20">
        <v>3</v>
      </c>
      <c r="K98" s="15">
        <v>9</v>
      </c>
      <c r="L98" s="91" t="s">
        <v>559</v>
      </c>
      <c r="M98" s="92" t="s">
        <v>347</v>
      </c>
      <c r="N98" s="92" t="s">
        <v>366</v>
      </c>
      <c r="O98" s="92" t="s">
        <v>103</v>
      </c>
      <c r="P98" s="5">
        <v>240</v>
      </c>
      <c r="Q98" s="195">
        <f>153+20</f>
        <v>173</v>
      </c>
      <c r="R98" s="195">
        <v>153</v>
      </c>
      <c r="S98" s="195">
        <v>153</v>
      </c>
    </row>
    <row r="99" spans="1:19" ht="23.25" customHeight="1">
      <c r="A99" s="84"/>
      <c r="B99" s="84"/>
      <c r="C99" s="84"/>
      <c r="D99" s="84"/>
      <c r="E99" s="84"/>
      <c r="F99" s="84"/>
      <c r="G99" s="85"/>
      <c r="H99" s="104" t="s">
        <v>455</v>
      </c>
      <c r="I99" s="5">
        <v>27</v>
      </c>
      <c r="J99" s="20">
        <v>3</v>
      </c>
      <c r="K99" s="15">
        <v>9</v>
      </c>
      <c r="L99" s="91" t="s">
        <v>559</v>
      </c>
      <c r="M99" s="92" t="s">
        <v>347</v>
      </c>
      <c r="N99" s="92" t="s">
        <v>366</v>
      </c>
      <c r="O99" s="92" t="s">
        <v>103</v>
      </c>
      <c r="P99" s="5">
        <v>850</v>
      </c>
      <c r="Q99" s="197">
        <v>0.2</v>
      </c>
      <c r="R99" s="197">
        <v>0</v>
      </c>
      <c r="S99" s="197">
        <v>0</v>
      </c>
    </row>
    <row r="100" spans="1:19" ht="23.25" customHeight="1">
      <c r="A100" s="84"/>
      <c r="B100" s="84"/>
      <c r="C100" s="84"/>
      <c r="D100" s="84"/>
      <c r="E100" s="84"/>
      <c r="F100" s="84"/>
      <c r="G100" s="85"/>
      <c r="H100" s="10" t="s">
        <v>595</v>
      </c>
      <c r="I100" s="5">
        <v>27</v>
      </c>
      <c r="J100" s="6">
        <v>3</v>
      </c>
      <c r="K100" s="15">
        <v>9</v>
      </c>
      <c r="L100" s="91" t="s">
        <v>559</v>
      </c>
      <c r="M100" s="92" t="s">
        <v>347</v>
      </c>
      <c r="N100" s="92" t="s">
        <v>366</v>
      </c>
      <c r="O100" s="92" t="s">
        <v>594</v>
      </c>
      <c r="P100" s="5"/>
      <c r="Q100" s="197">
        <f>Q101</f>
        <v>397.2</v>
      </c>
      <c r="R100" s="197">
        <f>R101</f>
        <v>336.9</v>
      </c>
      <c r="S100" s="197">
        <f>S101</f>
        <v>336.9</v>
      </c>
    </row>
    <row r="101" spans="1:19" ht="23.25" customHeight="1">
      <c r="A101" s="84"/>
      <c r="B101" s="84"/>
      <c r="C101" s="84"/>
      <c r="D101" s="84"/>
      <c r="E101" s="84"/>
      <c r="F101" s="84"/>
      <c r="G101" s="85"/>
      <c r="H101" s="10" t="s">
        <v>457</v>
      </c>
      <c r="I101" s="5">
        <v>27</v>
      </c>
      <c r="J101" s="6">
        <v>3</v>
      </c>
      <c r="K101" s="15">
        <v>9</v>
      </c>
      <c r="L101" s="91" t="s">
        <v>559</v>
      </c>
      <c r="M101" s="92" t="s">
        <v>347</v>
      </c>
      <c r="N101" s="92" t="s">
        <v>366</v>
      </c>
      <c r="O101" s="92" t="s">
        <v>594</v>
      </c>
      <c r="P101" s="5">
        <v>110</v>
      </c>
      <c r="Q101" s="197">
        <f>336.9+60.3</f>
        <v>397.2</v>
      </c>
      <c r="R101" s="197">
        <v>336.9</v>
      </c>
      <c r="S101" s="197">
        <v>336.9</v>
      </c>
    </row>
    <row r="102" spans="1:19" s="171" customFormat="1" ht="25.5" customHeight="1">
      <c r="A102" s="128"/>
      <c r="B102" s="128"/>
      <c r="C102" s="128"/>
      <c r="D102" s="128"/>
      <c r="E102" s="128"/>
      <c r="F102" s="128"/>
      <c r="G102" s="129"/>
      <c r="H102" s="130" t="s">
        <v>341</v>
      </c>
      <c r="I102" s="131">
        <v>27</v>
      </c>
      <c r="J102" s="132">
        <v>3</v>
      </c>
      <c r="K102" s="132">
        <v>14</v>
      </c>
      <c r="L102" s="133"/>
      <c r="M102" s="134"/>
      <c r="N102" s="134"/>
      <c r="O102" s="134"/>
      <c r="P102" s="139"/>
      <c r="Q102" s="198">
        <f>Q103+Q115</f>
        <v>265.9</v>
      </c>
      <c r="R102" s="198">
        <f>R103+R115</f>
        <v>265.9</v>
      </c>
      <c r="S102" s="198">
        <f>S103+S115</f>
        <v>265.9</v>
      </c>
    </row>
    <row r="103" spans="1:19" ht="38.25" customHeight="1">
      <c r="A103" s="84"/>
      <c r="B103" s="84"/>
      <c r="C103" s="84"/>
      <c r="D103" s="84"/>
      <c r="E103" s="84"/>
      <c r="F103" s="84"/>
      <c r="G103" s="85"/>
      <c r="H103" s="10" t="s">
        <v>629</v>
      </c>
      <c r="I103" s="9">
        <v>27</v>
      </c>
      <c r="J103" s="15">
        <v>3</v>
      </c>
      <c r="K103" s="15">
        <v>14</v>
      </c>
      <c r="L103" s="91" t="s">
        <v>560</v>
      </c>
      <c r="M103" s="92" t="s">
        <v>347</v>
      </c>
      <c r="N103" s="92" t="s">
        <v>357</v>
      </c>
      <c r="O103" s="92" t="s">
        <v>392</v>
      </c>
      <c r="P103" s="5"/>
      <c r="Q103" s="197">
        <f>Q111+Q104</f>
        <v>205.9</v>
      </c>
      <c r="R103" s="197">
        <f>R111+R104</f>
        <v>205.9</v>
      </c>
      <c r="S103" s="197">
        <f>S111+S104</f>
        <v>205.9</v>
      </c>
    </row>
    <row r="104" spans="1:19" ht="22.5" customHeight="1">
      <c r="A104" s="84"/>
      <c r="B104" s="84"/>
      <c r="C104" s="84"/>
      <c r="D104" s="84"/>
      <c r="E104" s="84"/>
      <c r="F104" s="84"/>
      <c r="G104" s="85"/>
      <c r="H104" s="10" t="s">
        <v>404</v>
      </c>
      <c r="I104" s="9">
        <v>27</v>
      </c>
      <c r="J104" s="15">
        <v>3</v>
      </c>
      <c r="K104" s="15">
        <v>14</v>
      </c>
      <c r="L104" s="91" t="s">
        <v>560</v>
      </c>
      <c r="M104" s="92" t="s">
        <v>349</v>
      </c>
      <c r="N104" s="92" t="s">
        <v>357</v>
      </c>
      <c r="O104" s="92" t="s">
        <v>392</v>
      </c>
      <c r="P104" s="5"/>
      <c r="Q104" s="197">
        <f>Q105+Q108</f>
        <v>195.9</v>
      </c>
      <c r="R104" s="197">
        <f>R105+R108</f>
        <v>195.9</v>
      </c>
      <c r="S104" s="197">
        <f>S105+S108</f>
        <v>195.9</v>
      </c>
    </row>
    <row r="105" spans="1:19" ht="33.75" customHeight="1">
      <c r="A105" s="84"/>
      <c r="B105" s="84"/>
      <c r="C105" s="84"/>
      <c r="D105" s="84"/>
      <c r="E105" s="84"/>
      <c r="F105" s="84"/>
      <c r="G105" s="85"/>
      <c r="H105" s="10" t="s">
        <v>639</v>
      </c>
      <c r="I105" s="9">
        <v>27</v>
      </c>
      <c r="J105" s="15">
        <v>3</v>
      </c>
      <c r="K105" s="15">
        <v>14</v>
      </c>
      <c r="L105" s="91" t="s">
        <v>560</v>
      </c>
      <c r="M105" s="92" t="s">
        <v>349</v>
      </c>
      <c r="N105" s="92" t="s">
        <v>365</v>
      </c>
      <c r="O105" s="92" t="s">
        <v>392</v>
      </c>
      <c r="P105" s="5"/>
      <c r="Q105" s="197">
        <f aca="true" t="shared" si="7" ref="Q105:S106">Q106</f>
        <v>0</v>
      </c>
      <c r="R105" s="197">
        <f t="shared" si="7"/>
        <v>35</v>
      </c>
      <c r="S105" s="197">
        <f t="shared" si="7"/>
        <v>35</v>
      </c>
    </row>
    <row r="106" spans="1:19" ht="22.5" customHeight="1">
      <c r="A106" s="84"/>
      <c r="B106" s="84"/>
      <c r="C106" s="84"/>
      <c r="D106" s="84"/>
      <c r="E106" s="84"/>
      <c r="F106" s="84"/>
      <c r="G106" s="85"/>
      <c r="H106" s="10" t="s">
        <v>771</v>
      </c>
      <c r="I106" s="9">
        <v>27</v>
      </c>
      <c r="J106" s="15">
        <v>3</v>
      </c>
      <c r="K106" s="15">
        <v>14</v>
      </c>
      <c r="L106" s="91" t="s">
        <v>560</v>
      </c>
      <c r="M106" s="92" t="s">
        <v>349</v>
      </c>
      <c r="N106" s="92" t="s">
        <v>365</v>
      </c>
      <c r="O106" s="92" t="s">
        <v>770</v>
      </c>
      <c r="P106" s="5"/>
      <c r="Q106" s="197">
        <f t="shared" si="7"/>
        <v>0</v>
      </c>
      <c r="R106" s="197">
        <f t="shared" si="7"/>
        <v>35</v>
      </c>
      <c r="S106" s="197">
        <f t="shared" si="7"/>
        <v>35</v>
      </c>
    </row>
    <row r="107" spans="1:19" ht="22.5" customHeight="1">
      <c r="A107" s="84"/>
      <c r="B107" s="84"/>
      <c r="C107" s="84"/>
      <c r="D107" s="84"/>
      <c r="E107" s="84"/>
      <c r="F107" s="84"/>
      <c r="G107" s="85"/>
      <c r="H107" s="4" t="s">
        <v>454</v>
      </c>
      <c r="I107" s="9">
        <v>27</v>
      </c>
      <c r="J107" s="15">
        <v>3</v>
      </c>
      <c r="K107" s="15">
        <v>14</v>
      </c>
      <c r="L107" s="91" t="s">
        <v>560</v>
      </c>
      <c r="M107" s="92" t="s">
        <v>349</v>
      </c>
      <c r="N107" s="92" t="s">
        <v>365</v>
      </c>
      <c r="O107" s="92" t="s">
        <v>770</v>
      </c>
      <c r="P107" s="5">
        <v>240</v>
      </c>
      <c r="Q107" s="197">
        <f>35-35</f>
        <v>0</v>
      </c>
      <c r="R107" s="197">
        <v>35</v>
      </c>
      <c r="S107" s="197">
        <v>35</v>
      </c>
    </row>
    <row r="108" spans="1:19" ht="22.5" customHeight="1">
      <c r="A108" s="84"/>
      <c r="B108" s="84"/>
      <c r="C108" s="84"/>
      <c r="D108" s="84"/>
      <c r="E108" s="84"/>
      <c r="F108" s="84"/>
      <c r="G108" s="85"/>
      <c r="H108" s="10" t="s">
        <v>638</v>
      </c>
      <c r="I108" s="9">
        <v>27</v>
      </c>
      <c r="J108" s="15">
        <v>3</v>
      </c>
      <c r="K108" s="15">
        <v>14</v>
      </c>
      <c r="L108" s="91" t="s">
        <v>560</v>
      </c>
      <c r="M108" s="92" t="s">
        <v>349</v>
      </c>
      <c r="N108" s="92" t="s">
        <v>366</v>
      </c>
      <c r="O108" s="92" t="s">
        <v>392</v>
      </c>
      <c r="P108" s="5"/>
      <c r="Q108" s="197">
        <f aca="true" t="shared" si="8" ref="Q108:S109">Q109</f>
        <v>195.9</v>
      </c>
      <c r="R108" s="197">
        <f t="shared" si="8"/>
        <v>160.9</v>
      </c>
      <c r="S108" s="197">
        <f t="shared" si="8"/>
        <v>160.9</v>
      </c>
    </row>
    <row r="109" spans="1:19" ht="36.75" customHeight="1">
      <c r="A109" s="84"/>
      <c r="B109" s="84"/>
      <c r="C109" s="84"/>
      <c r="D109" s="84"/>
      <c r="E109" s="84"/>
      <c r="F109" s="84"/>
      <c r="G109" s="85"/>
      <c r="H109" s="10" t="s">
        <v>452</v>
      </c>
      <c r="I109" s="9">
        <v>27</v>
      </c>
      <c r="J109" s="15">
        <v>3</v>
      </c>
      <c r="K109" s="15">
        <v>14</v>
      </c>
      <c r="L109" s="91" t="s">
        <v>560</v>
      </c>
      <c r="M109" s="92" t="s">
        <v>349</v>
      </c>
      <c r="N109" s="92" t="s">
        <v>366</v>
      </c>
      <c r="O109" s="92" t="s">
        <v>109</v>
      </c>
      <c r="P109" s="5"/>
      <c r="Q109" s="197">
        <f t="shared" si="8"/>
        <v>195.9</v>
      </c>
      <c r="R109" s="197">
        <f t="shared" si="8"/>
        <v>160.9</v>
      </c>
      <c r="S109" s="197">
        <f t="shared" si="8"/>
        <v>160.9</v>
      </c>
    </row>
    <row r="110" spans="1:19" ht="22.5" customHeight="1">
      <c r="A110" s="84"/>
      <c r="B110" s="84"/>
      <c r="C110" s="84"/>
      <c r="D110" s="84"/>
      <c r="E110" s="84"/>
      <c r="F110" s="84"/>
      <c r="G110" s="85"/>
      <c r="H110" s="4" t="s">
        <v>454</v>
      </c>
      <c r="I110" s="9">
        <v>27</v>
      </c>
      <c r="J110" s="15">
        <v>3</v>
      </c>
      <c r="K110" s="15">
        <v>14</v>
      </c>
      <c r="L110" s="91" t="s">
        <v>560</v>
      </c>
      <c r="M110" s="92" t="s">
        <v>349</v>
      </c>
      <c r="N110" s="92" t="s">
        <v>366</v>
      </c>
      <c r="O110" s="92" t="s">
        <v>109</v>
      </c>
      <c r="P110" s="5">
        <v>240</v>
      </c>
      <c r="Q110" s="197">
        <f>160.9+35</f>
        <v>195.9</v>
      </c>
      <c r="R110" s="197">
        <v>160.9</v>
      </c>
      <c r="S110" s="197">
        <v>160.9</v>
      </c>
    </row>
    <row r="111" spans="1:19" ht="35.25" customHeight="1">
      <c r="A111" s="84"/>
      <c r="B111" s="84"/>
      <c r="C111" s="84"/>
      <c r="D111" s="84"/>
      <c r="E111" s="84"/>
      <c r="F111" s="84"/>
      <c r="G111" s="85"/>
      <c r="H111" s="32" t="s">
        <v>637</v>
      </c>
      <c r="I111" s="9">
        <v>27</v>
      </c>
      <c r="J111" s="15">
        <v>3</v>
      </c>
      <c r="K111" s="15">
        <v>14</v>
      </c>
      <c r="L111" s="15">
        <v>35</v>
      </c>
      <c r="M111" s="92" t="s">
        <v>581</v>
      </c>
      <c r="N111" s="92" t="s">
        <v>357</v>
      </c>
      <c r="O111" s="92" t="s">
        <v>392</v>
      </c>
      <c r="P111" s="5"/>
      <c r="Q111" s="197">
        <f>Q112</f>
        <v>10</v>
      </c>
      <c r="R111" s="197">
        <f aca="true" t="shared" si="9" ref="R111:S113">R112</f>
        <v>10</v>
      </c>
      <c r="S111" s="197">
        <f t="shared" si="9"/>
        <v>10</v>
      </c>
    </row>
    <row r="112" spans="1:19" ht="36.75" customHeight="1">
      <c r="A112" s="84"/>
      <c r="B112" s="84"/>
      <c r="C112" s="84"/>
      <c r="D112" s="84"/>
      <c r="E112" s="84"/>
      <c r="F112" s="84"/>
      <c r="G112" s="85"/>
      <c r="H112" s="10" t="s">
        <v>636</v>
      </c>
      <c r="I112" s="9">
        <v>27</v>
      </c>
      <c r="J112" s="15">
        <v>3</v>
      </c>
      <c r="K112" s="15">
        <v>14</v>
      </c>
      <c r="L112" s="15">
        <v>35</v>
      </c>
      <c r="M112" s="92" t="s">
        <v>581</v>
      </c>
      <c r="N112" s="92" t="s">
        <v>348</v>
      </c>
      <c r="O112" s="92" t="s">
        <v>392</v>
      </c>
      <c r="P112" s="5"/>
      <c r="Q112" s="197">
        <f>Q113</f>
        <v>10</v>
      </c>
      <c r="R112" s="197">
        <f t="shared" si="9"/>
        <v>10</v>
      </c>
      <c r="S112" s="197">
        <f t="shared" si="9"/>
        <v>10</v>
      </c>
    </row>
    <row r="113" spans="1:19" ht="21" customHeight="1">
      <c r="A113" s="84"/>
      <c r="B113" s="84"/>
      <c r="C113" s="84"/>
      <c r="D113" s="84"/>
      <c r="E113" s="84"/>
      <c r="F113" s="84"/>
      <c r="G113" s="85"/>
      <c r="H113" s="10" t="s">
        <v>635</v>
      </c>
      <c r="I113" s="9">
        <v>27</v>
      </c>
      <c r="J113" s="15">
        <v>3</v>
      </c>
      <c r="K113" s="15">
        <v>14</v>
      </c>
      <c r="L113" s="15">
        <v>35</v>
      </c>
      <c r="M113" s="92" t="s">
        <v>581</v>
      </c>
      <c r="N113" s="92" t="s">
        <v>348</v>
      </c>
      <c r="O113" s="92" t="s">
        <v>770</v>
      </c>
      <c r="P113" s="5"/>
      <c r="Q113" s="197">
        <f>Q114</f>
        <v>10</v>
      </c>
      <c r="R113" s="197">
        <f t="shared" si="9"/>
        <v>10</v>
      </c>
      <c r="S113" s="197">
        <f t="shared" si="9"/>
        <v>10</v>
      </c>
    </row>
    <row r="114" spans="1:19" ht="19.5" customHeight="1">
      <c r="A114" s="84"/>
      <c r="B114" s="84"/>
      <c r="C114" s="84"/>
      <c r="D114" s="84"/>
      <c r="E114" s="84"/>
      <c r="F114" s="84"/>
      <c r="G114" s="85"/>
      <c r="H114" s="4" t="s">
        <v>454</v>
      </c>
      <c r="I114" s="9">
        <v>27</v>
      </c>
      <c r="J114" s="15">
        <v>3</v>
      </c>
      <c r="K114" s="15">
        <v>14</v>
      </c>
      <c r="L114" s="15">
        <v>35</v>
      </c>
      <c r="M114" s="92" t="s">
        <v>581</v>
      </c>
      <c r="N114" s="92" t="s">
        <v>348</v>
      </c>
      <c r="O114" s="92" t="s">
        <v>770</v>
      </c>
      <c r="P114" s="5">
        <v>240</v>
      </c>
      <c r="Q114" s="197">
        <v>10</v>
      </c>
      <c r="R114" s="212">
        <v>10</v>
      </c>
      <c r="S114" s="212">
        <v>10</v>
      </c>
    </row>
    <row r="115" spans="1:19" ht="42" customHeight="1">
      <c r="A115" s="84"/>
      <c r="B115" s="84"/>
      <c r="C115" s="84"/>
      <c r="D115" s="84"/>
      <c r="E115" s="84"/>
      <c r="F115" s="84"/>
      <c r="G115" s="85"/>
      <c r="H115" s="32" t="s">
        <v>630</v>
      </c>
      <c r="I115" s="5">
        <v>27</v>
      </c>
      <c r="J115" s="20">
        <v>3</v>
      </c>
      <c r="K115" s="15">
        <v>14</v>
      </c>
      <c r="L115" s="15">
        <v>37</v>
      </c>
      <c r="M115" s="92" t="s">
        <v>347</v>
      </c>
      <c r="N115" s="92" t="s">
        <v>357</v>
      </c>
      <c r="O115" s="92" t="s">
        <v>392</v>
      </c>
      <c r="P115" s="5"/>
      <c r="Q115" s="197">
        <f>Q116</f>
        <v>60</v>
      </c>
      <c r="R115" s="197">
        <f aca="true" t="shared" si="10" ref="R115:S117">R116</f>
        <v>60</v>
      </c>
      <c r="S115" s="197">
        <f t="shared" si="10"/>
        <v>60</v>
      </c>
    </row>
    <row r="116" spans="1:19" ht="34.5" customHeight="1">
      <c r="A116" s="84"/>
      <c r="B116" s="84"/>
      <c r="C116" s="84"/>
      <c r="D116" s="84"/>
      <c r="E116" s="84"/>
      <c r="F116" s="84"/>
      <c r="G116" s="85"/>
      <c r="H116" s="32" t="s">
        <v>772</v>
      </c>
      <c r="I116" s="5">
        <v>27</v>
      </c>
      <c r="J116" s="20">
        <v>3</v>
      </c>
      <c r="K116" s="15">
        <v>14</v>
      </c>
      <c r="L116" s="15">
        <v>37</v>
      </c>
      <c r="M116" s="92" t="s">
        <v>347</v>
      </c>
      <c r="N116" s="92" t="s">
        <v>348</v>
      </c>
      <c r="O116" s="92" t="s">
        <v>392</v>
      </c>
      <c r="P116" s="5"/>
      <c r="Q116" s="197">
        <f>Q117</f>
        <v>60</v>
      </c>
      <c r="R116" s="197">
        <f t="shared" si="10"/>
        <v>60</v>
      </c>
      <c r="S116" s="197">
        <f t="shared" si="10"/>
        <v>60</v>
      </c>
    </row>
    <row r="117" spans="1:19" ht="19.5" customHeight="1">
      <c r="A117" s="84"/>
      <c r="B117" s="84"/>
      <c r="C117" s="84"/>
      <c r="D117" s="84"/>
      <c r="E117" s="84"/>
      <c r="F117" s="84"/>
      <c r="G117" s="85"/>
      <c r="H117" s="32" t="s">
        <v>631</v>
      </c>
      <c r="I117" s="5">
        <v>27</v>
      </c>
      <c r="J117" s="20">
        <v>3</v>
      </c>
      <c r="K117" s="15">
        <v>14</v>
      </c>
      <c r="L117" s="15">
        <v>37</v>
      </c>
      <c r="M117" s="92" t="s">
        <v>347</v>
      </c>
      <c r="N117" s="92" t="s">
        <v>348</v>
      </c>
      <c r="O117" s="92" t="s">
        <v>46</v>
      </c>
      <c r="P117" s="5"/>
      <c r="Q117" s="197">
        <f>Q118</f>
        <v>60</v>
      </c>
      <c r="R117" s="197">
        <f t="shared" si="10"/>
        <v>60</v>
      </c>
      <c r="S117" s="197">
        <f t="shared" si="10"/>
        <v>60</v>
      </c>
    </row>
    <row r="118" spans="1:19" ht="19.5" customHeight="1">
      <c r="A118" s="84"/>
      <c r="B118" s="84"/>
      <c r="C118" s="84"/>
      <c r="D118" s="84"/>
      <c r="E118" s="84"/>
      <c r="F118" s="84"/>
      <c r="G118" s="85"/>
      <c r="H118" s="32" t="s">
        <v>454</v>
      </c>
      <c r="I118" s="5">
        <v>27</v>
      </c>
      <c r="J118" s="20">
        <v>3</v>
      </c>
      <c r="K118" s="15">
        <v>14</v>
      </c>
      <c r="L118" s="15">
        <v>37</v>
      </c>
      <c r="M118" s="92" t="s">
        <v>347</v>
      </c>
      <c r="N118" s="92" t="s">
        <v>348</v>
      </c>
      <c r="O118" s="92" t="s">
        <v>46</v>
      </c>
      <c r="P118" s="5">
        <v>240</v>
      </c>
      <c r="Q118" s="197">
        <v>60</v>
      </c>
      <c r="R118" s="212">
        <v>60</v>
      </c>
      <c r="S118" s="212">
        <v>60</v>
      </c>
    </row>
    <row r="119" spans="1:19" s="171" customFormat="1" ht="23.25" customHeight="1">
      <c r="A119" s="128"/>
      <c r="B119" s="128"/>
      <c r="C119" s="128"/>
      <c r="D119" s="128"/>
      <c r="E119" s="128"/>
      <c r="F119" s="128"/>
      <c r="G119" s="129"/>
      <c r="H119" s="130" t="s">
        <v>333</v>
      </c>
      <c r="I119" s="139">
        <v>27</v>
      </c>
      <c r="J119" s="141">
        <v>4</v>
      </c>
      <c r="K119" s="132"/>
      <c r="L119" s="133"/>
      <c r="M119" s="134"/>
      <c r="N119" s="134"/>
      <c r="O119" s="134"/>
      <c r="P119" s="139"/>
      <c r="Q119" s="198">
        <f>Q120+Q125+Q165</f>
        <v>51988.4</v>
      </c>
      <c r="R119" s="198">
        <f>R120+R125+R165</f>
        <v>21824.7</v>
      </c>
      <c r="S119" s="198">
        <f>S120+S125+S165</f>
        <v>22482.7</v>
      </c>
    </row>
    <row r="120" spans="1:19" s="171" customFormat="1" ht="26.25" customHeight="1">
      <c r="A120" s="135"/>
      <c r="B120" s="136"/>
      <c r="C120" s="146"/>
      <c r="D120" s="207"/>
      <c r="E120" s="158"/>
      <c r="F120" s="158"/>
      <c r="G120" s="129"/>
      <c r="H120" s="267" t="s">
        <v>110</v>
      </c>
      <c r="I120" s="145">
        <v>27</v>
      </c>
      <c r="J120" s="149">
        <v>4</v>
      </c>
      <c r="K120" s="132">
        <v>8</v>
      </c>
      <c r="L120" s="133"/>
      <c r="M120" s="134"/>
      <c r="N120" s="134"/>
      <c r="O120" s="134"/>
      <c r="P120" s="131"/>
      <c r="Q120" s="194">
        <f aca="true" t="shared" si="11" ref="Q120:S123">Q121</f>
        <v>3554.1</v>
      </c>
      <c r="R120" s="194">
        <f t="shared" si="11"/>
        <v>0</v>
      </c>
      <c r="S120" s="194">
        <f t="shared" si="11"/>
        <v>0</v>
      </c>
    </row>
    <row r="121" spans="1:19" s="171" customFormat="1" ht="26.25" customHeight="1">
      <c r="A121" s="135"/>
      <c r="B121" s="136"/>
      <c r="C121" s="146"/>
      <c r="D121" s="207"/>
      <c r="E121" s="158"/>
      <c r="F121" s="158"/>
      <c r="G121" s="129"/>
      <c r="H121" s="10" t="s">
        <v>53</v>
      </c>
      <c r="I121" s="5">
        <v>27</v>
      </c>
      <c r="J121" s="20">
        <v>4</v>
      </c>
      <c r="K121" s="15">
        <v>8</v>
      </c>
      <c r="L121" s="91" t="s">
        <v>559</v>
      </c>
      <c r="M121" s="92" t="s">
        <v>347</v>
      </c>
      <c r="N121" s="92" t="s">
        <v>357</v>
      </c>
      <c r="O121" s="92" t="s">
        <v>392</v>
      </c>
      <c r="P121" s="131"/>
      <c r="Q121" s="194">
        <f t="shared" si="11"/>
        <v>3554.1</v>
      </c>
      <c r="R121" s="194">
        <f t="shared" si="11"/>
        <v>0</v>
      </c>
      <c r="S121" s="194">
        <f t="shared" si="11"/>
        <v>0</v>
      </c>
    </row>
    <row r="122" spans="1:19" s="171" customFormat="1" ht="26.25" customHeight="1">
      <c r="A122" s="135"/>
      <c r="B122" s="136"/>
      <c r="C122" s="146"/>
      <c r="D122" s="207"/>
      <c r="E122" s="158"/>
      <c r="F122" s="158"/>
      <c r="G122" s="129"/>
      <c r="H122" s="4" t="s">
        <v>55</v>
      </c>
      <c r="I122" s="7">
        <v>27</v>
      </c>
      <c r="J122" s="20">
        <v>4</v>
      </c>
      <c r="K122" s="15">
        <v>8</v>
      </c>
      <c r="L122" s="91" t="s">
        <v>559</v>
      </c>
      <c r="M122" s="92" t="s">
        <v>347</v>
      </c>
      <c r="N122" s="92" t="s">
        <v>365</v>
      </c>
      <c r="O122" s="92" t="s">
        <v>392</v>
      </c>
      <c r="P122" s="131"/>
      <c r="Q122" s="194">
        <f t="shared" si="11"/>
        <v>3554.1</v>
      </c>
      <c r="R122" s="198">
        <f t="shared" si="11"/>
        <v>0</v>
      </c>
      <c r="S122" s="198">
        <f t="shared" si="11"/>
        <v>0</v>
      </c>
    </row>
    <row r="123" spans="1:19" ht="36.75" customHeight="1">
      <c r="A123" s="95"/>
      <c r="B123" s="94"/>
      <c r="C123" s="99"/>
      <c r="D123" s="107"/>
      <c r="E123" s="110"/>
      <c r="F123" s="110"/>
      <c r="G123" s="85"/>
      <c r="H123" s="29" t="s">
        <v>794</v>
      </c>
      <c r="I123" s="7">
        <v>27</v>
      </c>
      <c r="J123" s="20">
        <v>4</v>
      </c>
      <c r="K123" s="15">
        <v>8</v>
      </c>
      <c r="L123" s="91" t="s">
        <v>559</v>
      </c>
      <c r="M123" s="92" t="s">
        <v>347</v>
      </c>
      <c r="N123" s="92" t="s">
        <v>365</v>
      </c>
      <c r="O123" s="92" t="s">
        <v>793</v>
      </c>
      <c r="P123" s="9"/>
      <c r="Q123" s="195">
        <f t="shared" si="11"/>
        <v>3554.1</v>
      </c>
      <c r="R123" s="197">
        <f t="shared" si="11"/>
        <v>0</v>
      </c>
      <c r="S123" s="197">
        <f t="shared" si="11"/>
        <v>0</v>
      </c>
    </row>
    <row r="124" spans="1:19" ht="28.5" customHeight="1">
      <c r="A124" s="95"/>
      <c r="B124" s="94"/>
      <c r="C124" s="99"/>
      <c r="D124" s="107"/>
      <c r="E124" s="110"/>
      <c r="F124" s="110"/>
      <c r="G124" s="85"/>
      <c r="H124" s="29" t="s">
        <v>454</v>
      </c>
      <c r="I124" s="7">
        <v>27</v>
      </c>
      <c r="J124" s="20">
        <v>4</v>
      </c>
      <c r="K124" s="15">
        <v>8</v>
      </c>
      <c r="L124" s="91" t="s">
        <v>559</v>
      </c>
      <c r="M124" s="92" t="s">
        <v>347</v>
      </c>
      <c r="N124" s="92" t="s">
        <v>365</v>
      </c>
      <c r="O124" s="92" t="s">
        <v>793</v>
      </c>
      <c r="P124" s="9">
        <v>240</v>
      </c>
      <c r="Q124" s="195">
        <v>3554.1</v>
      </c>
      <c r="R124" s="197">
        <v>0</v>
      </c>
      <c r="S124" s="197">
        <v>0</v>
      </c>
    </row>
    <row r="125" spans="1:19" s="171" customFormat="1" ht="24.75" customHeight="1">
      <c r="A125" s="135"/>
      <c r="B125" s="136"/>
      <c r="C125" s="146"/>
      <c r="D125" s="143"/>
      <c r="E125" s="147"/>
      <c r="F125" s="147"/>
      <c r="G125" s="148">
        <v>321</v>
      </c>
      <c r="H125" s="142" t="s">
        <v>96</v>
      </c>
      <c r="I125" s="145">
        <v>27</v>
      </c>
      <c r="J125" s="149">
        <v>4</v>
      </c>
      <c r="K125" s="132">
        <v>9</v>
      </c>
      <c r="L125" s="133"/>
      <c r="M125" s="134"/>
      <c r="N125" s="134"/>
      <c r="O125" s="134"/>
      <c r="P125" s="139"/>
      <c r="Q125" s="198">
        <f>Q126+Q163</f>
        <v>38705.4</v>
      </c>
      <c r="R125" s="198">
        <f>R153</f>
        <v>14674.4</v>
      </c>
      <c r="S125" s="198">
        <f>S153</f>
        <v>15332.4</v>
      </c>
    </row>
    <row r="126" spans="1:19" ht="35.25" customHeight="1">
      <c r="A126" s="95"/>
      <c r="B126" s="94"/>
      <c r="C126" s="99"/>
      <c r="D126" s="97"/>
      <c r="E126" s="109"/>
      <c r="F126" s="109"/>
      <c r="G126" s="101">
        <v>530</v>
      </c>
      <c r="H126" s="4" t="s">
        <v>506</v>
      </c>
      <c r="I126" s="9">
        <v>27</v>
      </c>
      <c r="J126" s="15">
        <v>4</v>
      </c>
      <c r="K126" s="15">
        <v>9</v>
      </c>
      <c r="L126" s="91" t="s">
        <v>361</v>
      </c>
      <c r="M126" s="92" t="s">
        <v>347</v>
      </c>
      <c r="N126" s="92" t="s">
        <v>357</v>
      </c>
      <c r="O126" s="92" t="s">
        <v>392</v>
      </c>
      <c r="P126" s="5"/>
      <c r="Q126" s="197">
        <f>Q127+Q131+Q134+Q141+Q144+Q149</f>
        <v>38129.4</v>
      </c>
      <c r="R126" s="197">
        <f>R127+R131+R134+R141+R144</f>
        <v>0</v>
      </c>
      <c r="S126" s="197">
        <f>S127+S131+S134+S141+S144</f>
        <v>0</v>
      </c>
    </row>
    <row r="127" spans="1:19" ht="29.25" customHeight="1">
      <c r="A127" s="95"/>
      <c r="B127" s="94"/>
      <c r="C127" s="99"/>
      <c r="D127" s="97"/>
      <c r="E127" s="109"/>
      <c r="F127" s="109"/>
      <c r="G127" s="101"/>
      <c r="H127" s="10" t="s">
        <v>411</v>
      </c>
      <c r="I127" s="9">
        <v>27</v>
      </c>
      <c r="J127" s="15">
        <v>4</v>
      </c>
      <c r="K127" s="15">
        <v>9</v>
      </c>
      <c r="L127" s="91" t="s">
        <v>361</v>
      </c>
      <c r="M127" s="92" t="s">
        <v>347</v>
      </c>
      <c r="N127" s="92" t="s">
        <v>348</v>
      </c>
      <c r="O127" s="92" t="s">
        <v>392</v>
      </c>
      <c r="P127" s="5"/>
      <c r="Q127" s="197">
        <f>Q128</f>
        <v>17594.3</v>
      </c>
      <c r="R127" s="197">
        <f>R128</f>
        <v>0</v>
      </c>
      <c r="S127" s="197">
        <f>S128</f>
        <v>0</v>
      </c>
    </row>
    <row r="128" spans="1:19" ht="35.25" customHeight="1">
      <c r="A128" s="95"/>
      <c r="B128" s="94"/>
      <c r="C128" s="99"/>
      <c r="D128" s="97"/>
      <c r="E128" s="109"/>
      <c r="F128" s="109"/>
      <c r="G128" s="101"/>
      <c r="H128" s="10" t="s">
        <v>469</v>
      </c>
      <c r="I128" s="9">
        <v>27</v>
      </c>
      <c r="J128" s="15">
        <v>4</v>
      </c>
      <c r="K128" s="15">
        <v>9</v>
      </c>
      <c r="L128" s="91" t="s">
        <v>361</v>
      </c>
      <c r="M128" s="92" t="s">
        <v>347</v>
      </c>
      <c r="N128" s="92" t="s">
        <v>348</v>
      </c>
      <c r="O128" s="92" t="s">
        <v>107</v>
      </c>
      <c r="P128" s="5"/>
      <c r="Q128" s="197">
        <f>Q129+Q130</f>
        <v>17594.3</v>
      </c>
      <c r="R128" s="197">
        <f>R129+R130</f>
        <v>0</v>
      </c>
      <c r="S128" s="197">
        <f>S129+S130</f>
        <v>0</v>
      </c>
    </row>
    <row r="129" spans="1:19" ht="26.25" customHeight="1">
      <c r="A129" s="95"/>
      <c r="B129" s="94"/>
      <c r="C129" s="99"/>
      <c r="D129" s="97"/>
      <c r="E129" s="109"/>
      <c r="F129" s="109"/>
      <c r="G129" s="101"/>
      <c r="H129" s="29" t="s">
        <v>454</v>
      </c>
      <c r="I129" s="9">
        <v>27</v>
      </c>
      <c r="J129" s="15">
        <v>4</v>
      </c>
      <c r="K129" s="15">
        <v>9</v>
      </c>
      <c r="L129" s="91" t="s">
        <v>361</v>
      </c>
      <c r="M129" s="92" t="s">
        <v>347</v>
      </c>
      <c r="N129" s="92" t="s">
        <v>348</v>
      </c>
      <c r="O129" s="92" t="s">
        <v>107</v>
      </c>
      <c r="P129" s="5">
        <v>240</v>
      </c>
      <c r="Q129" s="197">
        <f>3250.7+4795.4-4795.4-2.6+54.5+116.4</f>
        <v>3419</v>
      </c>
      <c r="R129" s="197">
        <v>0</v>
      </c>
      <c r="S129" s="197">
        <v>0</v>
      </c>
    </row>
    <row r="130" spans="1:19" ht="26.25" customHeight="1">
      <c r="A130" s="95"/>
      <c r="B130" s="94"/>
      <c r="C130" s="99"/>
      <c r="D130" s="97"/>
      <c r="E130" s="109"/>
      <c r="F130" s="109"/>
      <c r="G130" s="101"/>
      <c r="H130" s="10" t="s">
        <v>397</v>
      </c>
      <c r="I130" s="9">
        <v>27</v>
      </c>
      <c r="J130" s="15">
        <v>4</v>
      </c>
      <c r="K130" s="15">
        <v>9</v>
      </c>
      <c r="L130" s="91" t="s">
        <v>361</v>
      </c>
      <c r="M130" s="92" t="s">
        <v>347</v>
      </c>
      <c r="N130" s="92" t="s">
        <v>348</v>
      </c>
      <c r="O130" s="92" t="s">
        <v>107</v>
      </c>
      <c r="P130" s="5">
        <v>540</v>
      </c>
      <c r="Q130" s="197">
        <f>15128.6-28.6-924.7</f>
        <v>14175.3</v>
      </c>
      <c r="R130" s="197">
        <v>0</v>
      </c>
      <c r="S130" s="197">
        <v>0</v>
      </c>
    </row>
    <row r="131" spans="1:19" ht="25.5" customHeight="1">
      <c r="A131" s="95"/>
      <c r="B131" s="94"/>
      <c r="C131" s="99"/>
      <c r="D131" s="97"/>
      <c r="E131" s="109"/>
      <c r="F131" s="109"/>
      <c r="G131" s="101"/>
      <c r="H131" s="10" t="s">
        <v>546</v>
      </c>
      <c r="I131" s="9">
        <v>27</v>
      </c>
      <c r="J131" s="15">
        <v>4</v>
      </c>
      <c r="K131" s="15">
        <v>9</v>
      </c>
      <c r="L131" s="91" t="s">
        <v>361</v>
      </c>
      <c r="M131" s="92" t="s">
        <v>347</v>
      </c>
      <c r="N131" s="92" t="s">
        <v>365</v>
      </c>
      <c r="O131" s="92" t="s">
        <v>392</v>
      </c>
      <c r="P131" s="5"/>
      <c r="Q131" s="197">
        <f aca="true" t="shared" si="12" ref="Q131:S132">Q132</f>
        <v>250</v>
      </c>
      <c r="R131" s="197">
        <f t="shared" si="12"/>
        <v>0</v>
      </c>
      <c r="S131" s="197">
        <f t="shared" si="12"/>
        <v>0</v>
      </c>
    </row>
    <row r="132" spans="1:19" ht="24.75" customHeight="1">
      <c r="A132" s="95"/>
      <c r="B132" s="94"/>
      <c r="C132" s="99"/>
      <c r="D132" s="97"/>
      <c r="E132" s="109"/>
      <c r="F132" s="109"/>
      <c r="G132" s="101">
        <v>611</v>
      </c>
      <c r="H132" s="10" t="s">
        <v>497</v>
      </c>
      <c r="I132" s="9">
        <v>27</v>
      </c>
      <c r="J132" s="15">
        <v>4</v>
      </c>
      <c r="K132" s="15">
        <v>9</v>
      </c>
      <c r="L132" s="91" t="s">
        <v>361</v>
      </c>
      <c r="M132" s="92" t="s">
        <v>347</v>
      </c>
      <c r="N132" s="92" t="s">
        <v>365</v>
      </c>
      <c r="O132" s="92" t="s">
        <v>496</v>
      </c>
      <c r="P132" s="5"/>
      <c r="Q132" s="197">
        <f t="shared" si="12"/>
        <v>250</v>
      </c>
      <c r="R132" s="197">
        <f t="shared" si="12"/>
        <v>0</v>
      </c>
      <c r="S132" s="197">
        <f t="shared" si="12"/>
        <v>0</v>
      </c>
    </row>
    <row r="133" spans="1:19" ht="27.75" customHeight="1">
      <c r="A133" s="95"/>
      <c r="B133" s="94"/>
      <c r="C133" s="99"/>
      <c r="D133" s="97"/>
      <c r="E133" s="100"/>
      <c r="F133" s="100"/>
      <c r="G133" s="101"/>
      <c r="H133" s="10" t="s">
        <v>397</v>
      </c>
      <c r="I133" s="5">
        <v>27</v>
      </c>
      <c r="J133" s="6">
        <v>4</v>
      </c>
      <c r="K133" s="15">
        <v>9</v>
      </c>
      <c r="L133" s="91" t="s">
        <v>361</v>
      </c>
      <c r="M133" s="92" t="s">
        <v>347</v>
      </c>
      <c r="N133" s="92" t="s">
        <v>365</v>
      </c>
      <c r="O133" s="92" t="s">
        <v>496</v>
      </c>
      <c r="P133" s="5">
        <v>540</v>
      </c>
      <c r="Q133" s="195">
        <v>250</v>
      </c>
      <c r="R133" s="195">
        <v>0</v>
      </c>
      <c r="S133" s="195">
        <v>0</v>
      </c>
    </row>
    <row r="134" spans="1:19" ht="24.75" customHeight="1">
      <c r="A134" s="95"/>
      <c r="B134" s="94"/>
      <c r="C134" s="99"/>
      <c r="D134" s="97"/>
      <c r="E134" s="100"/>
      <c r="F134" s="100"/>
      <c r="G134" s="101"/>
      <c r="H134" s="4" t="s">
        <v>555</v>
      </c>
      <c r="I134" s="12">
        <v>27</v>
      </c>
      <c r="J134" s="6">
        <v>4</v>
      </c>
      <c r="K134" s="15">
        <v>9</v>
      </c>
      <c r="L134" s="91" t="s">
        <v>361</v>
      </c>
      <c r="M134" s="92" t="s">
        <v>347</v>
      </c>
      <c r="N134" s="92" t="s">
        <v>366</v>
      </c>
      <c r="O134" s="92" t="s">
        <v>392</v>
      </c>
      <c r="P134" s="5"/>
      <c r="Q134" s="197">
        <f>Q135+Q138</f>
        <v>14658.6</v>
      </c>
      <c r="R134" s="197">
        <f>R135</f>
        <v>0</v>
      </c>
      <c r="S134" s="197">
        <f>S135</f>
        <v>0</v>
      </c>
    </row>
    <row r="135" spans="1:19" ht="24.75" customHeight="1">
      <c r="A135" s="95"/>
      <c r="B135" s="94"/>
      <c r="C135" s="99"/>
      <c r="D135" s="97"/>
      <c r="E135" s="100"/>
      <c r="F135" s="100"/>
      <c r="G135" s="101"/>
      <c r="H135" s="4" t="s">
        <v>497</v>
      </c>
      <c r="I135" s="12">
        <v>27</v>
      </c>
      <c r="J135" s="6">
        <v>4</v>
      </c>
      <c r="K135" s="15">
        <v>9</v>
      </c>
      <c r="L135" s="91" t="s">
        <v>361</v>
      </c>
      <c r="M135" s="92" t="s">
        <v>347</v>
      </c>
      <c r="N135" s="92" t="s">
        <v>366</v>
      </c>
      <c r="O135" s="92" t="s">
        <v>496</v>
      </c>
      <c r="P135" s="5"/>
      <c r="Q135" s="197">
        <f>Q136+Q137</f>
        <v>8493.2</v>
      </c>
      <c r="R135" s="197">
        <f>R136</f>
        <v>0</v>
      </c>
      <c r="S135" s="197">
        <f>S136</f>
        <v>0</v>
      </c>
    </row>
    <row r="136" spans="1:19" ht="24.75" customHeight="1">
      <c r="A136" s="95"/>
      <c r="B136" s="94"/>
      <c r="C136" s="99"/>
      <c r="D136" s="97"/>
      <c r="E136" s="100"/>
      <c r="F136" s="100"/>
      <c r="G136" s="101"/>
      <c r="H136" s="4" t="s">
        <v>454</v>
      </c>
      <c r="I136" s="12">
        <v>27</v>
      </c>
      <c r="J136" s="6">
        <v>4</v>
      </c>
      <c r="K136" s="15">
        <v>9</v>
      </c>
      <c r="L136" s="91" t="s">
        <v>361</v>
      </c>
      <c r="M136" s="92" t="s">
        <v>347</v>
      </c>
      <c r="N136" s="92" t="s">
        <v>366</v>
      </c>
      <c r="O136" s="92" t="s">
        <v>496</v>
      </c>
      <c r="P136" s="5">
        <v>240</v>
      </c>
      <c r="Q136" s="197">
        <f>7401.5-300+395.6+289+207.1</f>
        <v>7993.200000000001</v>
      </c>
      <c r="R136" s="197">
        <v>0</v>
      </c>
      <c r="S136" s="197">
        <v>0</v>
      </c>
    </row>
    <row r="137" spans="1:19" ht="24.75" customHeight="1">
      <c r="A137" s="95"/>
      <c r="B137" s="94"/>
      <c r="C137" s="99"/>
      <c r="D137" s="97"/>
      <c r="E137" s="100"/>
      <c r="F137" s="100"/>
      <c r="G137" s="101"/>
      <c r="H137" s="10" t="s">
        <v>397</v>
      </c>
      <c r="I137" s="5">
        <v>27</v>
      </c>
      <c r="J137" s="6">
        <v>4</v>
      </c>
      <c r="K137" s="15">
        <v>9</v>
      </c>
      <c r="L137" s="91" t="s">
        <v>361</v>
      </c>
      <c r="M137" s="92" t="s">
        <v>347</v>
      </c>
      <c r="N137" s="92" t="s">
        <v>366</v>
      </c>
      <c r="O137" s="92" t="s">
        <v>496</v>
      </c>
      <c r="P137" s="5">
        <v>540</v>
      </c>
      <c r="Q137" s="197">
        <v>500</v>
      </c>
      <c r="R137" s="197">
        <v>0</v>
      </c>
      <c r="S137" s="197">
        <v>0</v>
      </c>
    </row>
    <row r="138" spans="1:19" ht="30" customHeight="1">
      <c r="A138" s="95"/>
      <c r="B138" s="94"/>
      <c r="C138" s="99"/>
      <c r="D138" s="97"/>
      <c r="E138" s="100"/>
      <c r="F138" s="100"/>
      <c r="G138" s="101"/>
      <c r="H138" s="10" t="s">
        <v>469</v>
      </c>
      <c r="I138" s="5">
        <v>27</v>
      </c>
      <c r="J138" s="6">
        <v>4</v>
      </c>
      <c r="K138" s="15">
        <v>9</v>
      </c>
      <c r="L138" s="91" t="s">
        <v>361</v>
      </c>
      <c r="M138" s="92" t="s">
        <v>347</v>
      </c>
      <c r="N138" s="92" t="s">
        <v>366</v>
      </c>
      <c r="O138" s="92" t="s">
        <v>107</v>
      </c>
      <c r="P138" s="5"/>
      <c r="Q138" s="197">
        <f>Q139+Q140</f>
        <v>6165.4</v>
      </c>
      <c r="R138" s="197">
        <f>R139+R140</f>
        <v>0</v>
      </c>
      <c r="S138" s="197">
        <f>S139+S140</f>
        <v>0</v>
      </c>
    </row>
    <row r="139" spans="1:19" ht="24.75" customHeight="1">
      <c r="A139" s="95"/>
      <c r="B139" s="94"/>
      <c r="C139" s="99"/>
      <c r="D139" s="97"/>
      <c r="E139" s="100"/>
      <c r="F139" s="100"/>
      <c r="G139" s="101"/>
      <c r="H139" s="4" t="s">
        <v>454</v>
      </c>
      <c r="I139" s="12">
        <v>27</v>
      </c>
      <c r="J139" s="6">
        <v>4</v>
      </c>
      <c r="K139" s="15">
        <v>9</v>
      </c>
      <c r="L139" s="91" t="s">
        <v>361</v>
      </c>
      <c r="M139" s="92" t="s">
        <v>347</v>
      </c>
      <c r="N139" s="92" t="s">
        <v>366</v>
      </c>
      <c r="O139" s="92" t="s">
        <v>107</v>
      </c>
      <c r="P139" s="5">
        <v>240</v>
      </c>
      <c r="Q139" s="197">
        <v>808.3</v>
      </c>
      <c r="R139" s="197">
        <v>0</v>
      </c>
      <c r="S139" s="197">
        <v>0</v>
      </c>
    </row>
    <row r="140" spans="1:19" ht="24.75" customHeight="1">
      <c r="A140" s="95"/>
      <c r="B140" s="94"/>
      <c r="C140" s="99"/>
      <c r="D140" s="97"/>
      <c r="E140" s="100"/>
      <c r="F140" s="100"/>
      <c r="G140" s="101"/>
      <c r="H140" s="10" t="s">
        <v>397</v>
      </c>
      <c r="I140" s="5">
        <v>27</v>
      </c>
      <c r="J140" s="6">
        <v>4</v>
      </c>
      <c r="K140" s="15">
        <v>9</v>
      </c>
      <c r="L140" s="91" t="s">
        <v>361</v>
      </c>
      <c r="M140" s="92" t="s">
        <v>347</v>
      </c>
      <c r="N140" s="92" t="s">
        <v>366</v>
      </c>
      <c r="O140" s="92" t="s">
        <v>107</v>
      </c>
      <c r="P140" s="5">
        <v>540</v>
      </c>
      <c r="Q140" s="197">
        <f>4795.4+16.9+544.8</f>
        <v>5357.099999999999</v>
      </c>
      <c r="R140" s="197">
        <v>0</v>
      </c>
      <c r="S140" s="197">
        <v>0</v>
      </c>
    </row>
    <row r="141" spans="1:19" ht="33.75" customHeight="1">
      <c r="A141" s="95"/>
      <c r="B141" s="94"/>
      <c r="C141" s="99"/>
      <c r="D141" s="97"/>
      <c r="E141" s="100"/>
      <c r="F141" s="100"/>
      <c r="G141" s="101"/>
      <c r="H141" s="4" t="s">
        <v>882</v>
      </c>
      <c r="I141" s="12">
        <v>27</v>
      </c>
      <c r="J141" s="6">
        <v>4</v>
      </c>
      <c r="K141" s="15">
        <v>9</v>
      </c>
      <c r="L141" s="91" t="s">
        <v>361</v>
      </c>
      <c r="M141" s="92" t="s">
        <v>347</v>
      </c>
      <c r="N141" s="92" t="s">
        <v>350</v>
      </c>
      <c r="O141" s="92" t="s">
        <v>392</v>
      </c>
      <c r="P141" s="5"/>
      <c r="Q141" s="197">
        <f aca="true" t="shared" si="13" ref="Q141:S142">Q142</f>
        <v>1027.2</v>
      </c>
      <c r="R141" s="197">
        <f t="shared" si="13"/>
        <v>0</v>
      </c>
      <c r="S141" s="197">
        <f t="shared" si="13"/>
        <v>0</v>
      </c>
    </row>
    <row r="142" spans="1:19" ht="31.5" customHeight="1">
      <c r="A142" s="95"/>
      <c r="B142" s="94"/>
      <c r="C142" s="99"/>
      <c r="D142" s="97"/>
      <c r="E142" s="100"/>
      <c r="F142" s="100"/>
      <c r="G142" s="101"/>
      <c r="H142" s="4" t="s">
        <v>33</v>
      </c>
      <c r="I142" s="12">
        <v>27</v>
      </c>
      <c r="J142" s="6">
        <v>4</v>
      </c>
      <c r="K142" s="15">
        <v>9</v>
      </c>
      <c r="L142" s="91" t="s">
        <v>361</v>
      </c>
      <c r="M142" s="92" t="s">
        <v>347</v>
      </c>
      <c r="N142" s="92" t="s">
        <v>350</v>
      </c>
      <c r="O142" s="92" t="s">
        <v>32</v>
      </c>
      <c r="P142" s="5"/>
      <c r="Q142" s="197">
        <f t="shared" si="13"/>
        <v>1027.2</v>
      </c>
      <c r="R142" s="197">
        <f t="shared" si="13"/>
        <v>0</v>
      </c>
      <c r="S142" s="197">
        <f t="shared" si="13"/>
        <v>0</v>
      </c>
    </row>
    <row r="143" spans="1:19" ht="22.5" customHeight="1">
      <c r="A143" s="95"/>
      <c r="B143" s="94"/>
      <c r="C143" s="99"/>
      <c r="D143" s="97"/>
      <c r="E143" s="100"/>
      <c r="F143" s="100"/>
      <c r="G143" s="101"/>
      <c r="H143" s="4" t="s">
        <v>397</v>
      </c>
      <c r="I143" s="12">
        <v>27</v>
      </c>
      <c r="J143" s="6">
        <v>4</v>
      </c>
      <c r="K143" s="15">
        <v>9</v>
      </c>
      <c r="L143" s="91" t="s">
        <v>361</v>
      </c>
      <c r="M143" s="92" t="s">
        <v>347</v>
      </c>
      <c r="N143" s="92" t="s">
        <v>350</v>
      </c>
      <c r="O143" s="92" t="s">
        <v>32</v>
      </c>
      <c r="P143" s="5">
        <v>540</v>
      </c>
      <c r="Q143" s="197">
        <f>1033.5+200-206.3</f>
        <v>1027.2</v>
      </c>
      <c r="R143" s="197">
        <v>0</v>
      </c>
      <c r="S143" s="197">
        <v>0</v>
      </c>
    </row>
    <row r="144" spans="1:19" ht="33.75" customHeight="1">
      <c r="A144" s="95"/>
      <c r="B144" s="94"/>
      <c r="C144" s="99"/>
      <c r="D144" s="97"/>
      <c r="E144" s="100"/>
      <c r="F144" s="100"/>
      <c r="G144" s="101"/>
      <c r="H144" s="4" t="s">
        <v>514</v>
      </c>
      <c r="I144" s="12">
        <v>27</v>
      </c>
      <c r="J144" s="6">
        <v>4</v>
      </c>
      <c r="K144" s="15">
        <v>9</v>
      </c>
      <c r="L144" s="91" t="s">
        <v>361</v>
      </c>
      <c r="M144" s="92" t="s">
        <v>347</v>
      </c>
      <c r="N144" s="92" t="s">
        <v>368</v>
      </c>
      <c r="O144" s="92" t="s">
        <v>392</v>
      </c>
      <c r="P144" s="5"/>
      <c r="Q144" s="197">
        <f>Q145+Q147</f>
        <v>2688.2999999999997</v>
      </c>
      <c r="R144" s="197">
        <f aca="true" t="shared" si="14" ref="Q144:S145">R145</f>
        <v>0</v>
      </c>
      <c r="S144" s="197">
        <f t="shared" si="14"/>
        <v>0</v>
      </c>
    </row>
    <row r="145" spans="1:19" ht="32.25" customHeight="1">
      <c r="A145" s="95"/>
      <c r="B145" s="94"/>
      <c r="C145" s="99"/>
      <c r="D145" s="97"/>
      <c r="E145" s="100"/>
      <c r="F145" s="100"/>
      <c r="G145" s="101"/>
      <c r="H145" s="4" t="s">
        <v>513</v>
      </c>
      <c r="I145" s="12">
        <v>27</v>
      </c>
      <c r="J145" s="6">
        <v>4</v>
      </c>
      <c r="K145" s="15">
        <v>9</v>
      </c>
      <c r="L145" s="91" t="s">
        <v>361</v>
      </c>
      <c r="M145" s="92" t="s">
        <v>347</v>
      </c>
      <c r="N145" s="92" t="s">
        <v>368</v>
      </c>
      <c r="O145" s="92" t="s">
        <v>15</v>
      </c>
      <c r="P145" s="5"/>
      <c r="Q145" s="197">
        <f t="shared" si="14"/>
        <v>2237.7</v>
      </c>
      <c r="R145" s="197">
        <f t="shared" si="14"/>
        <v>0</v>
      </c>
      <c r="S145" s="197">
        <f t="shared" si="14"/>
        <v>0</v>
      </c>
    </row>
    <row r="146" spans="1:19" ht="24.75" customHeight="1">
      <c r="A146" s="95"/>
      <c r="B146" s="94"/>
      <c r="C146" s="99"/>
      <c r="D146" s="97"/>
      <c r="E146" s="100"/>
      <c r="F146" s="100"/>
      <c r="G146" s="101"/>
      <c r="H146" s="4" t="s">
        <v>512</v>
      </c>
      <c r="I146" s="12">
        <v>27</v>
      </c>
      <c r="J146" s="6">
        <v>4</v>
      </c>
      <c r="K146" s="15">
        <v>9</v>
      </c>
      <c r="L146" s="91" t="s">
        <v>361</v>
      </c>
      <c r="M146" s="92" t="s">
        <v>347</v>
      </c>
      <c r="N146" s="92" t="s">
        <v>368</v>
      </c>
      <c r="O146" s="92" t="s">
        <v>15</v>
      </c>
      <c r="P146" s="5">
        <v>540</v>
      </c>
      <c r="Q146" s="197">
        <f>1687.7+400+100+11.7+38.3</f>
        <v>2237.7</v>
      </c>
      <c r="R146" s="197">
        <v>0</v>
      </c>
      <c r="S146" s="197">
        <v>0</v>
      </c>
    </row>
    <row r="147" spans="1:19" ht="29.25" customHeight="1">
      <c r="A147" s="95"/>
      <c r="B147" s="94"/>
      <c r="C147" s="99"/>
      <c r="D147" s="97"/>
      <c r="E147" s="100"/>
      <c r="F147" s="100"/>
      <c r="G147" s="101"/>
      <c r="H147" s="10" t="s">
        <v>469</v>
      </c>
      <c r="I147" s="5">
        <v>27</v>
      </c>
      <c r="J147" s="15">
        <v>4</v>
      </c>
      <c r="K147" s="15">
        <v>9</v>
      </c>
      <c r="L147" s="91" t="s">
        <v>361</v>
      </c>
      <c r="M147" s="92" t="s">
        <v>347</v>
      </c>
      <c r="N147" s="92" t="s">
        <v>368</v>
      </c>
      <c r="O147" s="92" t="s">
        <v>107</v>
      </c>
      <c r="P147" s="5"/>
      <c r="Q147" s="197">
        <f>Q148</f>
        <v>450.6</v>
      </c>
      <c r="R147" s="197">
        <v>0</v>
      </c>
      <c r="S147" s="197">
        <v>0</v>
      </c>
    </row>
    <row r="148" spans="1:19" ht="24.75" customHeight="1">
      <c r="A148" s="95"/>
      <c r="B148" s="94"/>
      <c r="C148" s="99"/>
      <c r="D148" s="97"/>
      <c r="E148" s="100"/>
      <c r="F148" s="100"/>
      <c r="G148" s="101"/>
      <c r="H148" s="4" t="s">
        <v>512</v>
      </c>
      <c r="I148" s="12">
        <v>27</v>
      </c>
      <c r="J148" s="15">
        <v>4</v>
      </c>
      <c r="K148" s="15">
        <v>9</v>
      </c>
      <c r="L148" s="91" t="s">
        <v>361</v>
      </c>
      <c r="M148" s="92" t="s">
        <v>347</v>
      </c>
      <c r="N148" s="92" t="s">
        <v>368</v>
      </c>
      <c r="O148" s="92" t="s">
        <v>107</v>
      </c>
      <c r="P148" s="5">
        <v>540</v>
      </c>
      <c r="Q148" s="197">
        <f>437.1+13.5</f>
        <v>450.6</v>
      </c>
      <c r="R148" s="197">
        <v>0</v>
      </c>
      <c r="S148" s="197">
        <v>0</v>
      </c>
    </row>
    <row r="149" spans="1:19" ht="24.75" customHeight="1">
      <c r="A149" s="95"/>
      <c r="B149" s="94"/>
      <c r="C149" s="99"/>
      <c r="D149" s="97"/>
      <c r="E149" s="100"/>
      <c r="F149" s="100"/>
      <c r="G149" s="101"/>
      <c r="H149" s="4" t="s">
        <v>825</v>
      </c>
      <c r="I149" s="12">
        <v>27</v>
      </c>
      <c r="J149" s="15">
        <v>4</v>
      </c>
      <c r="K149" s="15">
        <v>9</v>
      </c>
      <c r="L149" s="91" t="s">
        <v>361</v>
      </c>
      <c r="M149" s="92" t="s">
        <v>347</v>
      </c>
      <c r="N149" s="92" t="s">
        <v>352</v>
      </c>
      <c r="O149" s="92" t="s">
        <v>392</v>
      </c>
      <c r="P149" s="5"/>
      <c r="Q149" s="197">
        <f aca="true" t="shared" si="15" ref="Q149:S150">Q150</f>
        <v>1911</v>
      </c>
      <c r="R149" s="197">
        <f t="shared" si="15"/>
        <v>0</v>
      </c>
      <c r="S149" s="197">
        <f t="shared" si="15"/>
        <v>0</v>
      </c>
    </row>
    <row r="150" spans="1:19" ht="24.75" customHeight="1">
      <c r="A150" s="95"/>
      <c r="B150" s="94"/>
      <c r="C150" s="99"/>
      <c r="D150" s="97"/>
      <c r="E150" s="100"/>
      <c r="F150" s="100"/>
      <c r="G150" s="101"/>
      <c r="H150" s="4" t="s">
        <v>497</v>
      </c>
      <c r="I150" s="12">
        <v>27</v>
      </c>
      <c r="J150" s="15">
        <v>4</v>
      </c>
      <c r="K150" s="15">
        <v>9</v>
      </c>
      <c r="L150" s="91" t="s">
        <v>361</v>
      </c>
      <c r="M150" s="92" t="s">
        <v>347</v>
      </c>
      <c r="N150" s="92" t="s">
        <v>352</v>
      </c>
      <c r="O150" s="92" t="s">
        <v>496</v>
      </c>
      <c r="P150" s="5"/>
      <c r="Q150" s="197">
        <f>Q151+Q152</f>
        <v>1911</v>
      </c>
      <c r="R150" s="197">
        <f t="shared" si="15"/>
        <v>0</v>
      </c>
      <c r="S150" s="197">
        <f t="shared" si="15"/>
        <v>0</v>
      </c>
    </row>
    <row r="151" spans="1:19" ht="24.75" customHeight="1">
      <c r="A151" s="95"/>
      <c r="B151" s="94"/>
      <c r="C151" s="99"/>
      <c r="D151" s="97"/>
      <c r="E151" s="100"/>
      <c r="F151" s="100"/>
      <c r="G151" s="101"/>
      <c r="H151" s="4" t="s">
        <v>454</v>
      </c>
      <c r="I151" s="12">
        <v>27</v>
      </c>
      <c r="J151" s="15">
        <v>4</v>
      </c>
      <c r="K151" s="15">
        <v>9</v>
      </c>
      <c r="L151" s="91" t="s">
        <v>361</v>
      </c>
      <c r="M151" s="92" t="s">
        <v>347</v>
      </c>
      <c r="N151" s="92" t="s">
        <v>352</v>
      </c>
      <c r="O151" s="92" t="s">
        <v>496</v>
      </c>
      <c r="P151" s="5">
        <v>240</v>
      </c>
      <c r="Q151" s="197">
        <f>300+900-289</f>
        <v>911</v>
      </c>
      <c r="R151" s="197">
        <v>0</v>
      </c>
      <c r="S151" s="197">
        <v>0</v>
      </c>
    </row>
    <row r="152" spans="1:19" ht="24.75" customHeight="1">
      <c r="A152" s="95"/>
      <c r="B152" s="94"/>
      <c r="C152" s="99"/>
      <c r="D152" s="97"/>
      <c r="E152" s="100"/>
      <c r="F152" s="100"/>
      <c r="G152" s="101"/>
      <c r="H152" s="4" t="s">
        <v>512</v>
      </c>
      <c r="I152" s="12">
        <v>27</v>
      </c>
      <c r="J152" s="15">
        <v>4</v>
      </c>
      <c r="K152" s="15">
        <v>9</v>
      </c>
      <c r="L152" s="91" t="s">
        <v>361</v>
      </c>
      <c r="M152" s="92" t="s">
        <v>347</v>
      </c>
      <c r="N152" s="92" t="s">
        <v>352</v>
      </c>
      <c r="O152" s="92" t="s">
        <v>496</v>
      </c>
      <c r="P152" s="5">
        <v>540</v>
      </c>
      <c r="Q152" s="197">
        <v>1000</v>
      </c>
      <c r="R152" s="197">
        <v>0</v>
      </c>
      <c r="S152" s="197">
        <v>0</v>
      </c>
    </row>
    <row r="153" spans="1:19" ht="35.25" customHeight="1">
      <c r="A153" s="95"/>
      <c r="B153" s="94"/>
      <c r="C153" s="99"/>
      <c r="D153" s="97"/>
      <c r="E153" s="109"/>
      <c r="F153" s="109"/>
      <c r="G153" s="101">
        <v>530</v>
      </c>
      <c r="H153" s="4" t="s">
        <v>522</v>
      </c>
      <c r="I153" s="9">
        <v>27</v>
      </c>
      <c r="J153" s="15">
        <v>4</v>
      </c>
      <c r="K153" s="15">
        <v>9</v>
      </c>
      <c r="L153" s="91" t="s">
        <v>521</v>
      </c>
      <c r="M153" s="92" t="s">
        <v>347</v>
      </c>
      <c r="N153" s="92" t="s">
        <v>357</v>
      </c>
      <c r="O153" s="92" t="s">
        <v>392</v>
      </c>
      <c r="P153" s="5"/>
      <c r="Q153" s="197">
        <f>Q154</f>
        <v>0</v>
      </c>
      <c r="R153" s="197">
        <f>R154+R157+R160</f>
        <v>14674.4</v>
      </c>
      <c r="S153" s="197">
        <f>S154+S157+S160</f>
        <v>15332.4</v>
      </c>
    </row>
    <row r="154" spans="1:19" ht="29.25" customHeight="1">
      <c r="A154" s="95"/>
      <c r="B154" s="94"/>
      <c r="C154" s="99"/>
      <c r="D154" s="97"/>
      <c r="E154" s="109"/>
      <c r="F154" s="109"/>
      <c r="G154" s="101"/>
      <c r="H154" s="10" t="s">
        <v>411</v>
      </c>
      <c r="I154" s="9">
        <v>27</v>
      </c>
      <c r="J154" s="15">
        <v>4</v>
      </c>
      <c r="K154" s="15">
        <v>9</v>
      </c>
      <c r="L154" s="91" t="s">
        <v>521</v>
      </c>
      <c r="M154" s="92" t="s">
        <v>347</v>
      </c>
      <c r="N154" s="92" t="s">
        <v>348</v>
      </c>
      <c r="O154" s="92" t="s">
        <v>392</v>
      </c>
      <c r="P154" s="5"/>
      <c r="Q154" s="197">
        <f>Q155</f>
        <v>0</v>
      </c>
      <c r="R154" s="197">
        <f>R155</f>
        <v>3241.5</v>
      </c>
      <c r="S154" s="197">
        <f>S155</f>
        <v>3241.5</v>
      </c>
    </row>
    <row r="155" spans="1:19" ht="35.25" customHeight="1">
      <c r="A155" s="95"/>
      <c r="B155" s="94"/>
      <c r="C155" s="99"/>
      <c r="D155" s="97"/>
      <c r="E155" s="109"/>
      <c r="F155" s="109"/>
      <c r="G155" s="101"/>
      <c r="H155" s="10" t="s">
        <v>469</v>
      </c>
      <c r="I155" s="9">
        <v>27</v>
      </c>
      <c r="J155" s="15">
        <v>4</v>
      </c>
      <c r="K155" s="15">
        <v>9</v>
      </c>
      <c r="L155" s="91" t="s">
        <v>521</v>
      </c>
      <c r="M155" s="92" t="s">
        <v>347</v>
      </c>
      <c r="N155" s="92" t="s">
        <v>348</v>
      </c>
      <c r="O155" s="92" t="s">
        <v>107</v>
      </c>
      <c r="P155" s="5"/>
      <c r="Q155" s="197">
        <f>Q156</f>
        <v>0</v>
      </c>
      <c r="R155" s="197">
        <f>R156</f>
        <v>3241.5</v>
      </c>
      <c r="S155" s="197">
        <f>S156</f>
        <v>3241.5</v>
      </c>
    </row>
    <row r="156" spans="1:19" ht="26.25" customHeight="1">
      <c r="A156" s="95"/>
      <c r="B156" s="94"/>
      <c r="C156" s="99"/>
      <c r="D156" s="97"/>
      <c r="E156" s="109"/>
      <c r="F156" s="109"/>
      <c r="G156" s="101"/>
      <c r="H156" s="29" t="s">
        <v>454</v>
      </c>
      <c r="I156" s="9">
        <v>27</v>
      </c>
      <c r="J156" s="15">
        <v>4</v>
      </c>
      <c r="K156" s="15">
        <v>9</v>
      </c>
      <c r="L156" s="91" t="s">
        <v>521</v>
      </c>
      <c r="M156" s="92" t="s">
        <v>347</v>
      </c>
      <c r="N156" s="92" t="s">
        <v>348</v>
      </c>
      <c r="O156" s="92" t="s">
        <v>107</v>
      </c>
      <c r="P156" s="5">
        <v>240</v>
      </c>
      <c r="Q156" s="197">
        <v>0</v>
      </c>
      <c r="R156" s="197">
        <v>3241.5</v>
      </c>
      <c r="S156" s="197">
        <v>3241.5</v>
      </c>
    </row>
    <row r="157" spans="1:19" ht="25.5" customHeight="1">
      <c r="A157" s="95"/>
      <c r="B157" s="94"/>
      <c r="C157" s="99"/>
      <c r="D157" s="97"/>
      <c r="E157" s="109"/>
      <c r="F157" s="109"/>
      <c r="G157" s="101"/>
      <c r="H157" s="10" t="s">
        <v>525</v>
      </c>
      <c r="I157" s="9">
        <v>27</v>
      </c>
      <c r="J157" s="15">
        <v>4</v>
      </c>
      <c r="K157" s="15">
        <v>9</v>
      </c>
      <c r="L157" s="91" t="s">
        <v>521</v>
      </c>
      <c r="M157" s="92" t="s">
        <v>347</v>
      </c>
      <c r="N157" s="92" t="s">
        <v>365</v>
      </c>
      <c r="O157" s="92" t="s">
        <v>392</v>
      </c>
      <c r="P157" s="5"/>
      <c r="Q157" s="197">
        <f aca="true" t="shared" si="16" ref="Q157:S158">Q158</f>
        <v>0</v>
      </c>
      <c r="R157" s="197">
        <f t="shared" si="16"/>
        <v>10401.8</v>
      </c>
      <c r="S157" s="197">
        <f t="shared" si="16"/>
        <v>11059.8</v>
      </c>
    </row>
    <row r="158" spans="1:19" ht="33" customHeight="1">
      <c r="A158" s="95"/>
      <c r="B158" s="94"/>
      <c r="C158" s="99"/>
      <c r="D158" s="97"/>
      <c r="E158" s="109"/>
      <c r="F158" s="109"/>
      <c r="G158" s="101">
        <v>611</v>
      </c>
      <c r="H158" s="10" t="s">
        <v>469</v>
      </c>
      <c r="I158" s="9">
        <v>27</v>
      </c>
      <c r="J158" s="15">
        <v>4</v>
      </c>
      <c r="K158" s="15">
        <v>9</v>
      </c>
      <c r="L158" s="91" t="s">
        <v>521</v>
      </c>
      <c r="M158" s="92" t="s">
        <v>347</v>
      </c>
      <c r="N158" s="92" t="s">
        <v>365</v>
      </c>
      <c r="O158" s="92" t="s">
        <v>107</v>
      </c>
      <c r="P158" s="5"/>
      <c r="Q158" s="197">
        <f t="shared" si="16"/>
        <v>0</v>
      </c>
      <c r="R158" s="197">
        <f t="shared" si="16"/>
        <v>10401.8</v>
      </c>
      <c r="S158" s="197">
        <f t="shared" si="16"/>
        <v>11059.8</v>
      </c>
    </row>
    <row r="159" spans="1:19" ht="27.75" customHeight="1">
      <c r="A159" s="95"/>
      <c r="B159" s="94"/>
      <c r="C159" s="99"/>
      <c r="D159" s="97"/>
      <c r="E159" s="100"/>
      <c r="F159" s="100"/>
      <c r="G159" s="101"/>
      <c r="H159" s="29" t="s">
        <v>454</v>
      </c>
      <c r="I159" s="5">
        <v>27</v>
      </c>
      <c r="J159" s="6">
        <v>4</v>
      </c>
      <c r="K159" s="15">
        <v>9</v>
      </c>
      <c r="L159" s="91" t="s">
        <v>521</v>
      </c>
      <c r="M159" s="92" t="s">
        <v>347</v>
      </c>
      <c r="N159" s="92" t="s">
        <v>365</v>
      </c>
      <c r="O159" s="92" t="s">
        <v>107</v>
      </c>
      <c r="P159" s="5">
        <v>240</v>
      </c>
      <c r="Q159" s="195">
        <v>0</v>
      </c>
      <c r="R159" s="195">
        <v>10401.8</v>
      </c>
      <c r="S159" s="195">
        <v>11059.8</v>
      </c>
    </row>
    <row r="160" spans="1:19" ht="24.75" customHeight="1">
      <c r="A160" s="95"/>
      <c r="B160" s="94"/>
      <c r="C160" s="99"/>
      <c r="D160" s="97"/>
      <c r="E160" s="100"/>
      <c r="F160" s="100"/>
      <c r="G160" s="101"/>
      <c r="H160" s="4" t="s">
        <v>555</v>
      </c>
      <c r="I160" s="12">
        <v>27</v>
      </c>
      <c r="J160" s="6">
        <v>4</v>
      </c>
      <c r="K160" s="15">
        <v>9</v>
      </c>
      <c r="L160" s="91" t="s">
        <v>521</v>
      </c>
      <c r="M160" s="92" t="s">
        <v>347</v>
      </c>
      <c r="N160" s="92" t="s">
        <v>366</v>
      </c>
      <c r="O160" s="92" t="s">
        <v>392</v>
      </c>
      <c r="P160" s="5"/>
      <c r="Q160" s="197">
        <f aca="true" t="shared" si="17" ref="Q160:S161">Q161</f>
        <v>0</v>
      </c>
      <c r="R160" s="197">
        <f t="shared" si="17"/>
        <v>1031.1</v>
      </c>
      <c r="S160" s="197">
        <f t="shared" si="17"/>
        <v>1031.1</v>
      </c>
    </row>
    <row r="161" spans="1:19" ht="39" customHeight="1">
      <c r="A161" s="95"/>
      <c r="B161" s="94"/>
      <c r="C161" s="99"/>
      <c r="D161" s="97"/>
      <c r="E161" s="100"/>
      <c r="F161" s="100"/>
      <c r="G161" s="101"/>
      <c r="H161" s="4" t="s">
        <v>33</v>
      </c>
      <c r="I161" s="12">
        <v>27</v>
      </c>
      <c r="J161" s="6">
        <v>4</v>
      </c>
      <c r="K161" s="15">
        <v>9</v>
      </c>
      <c r="L161" s="91" t="s">
        <v>521</v>
      </c>
      <c r="M161" s="92" t="s">
        <v>347</v>
      </c>
      <c r="N161" s="92" t="s">
        <v>366</v>
      </c>
      <c r="O161" s="92" t="s">
        <v>32</v>
      </c>
      <c r="P161" s="5"/>
      <c r="Q161" s="197">
        <f t="shared" si="17"/>
        <v>0</v>
      </c>
      <c r="R161" s="197">
        <f t="shared" si="17"/>
        <v>1031.1</v>
      </c>
      <c r="S161" s="197">
        <f t="shared" si="17"/>
        <v>1031.1</v>
      </c>
    </row>
    <row r="162" spans="1:19" ht="24.75" customHeight="1">
      <c r="A162" s="95"/>
      <c r="B162" s="94"/>
      <c r="C162" s="99"/>
      <c r="D162" s="97"/>
      <c r="E162" s="100"/>
      <c r="F162" s="100"/>
      <c r="G162" s="101"/>
      <c r="H162" s="4" t="s">
        <v>454</v>
      </c>
      <c r="I162" s="12">
        <v>27</v>
      </c>
      <c r="J162" s="6">
        <v>4</v>
      </c>
      <c r="K162" s="15">
        <v>9</v>
      </c>
      <c r="L162" s="91" t="s">
        <v>521</v>
      </c>
      <c r="M162" s="92" t="s">
        <v>347</v>
      </c>
      <c r="N162" s="92" t="s">
        <v>366</v>
      </c>
      <c r="O162" s="92" t="s">
        <v>32</v>
      </c>
      <c r="P162" s="5">
        <v>240</v>
      </c>
      <c r="Q162" s="197">
        <v>0</v>
      </c>
      <c r="R162" s="197">
        <v>1031.1</v>
      </c>
      <c r="S162" s="197">
        <v>1031.1</v>
      </c>
    </row>
    <row r="163" spans="1:19" ht="24.75" customHeight="1">
      <c r="A163" s="95"/>
      <c r="B163" s="94"/>
      <c r="C163" s="99"/>
      <c r="D163" s="97"/>
      <c r="E163" s="100"/>
      <c r="F163" s="100"/>
      <c r="G163" s="101"/>
      <c r="H163" s="4" t="s">
        <v>111</v>
      </c>
      <c r="I163" s="12">
        <v>27</v>
      </c>
      <c r="J163" s="6">
        <v>4</v>
      </c>
      <c r="K163" s="15">
        <v>9</v>
      </c>
      <c r="L163" s="91" t="s">
        <v>101</v>
      </c>
      <c r="M163" s="92" t="s">
        <v>359</v>
      </c>
      <c r="N163" s="92" t="s">
        <v>357</v>
      </c>
      <c r="O163" s="92" t="s">
        <v>392</v>
      </c>
      <c r="P163" s="5"/>
      <c r="Q163" s="197">
        <f>Q164</f>
        <v>576</v>
      </c>
      <c r="R163" s="197">
        <f>R164</f>
        <v>0</v>
      </c>
      <c r="S163" s="197">
        <f>S164</f>
        <v>0</v>
      </c>
    </row>
    <row r="164" spans="1:19" ht="24.75" customHeight="1">
      <c r="A164" s="95"/>
      <c r="B164" s="94"/>
      <c r="C164" s="99"/>
      <c r="D164" s="97"/>
      <c r="E164" s="100"/>
      <c r="F164" s="100"/>
      <c r="G164" s="101"/>
      <c r="H164" s="4" t="s">
        <v>454</v>
      </c>
      <c r="I164" s="12">
        <v>27</v>
      </c>
      <c r="J164" s="6">
        <v>4</v>
      </c>
      <c r="K164" s="15">
        <v>9</v>
      </c>
      <c r="L164" s="91" t="s">
        <v>101</v>
      </c>
      <c r="M164" s="92" t="s">
        <v>359</v>
      </c>
      <c r="N164" s="92" t="s">
        <v>357</v>
      </c>
      <c r="O164" s="92" t="s">
        <v>392</v>
      </c>
      <c r="P164" s="5">
        <v>240</v>
      </c>
      <c r="Q164" s="197">
        <f>226.2+349.8</f>
        <v>576</v>
      </c>
      <c r="R164" s="197">
        <v>0</v>
      </c>
      <c r="S164" s="197">
        <v>0</v>
      </c>
    </row>
    <row r="165" spans="1:19" s="171" customFormat="1" ht="24.75" customHeight="1">
      <c r="A165" s="135"/>
      <c r="B165" s="136"/>
      <c r="C165" s="146"/>
      <c r="D165" s="143"/>
      <c r="E165" s="138"/>
      <c r="F165" s="138"/>
      <c r="G165" s="148">
        <v>850</v>
      </c>
      <c r="H165" s="142" t="s">
        <v>332</v>
      </c>
      <c r="I165" s="145">
        <v>27</v>
      </c>
      <c r="J165" s="149">
        <v>4</v>
      </c>
      <c r="K165" s="132">
        <v>12</v>
      </c>
      <c r="L165" s="133"/>
      <c r="M165" s="134"/>
      <c r="N165" s="134"/>
      <c r="O165" s="134"/>
      <c r="P165" s="139"/>
      <c r="Q165" s="198">
        <f>Q166+Q189</f>
        <v>9728.900000000001</v>
      </c>
      <c r="R165" s="198">
        <f>R166+R189</f>
        <v>7150.300000000001</v>
      </c>
      <c r="S165" s="198">
        <f>S166+S189</f>
        <v>7150.300000000001</v>
      </c>
    </row>
    <row r="166" spans="1:19" ht="40.5" customHeight="1">
      <c r="A166" s="95"/>
      <c r="B166" s="94"/>
      <c r="C166" s="93"/>
      <c r="D166" s="97"/>
      <c r="E166" s="111"/>
      <c r="F166" s="111"/>
      <c r="G166" s="85"/>
      <c r="H166" s="188" t="s">
        <v>139</v>
      </c>
      <c r="I166" s="5">
        <v>27</v>
      </c>
      <c r="J166" s="18">
        <v>4</v>
      </c>
      <c r="K166" s="15">
        <v>12</v>
      </c>
      <c r="L166" s="91" t="s">
        <v>448</v>
      </c>
      <c r="M166" s="92" t="s">
        <v>347</v>
      </c>
      <c r="N166" s="92" t="s">
        <v>357</v>
      </c>
      <c r="O166" s="92" t="s">
        <v>392</v>
      </c>
      <c r="P166" s="5"/>
      <c r="Q166" s="197">
        <f>Q167+Q181+Q186+Q170+Q174+Q178</f>
        <v>9209.2</v>
      </c>
      <c r="R166" s="197">
        <f>R167+R181+R186+R170+R174+R178</f>
        <v>6656.700000000001</v>
      </c>
      <c r="S166" s="197">
        <f>S167+S181+S186+S170+S174+S178</f>
        <v>6656.700000000001</v>
      </c>
    </row>
    <row r="167" spans="1:19" ht="36" customHeight="1">
      <c r="A167" s="95"/>
      <c r="B167" s="94"/>
      <c r="C167" s="93"/>
      <c r="D167" s="97"/>
      <c r="E167" s="111"/>
      <c r="F167" s="111"/>
      <c r="G167" s="85"/>
      <c r="H167" s="104" t="s">
        <v>106</v>
      </c>
      <c r="I167" s="5">
        <v>27</v>
      </c>
      <c r="J167" s="18">
        <v>4</v>
      </c>
      <c r="K167" s="15">
        <v>12</v>
      </c>
      <c r="L167" s="91" t="s">
        <v>448</v>
      </c>
      <c r="M167" s="92" t="s">
        <v>347</v>
      </c>
      <c r="N167" s="92" t="s">
        <v>348</v>
      </c>
      <c r="O167" s="92" t="s">
        <v>392</v>
      </c>
      <c r="P167" s="5"/>
      <c r="Q167" s="197">
        <f aca="true" t="shared" si="18" ref="Q167:S168">Q168</f>
        <v>240</v>
      </c>
      <c r="R167" s="197">
        <f t="shared" si="18"/>
        <v>200</v>
      </c>
      <c r="S167" s="197">
        <f t="shared" si="18"/>
        <v>200</v>
      </c>
    </row>
    <row r="168" spans="1:19" ht="21.75" customHeight="1">
      <c r="A168" s="95"/>
      <c r="B168" s="94"/>
      <c r="C168" s="93"/>
      <c r="D168" s="97"/>
      <c r="E168" s="111"/>
      <c r="F168" s="111"/>
      <c r="G168" s="85"/>
      <c r="H168" s="104" t="s">
        <v>22</v>
      </c>
      <c r="I168" s="5">
        <v>27</v>
      </c>
      <c r="J168" s="18">
        <v>4</v>
      </c>
      <c r="K168" s="15">
        <v>12</v>
      </c>
      <c r="L168" s="91" t="s">
        <v>448</v>
      </c>
      <c r="M168" s="92" t="s">
        <v>347</v>
      </c>
      <c r="N168" s="92" t="s">
        <v>348</v>
      </c>
      <c r="O168" s="92" t="s">
        <v>23</v>
      </c>
      <c r="P168" s="5"/>
      <c r="Q168" s="197">
        <f t="shared" si="18"/>
        <v>240</v>
      </c>
      <c r="R168" s="197">
        <f t="shared" si="18"/>
        <v>200</v>
      </c>
      <c r="S168" s="197">
        <f t="shared" si="18"/>
        <v>200</v>
      </c>
    </row>
    <row r="169" spans="1:19" ht="24" customHeight="1">
      <c r="A169" s="95"/>
      <c r="B169" s="94"/>
      <c r="C169" s="93"/>
      <c r="D169" s="97"/>
      <c r="E169" s="111"/>
      <c r="F169" s="111"/>
      <c r="G169" s="85"/>
      <c r="H169" s="104" t="s">
        <v>456</v>
      </c>
      <c r="I169" s="5">
        <v>27</v>
      </c>
      <c r="J169" s="18">
        <v>4</v>
      </c>
      <c r="K169" s="15">
        <v>12</v>
      </c>
      <c r="L169" s="91" t="s">
        <v>448</v>
      </c>
      <c r="M169" s="92" t="s">
        <v>347</v>
      </c>
      <c r="N169" s="92" t="s">
        <v>348</v>
      </c>
      <c r="O169" s="92" t="s">
        <v>23</v>
      </c>
      <c r="P169" s="5">
        <v>610</v>
      </c>
      <c r="Q169" s="197">
        <f>200+40</f>
        <v>240</v>
      </c>
      <c r="R169" s="197">
        <v>200</v>
      </c>
      <c r="S169" s="197">
        <v>200</v>
      </c>
    </row>
    <row r="170" spans="1:19" ht="24" customHeight="1">
      <c r="A170" s="95"/>
      <c r="B170" s="94"/>
      <c r="C170" s="93"/>
      <c r="D170" s="97"/>
      <c r="E170" s="111"/>
      <c r="F170" s="111"/>
      <c r="G170" s="85"/>
      <c r="H170" s="104" t="s">
        <v>742</v>
      </c>
      <c r="I170" s="7">
        <v>27</v>
      </c>
      <c r="J170" s="18">
        <v>4</v>
      </c>
      <c r="K170" s="15">
        <v>12</v>
      </c>
      <c r="L170" s="91" t="s">
        <v>448</v>
      </c>
      <c r="M170" s="92" t="s">
        <v>347</v>
      </c>
      <c r="N170" s="92" t="s">
        <v>365</v>
      </c>
      <c r="O170" s="92" t="s">
        <v>392</v>
      </c>
      <c r="P170" s="5"/>
      <c r="Q170" s="197">
        <f>Q171</f>
        <v>158</v>
      </c>
      <c r="R170" s="197">
        <f>R171</f>
        <v>118</v>
      </c>
      <c r="S170" s="197">
        <f>S171</f>
        <v>118</v>
      </c>
    </row>
    <row r="171" spans="1:19" ht="24" customHeight="1">
      <c r="A171" s="95"/>
      <c r="B171" s="94"/>
      <c r="C171" s="93"/>
      <c r="D171" s="97"/>
      <c r="E171" s="111"/>
      <c r="F171" s="111"/>
      <c r="G171" s="85"/>
      <c r="H171" s="104" t="s">
        <v>22</v>
      </c>
      <c r="I171" s="7">
        <v>27</v>
      </c>
      <c r="J171" s="18">
        <v>4</v>
      </c>
      <c r="K171" s="15">
        <v>12</v>
      </c>
      <c r="L171" s="91" t="s">
        <v>448</v>
      </c>
      <c r="M171" s="92" t="s">
        <v>347</v>
      </c>
      <c r="N171" s="92" t="s">
        <v>365</v>
      </c>
      <c r="O171" s="92" t="s">
        <v>23</v>
      </c>
      <c r="P171" s="5"/>
      <c r="Q171" s="197">
        <f>Q172+Q173</f>
        <v>158</v>
      </c>
      <c r="R171" s="197">
        <f>R172+R173</f>
        <v>118</v>
      </c>
      <c r="S171" s="197">
        <f>S172+S173</f>
        <v>118</v>
      </c>
    </row>
    <row r="172" spans="1:19" ht="24" customHeight="1">
      <c r="A172" s="95"/>
      <c r="B172" s="94"/>
      <c r="C172" s="93"/>
      <c r="D172" s="97"/>
      <c r="E172" s="111"/>
      <c r="F172" s="111"/>
      <c r="G172" s="85"/>
      <c r="H172" s="4" t="s">
        <v>454</v>
      </c>
      <c r="I172" s="7">
        <v>27</v>
      </c>
      <c r="J172" s="18">
        <v>4</v>
      </c>
      <c r="K172" s="15">
        <v>12</v>
      </c>
      <c r="L172" s="91" t="s">
        <v>448</v>
      </c>
      <c r="M172" s="92" t="s">
        <v>347</v>
      </c>
      <c r="N172" s="92" t="s">
        <v>365</v>
      </c>
      <c r="O172" s="92" t="s">
        <v>23</v>
      </c>
      <c r="P172" s="5">
        <v>240</v>
      </c>
      <c r="Q172" s="197">
        <v>30</v>
      </c>
      <c r="R172" s="197">
        <v>0</v>
      </c>
      <c r="S172" s="197">
        <v>0</v>
      </c>
    </row>
    <row r="173" spans="1:19" ht="24" customHeight="1">
      <c r="A173" s="95"/>
      <c r="B173" s="94"/>
      <c r="C173" s="93"/>
      <c r="D173" s="97"/>
      <c r="E173" s="111"/>
      <c r="F173" s="111"/>
      <c r="G173" s="85"/>
      <c r="H173" s="104" t="s">
        <v>456</v>
      </c>
      <c r="I173" s="7">
        <v>27</v>
      </c>
      <c r="J173" s="18">
        <v>4</v>
      </c>
      <c r="K173" s="15">
        <v>12</v>
      </c>
      <c r="L173" s="91" t="s">
        <v>448</v>
      </c>
      <c r="M173" s="92" t="s">
        <v>347</v>
      </c>
      <c r="N173" s="92" t="s">
        <v>365</v>
      </c>
      <c r="O173" s="92" t="s">
        <v>23</v>
      </c>
      <c r="P173" s="5">
        <v>610</v>
      </c>
      <c r="Q173" s="197">
        <f>88+40</f>
        <v>128</v>
      </c>
      <c r="R173" s="197">
        <v>118</v>
      </c>
      <c r="S173" s="197">
        <v>118</v>
      </c>
    </row>
    <row r="174" spans="1:19" ht="24" customHeight="1">
      <c r="A174" s="95"/>
      <c r="B174" s="94"/>
      <c r="C174" s="93"/>
      <c r="D174" s="97"/>
      <c r="E174" s="111"/>
      <c r="F174" s="111"/>
      <c r="G174" s="85"/>
      <c r="H174" s="104" t="s">
        <v>800</v>
      </c>
      <c r="I174" s="7">
        <v>27</v>
      </c>
      <c r="J174" s="18">
        <v>4</v>
      </c>
      <c r="K174" s="15">
        <v>12</v>
      </c>
      <c r="L174" s="91" t="s">
        <v>448</v>
      </c>
      <c r="M174" s="92" t="s">
        <v>347</v>
      </c>
      <c r="N174" s="92" t="s">
        <v>366</v>
      </c>
      <c r="O174" s="92" t="s">
        <v>392</v>
      </c>
      <c r="P174" s="5"/>
      <c r="Q174" s="197">
        <f>Q175</f>
        <v>2530</v>
      </c>
      <c r="R174" s="197">
        <f>R175</f>
        <v>20</v>
      </c>
      <c r="S174" s="197">
        <f>S175</f>
        <v>20</v>
      </c>
    </row>
    <row r="175" spans="1:19" ht="24" customHeight="1">
      <c r="A175" s="95"/>
      <c r="B175" s="94"/>
      <c r="C175" s="93"/>
      <c r="D175" s="97"/>
      <c r="E175" s="111"/>
      <c r="F175" s="111"/>
      <c r="G175" s="85"/>
      <c r="H175" s="104" t="s">
        <v>22</v>
      </c>
      <c r="I175" s="7">
        <v>27</v>
      </c>
      <c r="J175" s="18">
        <v>4</v>
      </c>
      <c r="K175" s="15">
        <v>12</v>
      </c>
      <c r="L175" s="91" t="s">
        <v>448</v>
      </c>
      <c r="M175" s="92" t="s">
        <v>347</v>
      </c>
      <c r="N175" s="92" t="s">
        <v>366</v>
      </c>
      <c r="O175" s="92" t="s">
        <v>23</v>
      </c>
      <c r="P175" s="5"/>
      <c r="Q175" s="197">
        <f>Q177+Q176</f>
        <v>2530</v>
      </c>
      <c r="R175" s="197">
        <f>R177</f>
        <v>20</v>
      </c>
      <c r="S175" s="197">
        <f>S177</f>
        <v>20</v>
      </c>
    </row>
    <row r="176" spans="1:19" ht="24" customHeight="1">
      <c r="A176" s="95"/>
      <c r="B176" s="94"/>
      <c r="C176" s="93"/>
      <c r="D176" s="97"/>
      <c r="E176" s="111"/>
      <c r="F176" s="111"/>
      <c r="G176" s="85"/>
      <c r="H176" s="4" t="s">
        <v>454</v>
      </c>
      <c r="I176" s="7">
        <v>27</v>
      </c>
      <c r="J176" s="18">
        <v>4</v>
      </c>
      <c r="K176" s="15">
        <v>12</v>
      </c>
      <c r="L176" s="91" t="s">
        <v>448</v>
      </c>
      <c r="M176" s="92" t="s">
        <v>347</v>
      </c>
      <c r="N176" s="92" t="s">
        <v>366</v>
      </c>
      <c r="O176" s="92" t="s">
        <v>23</v>
      </c>
      <c r="P176" s="5">
        <v>240</v>
      </c>
      <c r="Q176" s="197">
        <f>1500-1500+2500</f>
        <v>2500</v>
      </c>
      <c r="R176" s="197">
        <v>0</v>
      </c>
      <c r="S176" s="197">
        <v>0</v>
      </c>
    </row>
    <row r="177" spans="1:19" ht="24" customHeight="1">
      <c r="A177" s="95"/>
      <c r="B177" s="94"/>
      <c r="C177" s="93"/>
      <c r="D177" s="97"/>
      <c r="E177" s="111"/>
      <c r="F177" s="111"/>
      <c r="G177" s="85"/>
      <c r="H177" s="104" t="s">
        <v>456</v>
      </c>
      <c r="I177" s="7">
        <v>27</v>
      </c>
      <c r="J177" s="18">
        <v>4</v>
      </c>
      <c r="K177" s="15">
        <v>12</v>
      </c>
      <c r="L177" s="91" t="s">
        <v>448</v>
      </c>
      <c r="M177" s="92" t="s">
        <v>347</v>
      </c>
      <c r="N177" s="92" t="s">
        <v>366</v>
      </c>
      <c r="O177" s="92" t="s">
        <v>23</v>
      </c>
      <c r="P177" s="5">
        <v>610</v>
      </c>
      <c r="Q177" s="197">
        <f>20+10</f>
        <v>30</v>
      </c>
      <c r="R177" s="197">
        <v>20</v>
      </c>
      <c r="S177" s="197">
        <v>20</v>
      </c>
    </row>
    <row r="178" spans="1:19" ht="32.25" customHeight="1">
      <c r="A178" s="95"/>
      <c r="B178" s="94"/>
      <c r="C178" s="93"/>
      <c r="D178" s="97"/>
      <c r="E178" s="111"/>
      <c r="F178" s="111"/>
      <c r="G178" s="85"/>
      <c r="H178" s="104" t="s">
        <v>801</v>
      </c>
      <c r="I178" s="7">
        <v>27</v>
      </c>
      <c r="J178" s="18">
        <v>4</v>
      </c>
      <c r="K178" s="15">
        <v>12</v>
      </c>
      <c r="L178" s="91" t="s">
        <v>448</v>
      </c>
      <c r="M178" s="92" t="s">
        <v>347</v>
      </c>
      <c r="N178" s="92" t="s">
        <v>361</v>
      </c>
      <c r="O178" s="92" t="s">
        <v>392</v>
      </c>
      <c r="P178" s="5"/>
      <c r="Q178" s="197">
        <f aca="true" t="shared" si="19" ref="Q178:S179">Q179</f>
        <v>10</v>
      </c>
      <c r="R178" s="197">
        <f t="shared" si="19"/>
        <v>100</v>
      </c>
      <c r="S178" s="197">
        <f t="shared" si="19"/>
        <v>100</v>
      </c>
    </row>
    <row r="179" spans="1:19" ht="24" customHeight="1">
      <c r="A179" s="95"/>
      <c r="B179" s="94"/>
      <c r="C179" s="93"/>
      <c r="D179" s="97"/>
      <c r="E179" s="111"/>
      <c r="F179" s="111"/>
      <c r="G179" s="85"/>
      <c r="H179" s="104" t="s">
        <v>22</v>
      </c>
      <c r="I179" s="7">
        <v>27</v>
      </c>
      <c r="J179" s="18">
        <v>4</v>
      </c>
      <c r="K179" s="15">
        <v>12</v>
      </c>
      <c r="L179" s="91" t="s">
        <v>448</v>
      </c>
      <c r="M179" s="92" t="s">
        <v>347</v>
      </c>
      <c r="N179" s="92" t="s">
        <v>361</v>
      </c>
      <c r="O179" s="92" t="s">
        <v>23</v>
      </c>
      <c r="P179" s="5"/>
      <c r="Q179" s="197">
        <f t="shared" si="19"/>
        <v>10</v>
      </c>
      <c r="R179" s="197">
        <f t="shared" si="19"/>
        <v>100</v>
      </c>
      <c r="S179" s="197">
        <f t="shared" si="19"/>
        <v>100</v>
      </c>
    </row>
    <row r="180" spans="1:19" ht="24" customHeight="1">
      <c r="A180" s="95"/>
      <c r="B180" s="94"/>
      <c r="C180" s="93"/>
      <c r="D180" s="97"/>
      <c r="E180" s="111"/>
      <c r="F180" s="111"/>
      <c r="G180" s="85"/>
      <c r="H180" s="104" t="s">
        <v>456</v>
      </c>
      <c r="I180" s="7">
        <v>27</v>
      </c>
      <c r="J180" s="18">
        <v>4</v>
      </c>
      <c r="K180" s="15">
        <v>12</v>
      </c>
      <c r="L180" s="91" t="s">
        <v>448</v>
      </c>
      <c r="M180" s="92" t="s">
        <v>347</v>
      </c>
      <c r="N180" s="92" t="s">
        <v>361</v>
      </c>
      <c r="O180" s="92" t="s">
        <v>23</v>
      </c>
      <c r="P180" s="5">
        <v>610</v>
      </c>
      <c r="Q180" s="197">
        <f>100-90</f>
        <v>10</v>
      </c>
      <c r="R180" s="197">
        <v>100</v>
      </c>
      <c r="S180" s="197">
        <v>100</v>
      </c>
    </row>
    <row r="181" spans="1:19" ht="27.75" customHeight="1">
      <c r="A181" s="95"/>
      <c r="B181" s="94"/>
      <c r="C181" s="93"/>
      <c r="D181" s="97"/>
      <c r="E181" s="111"/>
      <c r="F181" s="111"/>
      <c r="G181" s="85"/>
      <c r="H181" s="4" t="s">
        <v>409</v>
      </c>
      <c r="I181" s="7">
        <v>27</v>
      </c>
      <c r="J181" s="18">
        <v>4</v>
      </c>
      <c r="K181" s="15">
        <v>12</v>
      </c>
      <c r="L181" s="91" t="s">
        <v>448</v>
      </c>
      <c r="M181" s="92" t="s">
        <v>347</v>
      </c>
      <c r="N181" s="92" t="s">
        <v>350</v>
      </c>
      <c r="O181" s="92" t="s">
        <v>392</v>
      </c>
      <c r="P181" s="5"/>
      <c r="Q181" s="197">
        <f>Q182+Q184</f>
        <v>6121.200000000001</v>
      </c>
      <c r="R181" s="197">
        <f>R182+R184</f>
        <v>6068.700000000001</v>
      </c>
      <c r="S181" s="197">
        <f>S182+S184</f>
        <v>6068.700000000001</v>
      </c>
    </row>
    <row r="182" spans="1:19" ht="27.75" customHeight="1">
      <c r="A182" s="95"/>
      <c r="B182" s="94"/>
      <c r="C182" s="93"/>
      <c r="D182" s="97"/>
      <c r="E182" s="111"/>
      <c r="F182" s="111"/>
      <c r="G182" s="85"/>
      <c r="H182" s="4" t="s">
        <v>22</v>
      </c>
      <c r="I182" s="7">
        <v>27</v>
      </c>
      <c r="J182" s="18">
        <v>4</v>
      </c>
      <c r="K182" s="15">
        <v>12</v>
      </c>
      <c r="L182" s="91" t="s">
        <v>448</v>
      </c>
      <c r="M182" s="92" t="s">
        <v>347</v>
      </c>
      <c r="N182" s="92" t="s">
        <v>350</v>
      </c>
      <c r="O182" s="92" t="s">
        <v>23</v>
      </c>
      <c r="P182" s="5"/>
      <c r="Q182" s="197">
        <f>Q183</f>
        <v>5479.6</v>
      </c>
      <c r="R182" s="197">
        <f>R183</f>
        <v>5427.1</v>
      </c>
      <c r="S182" s="197">
        <f>S183</f>
        <v>5427.1</v>
      </c>
    </row>
    <row r="183" spans="1:19" ht="27.75" customHeight="1">
      <c r="A183" s="95"/>
      <c r="B183" s="94"/>
      <c r="C183" s="93"/>
      <c r="D183" s="97"/>
      <c r="E183" s="111"/>
      <c r="F183" s="111"/>
      <c r="G183" s="85"/>
      <c r="H183" s="4" t="s">
        <v>456</v>
      </c>
      <c r="I183" s="7">
        <v>27</v>
      </c>
      <c r="J183" s="18">
        <v>4</v>
      </c>
      <c r="K183" s="15">
        <v>12</v>
      </c>
      <c r="L183" s="91" t="s">
        <v>448</v>
      </c>
      <c r="M183" s="92" t="s">
        <v>347</v>
      </c>
      <c r="N183" s="92" t="s">
        <v>350</v>
      </c>
      <c r="O183" s="92" t="s">
        <v>23</v>
      </c>
      <c r="P183" s="5">
        <v>610</v>
      </c>
      <c r="Q183" s="197">
        <f>5427.1-1500+1500+52.5</f>
        <v>5479.6</v>
      </c>
      <c r="R183" s="197">
        <v>5427.1</v>
      </c>
      <c r="S183" s="197">
        <v>5427.1</v>
      </c>
    </row>
    <row r="184" spans="1:19" ht="36.75" customHeight="1">
      <c r="A184" s="95"/>
      <c r="B184" s="94"/>
      <c r="C184" s="93"/>
      <c r="D184" s="97"/>
      <c r="E184" s="111"/>
      <c r="F184" s="111"/>
      <c r="G184" s="85"/>
      <c r="H184" s="4" t="s">
        <v>595</v>
      </c>
      <c r="I184" s="7">
        <v>27</v>
      </c>
      <c r="J184" s="18">
        <v>4</v>
      </c>
      <c r="K184" s="15">
        <v>12</v>
      </c>
      <c r="L184" s="91" t="s">
        <v>448</v>
      </c>
      <c r="M184" s="92" t="s">
        <v>347</v>
      </c>
      <c r="N184" s="92" t="s">
        <v>350</v>
      </c>
      <c r="O184" s="92" t="s">
        <v>594</v>
      </c>
      <c r="P184" s="5"/>
      <c r="Q184" s="197">
        <f>Q185</f>
        <v>641.6</v>
      </c>
      <c r="R184" s="197">
        <f>R185</f>
        <v>641.6</v>
      </c>
      <c r="S184" s="197">
        <f>S185</f>
        <v>641.6</v>
      </c>
    </row>
    <row r="185" spans="1:19" ht="27.75" customHeight="1">
      <c r="A185" s="95"/>
      <c r="B185" s="94"/>
      <c r="C185" s="93"/>
      <c r="D185" s="97"/>
      <c r="E185" s="111"/>
      <c r="F185" s="111"/>
      <c r="G185" s="85"/>
      <c r="H185" s="4" t="s">
        <v>456</v>
      </c>
      <c r="I185" s="7">
        <v>27</v>
      </c>
      <c r="J185" s="18">
        <v>4</v>
      </c>
      <c r="K185" s="15">
        <v>12</v>
      </c>
      <c r="L185" s="91" t="s">
        <v>448</v>
      </c>
      <c r="M185" s="92" t="s">
        <v>347</v>
      </c>
      <c r="N185" s="92" t="s">
        <v>350</v>
      </c>
      <c r="O185" s="92" t="s">
        <v>594</v>
      </c>
      <c r="P185" s="5">
        <v>610</v>
      </c>
      <c r="Q185" s="197">
        <v>641.6</v>
      </c>
      <c r="R185" s="197">
        <v>641.6</v>
      </c>
      <c r="S185" s="197">
        <v>641.6</v>
      </c>
    </row>
    <row r="186" spans="1:19" ht="39" customHeight="1">
      <c r="A186" s="95"/>
      <c r="B186" s="94"/>
      <c r="C186" s="93"/>
      <c r="D186" s="97"/>
      <c r="E186" s="111"/>
      <c r="F186" s="111"/>
      <c r="G186" s="85"/>
      <c r="H186" s="4" t="s">
        <v>43</v>
      </c>
      <c r="I186" s="7">
        <v>27</v>
      </c>
      <c r="J186" s="18">
        <v>4</v>
      </c>
      <c r="K186" s="15">
        <v>12</v>
      </c>
      <c r="L186" s="91" t="s">
        <v>448</v>
      </c>
      <c r="M186" s="92" t="s">
        <v>347</v>
      </c>
      <c r="N186" s="92" t="s">
        <v>368</v>
      </c>
      <c r="O186" s="92" t="s">
        <v>392</v>
      </c>
      <c r="P186" s="5"/>
      <c r="Q186" s="197">
        <f>Q187</f>
        <v>150</v>
      </c>
      <c r="R186" s="197">
        <f aca="true" t="shared" si="20" ref="Q186:S187">R187</f>
        <v>150</v>
      </c>
      <c r="S186" s="197">
        <f t="shared" si="20"/>
        <v>150</v>
      </c>
    </row>
    <row r="187" spans="1:19" ht="29.25" customHeight="1">
      <c r="A187" s="95"/>
      <c r="B187" s="94"/>
      <c r="C187" s="93"/>
      <c r="D187" s="97"/>
      <c r="E187" s="111"/>
      <c r="F187" s="111"/>
      <c r="G187" s="85"/>
      <c r="H187" s="4" t="s">
        <v>22</v>
      </c>
      <c r="I187" s="7">
        <v>27</v>
      </c>
      <c r="J187" s="18">
        <v>4</v>
      </c>
      <c r="K187" s="15">
        <v>12</v>
      </c>
      <c r="L187" s="91" t="s">
        <v>448</v>
      </c>
      <c r="M187" s="92" t="s">
        <v>347</v>
      </c>
      <c r="N187" s="92" t="s">
        <v>368</v>
      </c>
      <c r="O187" s="92" t="s">
        <v>23</v>
      </c>
      <c r="P187" s="5"/>
      <c r="Q187" s="197">
        <f t="shared" si="20"/>
        <v>150</v>
      </c>
      <c r="R187" s="197">
        <f t="shared" si="20"/>
        <v>150</v>
      </c>
      <c r="S187" s="197">
        <f t="shared" si="20"/>
        <v>150</v>
      </c>
    </row>
    <row r="188" spans="1:19" ht="20.25" customHeight="1">
      <c r="A188" s="95"/>
      <c r="B188" s="94"/>
      <c r="C188" s="93"/>
      <c r="D188" s="97"/>
      <c r="E188" s="111"/>
      <c r="F188" s="111"/>
      <c r="G188" s="85"/>
      <c r="H188" s="4" t="s">
        <v>456</v>
      </c>
      <c r="I188" s="7">
        <v>27</v>
      </c>
      <c r="J188" s="18">
        <v>4</v>
      </c>
      <c r="K188" s="15">
        <v>12</v>
      </c>
      <c r="L188" s="91" t="s">
        <v>448</v>
      </c>
      <c r="M188" s="92" t="s">
        <v>347</v>
      </c>
      <c r="N188" s="92" t="s">
        <v>368</v>
      </c>
      <c r="O188" s="92" t="s">
        <v>23</v>
      </c>
      <c r="P188" s="5">
        <v>610</v>
      </c>
      <c r="Q188" s="197">
        <v>150</v>
      </c>
      <c r="R188" s="197">
        <v>150</v>
      </c>
      <c r="S188" s="197">
        <v>150</v>
      </c>
    </row>
    <row r="189" spans="1:19" ht="34.5" customHeight="1">
      <c r="A189" s="95"/>
      <c r="B189" s="94"/>
      <c r="C189" s="99"/>
      <c r="D189" s="97"/>
      <c r="E189" s="362">
        <v>4210200</v>
      </c>
      <c r="F189" s="362"/>
      <c r="G189" s="85">
        <v>521</v>
      </c>
      <c r="H189" s="4" t="s">
        <v>628</v>
      </c>
      <c r="I189" s="7">
        <v>27</v>
      </c>
      <c r="J189" s="6">
        <v>4</v>
      </c>
      <c r="K189" s="15">
        <v>12</v>
      </c>
      <c r="L189" s="91" t="s">
        <v>561</v>
      </c>
      <c r="M189" s="92" t="s">
        <v>347</v>
      </c>
      <c r="N189" s="92" t="s">
        <v>357</v>
      </c>
      <c r="O189" s="92" t="s">
        <v>392</v>
      </c>
      <c r="P189" s="9"/>
      <c r="Q189" s="195">
        <f>Q190+Q196</f>
        <v>519.7</v>
      </c>
      <c r="R189" s="195">
        <f>R190+R196</f>
        <v>493.6</v>
      </c>
      <c r="S189" s="195">
        <f>S190+S196</f>
        <v>493.6</v>
      </c>
    </row>
    <row r="190" spans="1:19" ht="34.5" customHeight="1">
      <c r="A190" s="95"/>
      <c r="B190" s="94"/>
      <c r="C190" s="99"/>
      <c r="D190" s="105"/>
      <c r="E190" s="100"/>
      <c r="F190" s="100"/>
      <c r="G190" s="101">
        <v>521</v>
      </c>
      <c r="H190" s="17" t="s">
        <v>577</v>
      </c>
      <c r="I190" s="7">
        <v>27</v>
      </c>
      <c r="J190" s="6">
        <v>4</v>
      </c>
      <c r="K190" s="15">
        <v>12</v>
      </c>
      <c r="L190" s="91" t="s">
        <v>561</v>
      </c>
      <c r="M190" s="92" t="s">
        <v>347</v>
      </c>
      <c r="N190" s="92" t="s">
        <v>348</v>
      </c>
      <c r="O190" s="92" t="s">
        <v>392</v>
      </c>
      <c r="P190" s="5"/>
      <c r="Q190" s="197">
        <f>Q191+Q194</f>
        <v>441</v>
      </c>
      <c r="R190" s="197">
        <f>R191+R194</f>
        <v>413.6</v>
      </c>
      <c r="S190" s="197">
        <f>S191+S194</f>
        <v>413.6</v>
      </c>
    </row>
    <row r="191" spans="1:19" ht="23.25" customHeight="1">
      <c r="A191" s="95"/>
      <c r="B191" s="94"/>
      <c r="C191" s="93"/>
      <c r="D191" s="105"/>
      <c r="E191" s="100"/>
      <c r="F191" s="100"/>
      <c r="G191" s="85"/>
      <c r="H191" s="17" t="s">
        <v>19</v>
      </c>
      <c r="I191" s="7">
        <v>27</v>
      </c>
      <c r="J191" s="20">
        <v>4</v>
      </c>
      <c r="K191" s="15">
        <v>12</v>
      </c>
      <c r="L191" s="91" t="s">
        <v>561</v>
      </c>
      <c r="M191" s="92" t="s">
        <v>347</v>
      </c>
      <c r="N191" s="92" t="s">
        <v>348</v>
      </c>
      <c r="O191" s="92" t="s">
        <v>18</v>
      </c>
      <c r="P191" s="5"/>
      <c r="Q191" s="197">
        <f>SUM(Q192:Q193)</f>
        <v>30</v>
      </c>
      <c r="R191" s="197">
        <f>SUM(R192:R193)</f>
        <v>30</v>
      </c>
      <c r="S191" s="197">
        <f>SUM(S192:S193)</f>
        <v>30</v>
      </c>
    </row>
    <row r="192" spans="1:19" ht="30" customHeight="1">
      <c r="A192" s="95"/>
      <c r="B192" s="94"/>
      <c r="C192" s="93"/>
      <c r="D192" s="105"/>
      <c r="E192" s="100"/>
      <c r="F192" s="100"/>
      <c r="G192" s="85"/>
      <c r="H192" s="17" t="s">
        <v>454</v>
      </c>
      <c r="I192" s="7">
        <v>27</v>
      </c>
      <c r="J192" s="20">
        <v>4</v>
      </c>
      <c r="K192" s="15">
        <v>12</v>
      </c>
      <c r="L192" s="91" t="s">
        <v>561</v>
      </c>
      <c r="M192" s="92" t="s">
        <v>347</v>
      </c>
      <c r="N192" s="92" t="s">
        <v>348</v>
      </c>
      <c r="O192" s="92" t="s">
        <v>18</v>
      </c>
      <c r="P192" s="5">
        <v>240</v>
      </c>
      <c r="Q192" s="197">
        <v>10</v>
      </c>
      <c r="R192" s="197">
        <v>10</v>
      </c>
      <c r="S192" s="197">
        <v>10</v>
      </c>
    </row>
    <row r="193" spans="1:19" ht="38.25" customHeight="1">
      <c r="A193" s="95"/>
      <c r="B193" s="94"/>
      <c r="C193" s="93"/>
      <c r="D193" s="97"/>
      <c r="E193" s="111"/>
      <c r="F193" s="111"/>
      <c r="G193" s="85"/>
      <c r="H193" s="4" t="s">
        <v>567</v>
      </c>
      <c r="I193" s="7">
        <v>27</v>
      </c>
      <c r="J193" s="18">
        <v>4</v>
      </c>
      <c r="K193" s="15">
        <v>12</v>
      </c>
      <c r="L193" s="91" t="s">
        <v>561</v>
      </c>
      <c r="M193" s="92" t="s">
        <v>347</v>
      </c>
      <c r="N193" s="92" t="s">
        <v>348</v>
      </c>
      <c r="O193" s="92" t="s">
        <v>18</v>
      </c>
      <c r="P193" s="5">
        <v>810</v>
      </c>
      <c r="Q193" s="197">
        <v>20</v>
      </c>
      <c r="R193" s="197">
        <v>20</v>
      </c>
      <c r="S193" s="197">
        <v>20</v>
      </c>
    </row>
    <row r="194" spans="1:19" ht="32.25" customHeight="1">
      <c r="A194" s="95"/>
      <c r="B194" s="94"/>
      <c r="C194" s="93"/>
      <c r="D194" s="97"/>
      <c r="E194" s="111"/>
      <c r="F194" s="111"/>
      <c r="G194" s="85"/>
      <c r="H194" s="4" t="s">
        <v>566</v>
      </c>
      <c r="I194" s="7">
        <v>27</v>
      </c>
      <c r="J194" s="18">
        <v>4</v>
      </c>
      <c r="K194" s="15">
        <v>12</v>
      </c>
      <c r="L194" s="91" t="s">
        <v>561</v>
      </c>
      <c r="M194" s="92" t="s">
        <v>347</v>
      </c>
      <c r="N194" s="92" t="s">
        <v>348</v>
      </c>
      <c r="O194" s="92" t="s">
        <v>565</v>
      </c>
      <c r="P194" s="5"/>
      <c r="Q194" s="197">
        <f>Q195</f>
        <v>411</v>
      </c>
      <c r="R194" s="197">
        <f>R195</f>
        <v>383.6</v>
      </c>
      <c r="S194" s="197">
        <f>S195</f>
        <v>383.6</v>
      </c>
    </row>
    <row r="195" spans="1:19" ht="32.25" customHeight="1">
      <c r="A195" s="95"/>
      <c r="B195" s="94"/>
      <c r="C195" s="93"/>
      <c r="D195" s="97"/>
      <c r="E195" s="111"/>
      <c r="F195" s="111"/>
      <c r="G195" s="85"/>
      <c r="H195" s="4" t="s">
        <v>567</v>
      </c>
      <c r="I195" s="7">
        <v>27</v>
      </c>
      <c r="J195" s="18">
        <v>4</v>
      </c>
      <c r="K195" s="15">
        <v>12</v>
      </c>
      <c r="L195" s="91" t="s">
        <v>561</v>
      </c>
      <c r="M195" s="92" t="s">
        <v>347</v>
      </c>
      <c r="N195" s="92" t="s">
        <v>348</v>
      </c>
      <c r="O195" s="92" t="s">
        <v>565</v>
      </c>
      <c r="P195" s="5">
        <v>810</v>
      </c>
      <c r="Q195" s="197">
        <f>383.6+46.3+2.4-1.1-20.2</f>
        <v>411</v>
      </c>
      <c r="R195" s="197">
        <v>383.6</v>
      </c>
      <c r="S195" s="197">
        <v>383.6</v>
      </c>
    </row>
    <row r="196" spans="1:19" ht="24.75" customHeight="1">
      <c r="A196" s="95"/>
      <c r="B196" s="94"/>
      <c r="C196" s="93"/>
      <c r="D196" s="97"/>
      <c r="E196" s="111"/>
      <c r="F196" s="111"/>
      <c r="G196" s="85"/>
      <c r="H196" s="4" t="s">
        <v>578</v>
      </c>
      <c r="I196" s="7">
        <v>27</v>
      </c>
      <c r="J196" s="18">
        <v>4</v>
      </c>
      <c r="K196" s="15">
        <v>12</v>
      </c>
      <c r="L196" s="91" t="s">
        <v>561</v>
      </c>
      <c r="M196" s="92" t="s">
        <v>347</v>
      </c>
      <c r="N196" s="92" t="s">
        <v>365</v>
      </c>
      <c r="O196" s="92" t="s">
        <v>392</v>
      </c>
      <c r="P196" s="5"/>
      <c r="Q196" s="197">
        <f aca="true" t="shared" si="21" ref="Q196:S197">Q197</f>
        <v>78.69999999999999</v>
      </c>
      <c r="R196" s="197">
        <f t="shared" si="21"/>
        <v>80</v>
      </c>
      <c r="S196" s="197">
        <f t="shared" si="21"/>
        <v>80</v>
      </c>
    </row>
    <row r="197" spans="1:19" ht="30" customHeight="1">
      <c r="A197" s="95"/>
      <c r="B197" s="94"/>
      <c r="C197" s="93"/>
      <c r="D197" s="97"/>
      <c r="E197" s="111"/>
      <c r="F197" s="111"/>
      <c r="G197" s="85"/>
      <c r="H197" s="4" t="s">
        <v>21</v>
      </c>
      <c r="I197" s="7">
        <v>27</v>
      </c>
      <c r="J197" s="18">
        <v>4</v>
      </c>
      <c r="K197" s="15">
        <v>12</v>
      </c>
      <c r="L197" s="91" t="s">
        <v>561</v>
      </c>
      <c r="M197" s="92" t="s">
        <v>347</v>
      </c>
      <c r="N197" s="92" t="s">
        <v>365</v>
      </c>
      <c r="O197" s="92" t="s">
        <v>20</v>
      </c>
      <c r="P197" s="5"/>
      <c r="Q197" s="197">
        <f t="shared" si="21"/>
        <v>78.69999999999999</v>
      </c>
      <c r="R197" s="197">
        <f t="shared" si="21"/>
        <v>80</v>
      </c>
      <c r="S197" s="197">
        <f t="shared" si="21"/>
        <v>80</v>
      </c>
    </row>
    <row r="198" spans="1:19" ht="33" customHeight="1">
      <c r="A198" s="95"/>
      <c r="B198" s="94"/>
      <c r="C198" s="93"/>
      <c r="D198" s="97"/>
      <c r="E198" s="111"/>
      <c r="F198" s="111"/>
      <c r="G198" s="85"/>
      <c r="H198" s="4" t="s">
        <v>454</v>
      </c>
      <c r="I198" s="7">
        <v>27</v>
      </c>
      <c r="J198" s="18">
        <v>4</v>
      </c>
      <c r="K198" s="15">
        <v>12</v>
      </c>
      <c r="L198" s="91" t="s">
        <v>561</v>
      </c>
      <c r="M198" s="92" t="s">
        <v>347</v>
      </c>
      <c r="N198" s="92" t="s">
        <v>365</v>
      </c>
      <c r="O198" s="92" t="s">
        <v>20</v>
      </c>
      <c r="P198" s="5">
        <v>240</v>
      </c>
      <c r="Q198" s="197">
        <f>80-2.4+1.1</f>
        <v>78.69999999999999</v>
      </c>
      <c r="R198" s="197">
        <v>80</v>
      </c>
      <c r="S198" s="197">
        <v>80</v>
      </c>
    </row>
    <row r="199" spans="1:19" s="171" customFormat="1" ht="26.25" customHeight="1">
      <c r="A199" s="135"/>
      <c r="B199" s="136"/>
      <c r="C199" s="135"/>
      <c r="D199" s="143"/>
      <c r="E199" s="144"/>
      <c r="F199" s="144"/>
      <c r="G199" s="129"/>
      <c r="H199" s="268" t="s">
        <v>390</v>
      </c>
      <c r="I199" s="145">
        <v>27</v>
      </c>
      <c r="J199" s="140">
        <v>5</v>
      </c>
      <c r="K199" s="132"/>
      <c r="L199" s="133"/>
      <c r="M199" s="134"/>
      <c r="N199" s="134"/>
      <c r="O199" s="134"/>
      <c r="P199" s="139"/>
      <c r="Q199" s="198">
        <f>Q200+Q212+Q230+Q239</f>
        <v>75621</v>
      </c>
      <c r="R199" s="198">
        <f>R200+R212+R230+R239</f>
        <v>53869.1</v>
      </c>
      <c r="S199" s="198">
        <f>S200+S212+S230+S239</f>
        <v>7275.9</v>
      </c>
    </row>
    <row r="200" spans="1:19" s="171" customFormat="1" ht="29.25" customHeight="1">
      <c r="A200" s="135"/>
      <c r="B200" s="136"/>
      <c r="C200" s="135"/>
      <c r="D200" s="143"/>
      <c r="E200" s="144"/>
      <c r="F200" s="144"/>
      <c r="G200" s="129"/>
      <c r="H200" s="268" t="s">
        <v>391</v>
      </c>
      <c r="I200" s="145">
        <v>27</v>
      </c>
      <c r="J200" s="140">
        <v>5</v>
      </c>
      <c r="K200" s="132">
        <v>1</v>
      </c>
      <c r="L200" s="133"/>
      <c r="M200" s="134"/>
      <c r="N200" s="134"/>
      <c r="O200" s="134"/>
      <c r="P200" s="139"/>
      <c r="Q200" s="198">
        <f aca="true" t="shared" si="22" ref="Q200:S201">Q201</f>
        <v>39640.4</v>
      </c>
      <c r="R200" s="198">
        <f t="shared" si="22"/>
        <v>42865.2</v>
      </c>
      <c r="S200" s="198">
        <f t="shared" si="22"/>
        <v>6222.4</v>
      </c>
    </row>
    <row r="201" spans="1:19" ht="39.75" customHeight="1">
      <c r="A201" s="93"/>
      <c r="B201" s="94"/>
      <c r="C201" s="93"/>
      <c r="D201" s="97"/>
      <c r="E201" s="111"/>
      <c r="F201" s="111"/>
      <c r="G201" s="85"/>
      <c r="H201" s="17" t="s">
        <v>539</v>
      </c>
      <c r="I201" s="7">
        <v>27</v>
      </c>
      <c r="J201" s="18">
        <v>5</v>
      </c>
      <c r="K201" s="15">
        <v>1</v>
      </c>
      <c r="L201" s="91" t="s">
        <v>39</v>
      </c>
      <c r="M201" s="92" t="s">
        <v>347</v>
      </c>
      <c r="N201" s="92" t="s">
        <v>357</v>
      </c>
      <c r="O201" s="92" t="s">
        <v>392</v>
      </c>
      <c r="P201" s="5"/>
      <c r="Q201" s="197">
        <f t="shared" si="22"/>
        <v>39640.4</v>
      </c>
      <c r="R201" s="197">
        <f t="shared" si="22"/>
        <v>42865.2</v>
      </c>
      <c r="S201" s="197">
        <f t="shared" si="22"/>
        <v>6222.4</v>
      </c>
    </row>
    <row r="202" spans="1:19" ht="42" customHeight="1">
      <c r="A202" s="93"/>
      <c r="B202" s="94"/>
      <c r="C202" s="93"/>
      <c r="D202" s="97"/>
      <c r="E202" s="111"/>
      <c r="F202" s="111"/>
      <c r="G202" s="85"/>
      <c r="H202" s="17" t="s">
        <v>698</v>
      </c>
      <c r="I202" s="7">
        <v>27</v>
      </c>
      <c r="J202" s="18">
        <v>5</v>
      </c>
      <c r="K202" s="15">
        <v>1</v>
      </c>
      <c r="L202" s="91" t="s">
        <v>39</v>
      </c>
      <c r="M202" s="92" t="s">
        <v>347</v>
      </c>
      <c r="N202" s="92" t="s">
        <v>540</v>
      </c>
      <c r="O202" s="92" t="s">
        <v>392</v>
      </c>
      <c r="P202" s="5"/>
      <c r="Q202" s="197">
        <f>Q203+Q206+Q209</f>
        <v>39640.4</v>
      </c>
      <c r="R202" s="197">
        <f>R203+R206+R209</f>
        <v>42865.2</v>
      </c>
      <c r="S202" s="197">
        <f>S203+S206+S209</f>
        <v>6222.4</v>
      </c>
    </row>
    <row r="203" spans="1:19" ht="38.25" customHeight="1">
      <c r="A203" s="95"/>
      <c r="B203" s="94"/>
      <c r="C203" s="93"/>
      <c r="D203" s="97"/>
      <c r="E203" s="111"/>
      <c r="F203" s="111"/>
      <c r="G203" s="85"/>
      <c r="H203" s="17" t="s">
        <v>533</v>
      </c>
      <c r="I203" s="7">
        <v>27</v>
      </c>
      <c r="J203" s="18">
        <v>5</v>
      </c>
      <c r="K203" s="15">
        <v>1</v>
      </c>
      <c r="L203" s="91" t="s">
        <v>39</v>
      </c>
      <c r="M203" s="92" t="s">
        <v>347</v>
      </c>
      <c r="N203" s="92" t="s">
        <v>540</v>
      </c>
      <c r="O203" s="92" t="s">
        <v>543</v>
      </c>
      <c r="P203" s="5"/>
      <c r="Q203" s="197">
        <f>Q204+Q205</f>
        <v>37436.2</v>
      </c>
      <c r="R203" s="197">
        <f>R204</f>
        <v>37475.5</v>
      </c>
      <c r="S203" s="197">
        <f>S204</f>
        <v>0</v>
      </c>
    </row>
    <row r="204" spans="1:19" ht="23.25" customHeight="1">
      <c r="A204" s="95"/>
      <c r="B204" s="94"/>
      <c r="C204" s="93"/>
      <c r="D204" s="97"/>
      <c r="E204" s="111"/>
      <c r="F204" s="111"/>
      <c r="G204" s="85"/>
      <c r="H204" s="17" t="s">
        <v>311</v>
      </c>
      <c r="I204" s="7">
        <v>27</v>
      </c>
      <c r="J204" s="18">
        <v>5</v>
      </c>
      <c r="K204" s="15">
        <v>1</v>
      </c>
      <c r="L204" s="91" t="s">
        <v>39</v>
      </c>
      <c r="M204" s="92" t="s">
        <v>347</v>
      </c>
      <c r="N204" s="92" t="s">
        <v>540</v>
      </c>
      <c r="O204" s="92" t="s">
        <v>543</v>
      </c>
      <c r="P204" s="5">
        <v>410</v>
      </c>
      <c r="Q204" s="195">
        <f>37151.5+37760.2-37475.5-7211.5</f>
        <v>30224.699999999997</v>
      </c>
      <c r="R204" s="197">
        <v>37475.5</v>
      </c>
      <c r="S204" s="197">
        <v>0</v>
      </c>
    </row>
    <row r="205" spans="1:19" ht="23.25" customHeight="1">
      <c r="A205" s="95"/>
      <c r="B205" s="94"/>
      <c r="C205" s="93"/>
      <c r="D205" s="97"/>
      <c r="E205" s="111"/>
      <c r="F205" s="111"/>
      <c r="G205" s="85"/>
      <c r="H205" s="17" t="s">
        <v>455</v>
      </c>
      <c r="I205" s="7">
        <v>27</v>
      </c>
      <c r="J205" s="18">
        <v>5</v>
      </c>
      <c r="K205" s="15">
        <v>1</v>
      </c>
      <c r="L205" s="91" t="s">
        <v>39</v>
      </c>
      <c r="M205" s="92" t="s">
        <v>347</v>
      </c>
      <c r="N205" s="92" t="s">
        <v>540</v>
      </c>
      <c r="O205" s="92" t="s">
        <v>543</v>
      </c>
      <c r="P205" s="5">
        <v>850</v>
      </c>
      <c r="Q205" s="197">
        <v>7211.5</v>
      </c>
      <c r="R205" s="197">
        <v>0</v>
      </c>
      <c r="S205" s="197">
        <v>0</v>
      </c>
    </row>
    <row r="206" spans="1:19" ht="39.75" customHeight="1">
      <c r="A206" s="95"/>
      <c r="B206" s="94"/>
      <c r="C206" s="93"/>
      <c r="D206" s="97"/>
      <c r="E206" s="111"/>
      <c r="F206" s="111"/>
      <c r="G206" s="85"/>
      <c r="H206" s="17" t="s">
        <v>534</v>
      </c>
      <c r="I206" s="7">
        <v>27</v>
      </c>
      <c r="J206" s="18">
        <v>5</v>
      </c>
      <c r="K206" s="15">
        <v>1</v>
      </c>
      <c r="L206" s="91" t="s">
        <v>39</v>
      </c>
      <c r="M206" s="92" t="s">
        <v>347</v>
      </c>
      <c r="N206" s="92" t="s">
        <v>540</v>
      </c>
      <c r="O206" s="92" t="s">
        <v>544</v>
      </c>
      <c r="P206" s="5"/>
      <c r="Q206" s="197">
        <f>Q207+Q208</f>
        <v>1559.8000000000002</v>
      </c>
      <c r="R206" s="197">
        <f>R207</f>
        <v>4389.7</v>
      </c>
      <c r="S206" s="197">
        <f>S207</f>
        <v>5222.4</v>
      </c>
    </row>
    <row r="207" spans="1:19" ht="24" customHeight="1">
      <c r="A207" s="95"/>
      <c r="B207" s="94"/>
      <c r="C207" s="93"/>
      <c r="D207" s="97"/>
      <c r="E207" s="111"/>
      <c r="F207" s="111"/>
      <c r="G207" s="85"/>
      <c r="H207" s="17" t="s">
        <v>311</v>
      </c>
      <c r="I207" s="7">
        <v>27</v>
      </c>
      <c r="J207" s="18">
        <v>5</v>
      </c>
      <c r="K207" s="15">
        <v>1</v>
      </c>
      <c r="L207" s="91" t="s">
        <v>39</v>
      </c>
      <c r="M207" s="92" t="s">
        <v>347</v>
      </c>
      <c r="N207" s="92" t="s">
        <v>540</v>
      </c>
      <c r="O207" s="92" t="s">
        <v>544</v>
      </c>
      <c r="P207" s="5">
        <v>410</v>
      </c>
      <c r="Q207" s="195">
        <f>1548+1573.3-1561.5-300.5</f>
        <v>1259.3000000000002</v>
      </c>
      <c r="R207" s="197">
        <f>2828.2+1561.5</f>
        <v>4389.7</v>
      </c>
      <c r="S207" s="197">
        <v>5222.4</v>
      </c>
    </row>
    <row r="208" spans="1:19" ht="24" customHeight="1">
      <c r="A208" s="95"/>
      <c r="B208" s="94"/>
      <c r="C208" s="93"/>
      <c r="D208" s="97"/>
      <c r="E208" s="111"/>
      <c r="F208" s="111"/>
      <c r="G208" s="85"/>
      <c r="H208" s="17" t="s">
        <v>455</v>
      </c>
      <c r="I208" s="7">
        <v>27</v>
      </c>
      <c r="J208" s="18">
        <v>5</v>
      </c>
      <c r="K208" s="15">
        <v>1</v>
      </c>
      <c r="L208" s="91" t="s">
        <v>39</v>
      </c>
      <c r="M208" s="92" t="s">
        <v>347</v>
      </c>
      <c r="N208" s="92" t="s">
        <v>540</v>
      </c>
      <c r="O208" s="92" t="s">
        <v>544</v>
      </c>
      <c r="P208" s="5">
        <v>850</v>
      </c>
      <c r="Q208" s="197">
        <v>300.5</v>
      </c>
      <c r="R208" s="197">
        <v>0</v>
      </c>
      <c r="S208" s="197">
        <v>0</v>
      </c>
    </row>
    <row r="209" spans="1:19" ht="42" customHeight="1">
      <c r="A209" s="95"/>
      <c r="B209" s="94"/>
      <c r="C209" s="93"/>
      <c r="D209" s="97"/>
      <c r="E209" s="111"/>
      <c r="F209" s="111"/>
      <c r="G209" s="85"/>
      <c r="H209" s="17" t="s">
        <v>548</v>
      </c>
      <c r="I209" s="7">
        <v>27</v>
      </c>
      <c r="J209" s="18">
        <v>5</v>
      </c>
      <c r="K209" s="15">
        <v>1</v>
      </c>
      <c r="L209" s="91" t="s">
        <v>39</v>
      </c>
      <c r="M209" s="92" t="s">
        <v>347</v>
      </c>
      <c r="N209" s="92" t="s">
        <v>540</v>
      </c>
      <c r="O209" s="92" t="s">
        <v>547</v>
      </c>
      <c r="P209" s="5"/>
      <c r="Q209" s="197">
        <f>Q210+Q211</f>
        <v>644.4000000000001</v>
      </c>
      <c r="R209" s="197">
        <f>R210</f>
        <v>1000</v>
      </c>
      <c r="S209" s="197">
        <f>S210</f>
        <v>1000</v>
      </c>
    </row>
    <row r="210" spans="1:19" ht="24" customHeight="1">
      <c r="A210" s="95"/>
      <c r="B210" s="94"/>
      <c r="C210" s="93"/>
      <c r="D210" s="97"/>
      <c r="E210" s="111"/>
      <c r="F210" s="111"/>
      <c r="G210" s="85"/>
      <c r="H210" s="17" t="s">
        <v>454</v>
      </c>
      <c r="I210" s="7">
        <v>27</v>
      </c>
      <c r="J210" s="18">
        <v>5</v>
      </c>
      <c r="K210" s="15">
        <v>1</v>
      </c>
      <c r="L210" s="91" t="s">
        <v>39</v>
      </c>
      <c r="M210" s="92" t="s">
        <v>347</v>
      </c>
      <c r="N210" s="92" t="s">
        <v>540</v>
      </c>
      <c r="O210" s="92" t="s">
        <v>547</v>
      </c>
      <c r="P210" s="5">
        <v>240</v>
      </c>
      <c r="Q210" s="197">
        <f>1000+180.4-76-460-120</f>
        <v>524.4000000000001</v>
      </c>
      <c r="R210" s="197">
        <v>1000</v>
      </c>
      <c r="S210" s="197">
        <v>1000</v>
      </c>
    </row>
    <row r="211" spans="1:19" ht="24" customHeight="1">
      <c r="A211" s="95"/>
      <c r="B211" s="94"/>
      <c r="C211" s="93"/>
      <c r="D211" s="97"/>
      <c r="E211" s="111"/>
      <c r="F211" s="111"/>
      <c r="G211" s="85"/>
      <c r="H211" s="17" t="s">
        <v>492</v>
      </c>
      <c r="I211" s="7">
        <v>27</v>
      </c>
      <c r="J211" s="18">
        <v>5</v>
      </c>
      <c r="K211" s="15">
        <v>1</v>
      </c>
      <c r="L211" s="91" t="s">
        <v>39</v>
      </c>
      <c r="M211" s="92" t="s">
        <v>347</v>
      </c>
      <c r="N211" s="92" t="s">
        <v>540</v>
      </c>
      <c r="O211" s="92" t="s">
        <v>547</v>
      </c>
      <c r="P211" s="5">
        <v>620</v>
      </c>
      <c r="Q211" s="197">
        <v>120</v>
      </c>
      <c r="R211" s="197">
        <v>0</v>
      </c>
      <c r="S211" s="197">
        <v>0</v>
      </c>
    </row>
    <row r="212" spans="1:19" s="171" customFormat="1" ht="21" customHeight="1">
      <c r="A212" s="135"/>
      <c r="B212" s="136"/>
      <c r="C212" s="135"/>
      <c r="D212" s="143"/>
      <c r="E212" s="144"/>
      <c r="F212" s="144"/>
      <c r="G212" s="129"/>
      <c r="H212" s="268" t="s">
        <v>468</v>
      </c>
      <c r="I212" s="139">
        <v>27</v>
      </c>
      <c r="J212" s="140">
        <v>5</v>
      </c>
      <c r="K212" s="132">
        <v>2</v>
      </c>
      <c r="L212" s="133"/>
      <c r="M212" s="134"/>
      <c r="N212" s="134"/>
      <c r="O212" s="134"/>
      <c r="P212" s="139"/>
      <c r="Q212" s="198">
        <f>Q217+Q226+Q213</f>
        <v>29149</v>
      </c>
      <c r="R212" s="198">
        <f>R217+R226</f>
        <v>10450.4</v>
      </c>
      <c r="S212" s="198">
        <f>S217+S226</f>
        <v>500</v>
      </c>
    </row>
    <row r="213" spans="1:19" ht="31.5" customHeight="1">
      <c r="A213" s="93"/>
      <c r="B213" s="94"/>
      <c r="C213" s="93"/>
      <c r="D213" s="97"/>
      <c r="E213" s="111"/>
      <c r="F213" s="111"/>
      <c r="G213" s="85"/>
      <c r="H213" s="17" t="s">
        <v>869</v>
      </c>
      <c r="I213" s="26">
        <v>27</v>
      </c>
      <c r="J213" s="18">
        <v>5</v>
      </c>
      <c r="K213" s="15">
        <v>2</v>
      </c>
      <c r="L213" s="91" t="s">
        <v>870</v>
      </c>
      <c r="M213" s="92" t="s">
        <v>347</v>
      </c>
      <c r="N213" s="92" t="s">
        <v>357</v>
      </c>
      <c r="O213" s="92" t="s">
        <v>392</v>
      </c>
      <c r="P213" s="5"/>
      <c r="Q213" s="197">
        <f>Q214</f>
        <v>7040.4</v>
      </c>
      <c r="R213" s="197">
        <f aca="true" t="shared" si="23" ref="R213:S215">R214</f>
        <v>0</v>
      </c>
      <c r="S213" s="197">
        <f t="shared" si="23"/>
        <v>0</v>
      </c>
    </row>
    <row r="214" spans="1:19" ht="26.25" customHeight="1">
      <c r="A214" s="93"/>
      <c r="B214" s="94"/>
      <c r="C214" s="93"/>
      <c r="D214" s="97"/>
      <c r="E214" s="111"/>
      <c r="F214" s="111"/>
      <c r="G214" s="85"/>
      <c r="H214" s="17" t="s">
        <v>872</v>
      </c>
      <c r="I214" s="26">
        <v>27</v>
      </c>
      <c r="J214" s="18">
        <v>5</v>
      </c>
      <c r="K214" s="15">
        <v>2</v>
      </c>
      <c r="L214" s="91" t="s">
        <v>870</v>
      </c>
      <c r="M214" s="92" t="s">
        <v>347</v>
      </c>
      <c r="N214" s="92" t="s">
        <v>350</v>
      </c>
      <c r="O214" s="92" t="s">
        <v>392</v>
      </c>
      <c r="P214" s="5"/>
      <c r="Q214" s="197">
        <f>Q215</f>
        <v>7040.4</v>
      </c>
      <c r="R214" s="197">
        <f t="shared" si="23"/>
        <v>0</v>
      </c>
      <c r="S214" s="197">
        <f t="shared" si="23"/>
        <v>0</v>
      </c>
    </row>
    <row r="215" spans="1:19" ht="36" customHeight="1">
      <c r="A215" s="93"/>
      <c r="B215" s="94"/>
      <c r="C215" s="93"/>
      <c r="D215" s="97"/>
      <c r="E215" s="111"/>
      <c r="F215" s="111"/>
      <c r="G215" s="85"/>
      <c r="H215" s="17" t="s">
        <v>873</v>
      </c>
      <c r="I215" s="26">
        <v>27</v>
      </c>
      <c r="J215" s="18">
        <v>5</v>
      </c>
      <c r="K215" s="15">
        <v>2</v>
      </c>
      <c r="L215" s="91" t="s">
        <v>870</v>
      </c>
      <c r="M215" s="92" t="s">
        <v>347</v>
      </c>
      <c r="N215" s="92" t="s">
        <v>350</v>
      </c>
      <c r="O215" s="92" t="s">
        <v>871</v>
      </c>
      <c r="P215" s="5"/>
      <c r="Q215" s="197">
        <f>Q216</f>
        <v>7040.4</v>
      </c>
      <c r="R215" s="197">
        <f t="shared" si="23"/>
        <v>0</v>
      </c>
      <c r="S215" s="197">
        <f t="shared" si="23"/>
        <v>0</v>
      </c>
    </row>
    <row r="216" spans="1:19" ht="21" customHeight="1">
      <c r="A216" s="93"/>
      <c r="B216" s="94"/>
      <c r="C216" s="93"/>
      <c r="D216" s="97"/>
      <c r="E216" s="111"/>
      <c r="F216" s="111"/>
      <c r="G216" s="85"/>
      <c r="H216" s="17" t="s">
        <v>454</v>
      </c>
      <c r="I216" s="26">
        <v>27</v>
      </c>
      <c r="J216" s="18">
        <v>5</v>
      </c>
      <c r="K216" s="15">
        <v>2</v>
      </c>
      <c r="L216" s="91" t="s">
        <v>870</v>
      </c>
      <c r="M216" s="92" t="s">
        <v>347</v>
      </c>
      <c r="N216" s="92" t="s">
        <v>350</v>
      </c>
      <c r="O216" s="92" t="s">
        <v>871</v>
      </c>
      <c r="P216" s="5">
        <v>240</v>
      </c>
      <c r="Q216" s="197">
        <f>6829.2+211.2</f>
        <v>7040.4</v>
      </c>
      <c r="R216" s="197">
        <v>0</v>
      </c>
      <c r="S216" s="197">
        <v>0</v>
      </c>
    </row>
    <row r="217" spans="1:19" ht="39.75" customHeight="1">
      <c r="A217" s="95"/>
      <c r="B217" s="94"/>
      <c r="C217" s="93"/>
      <c r="D217" s="97"/>
      <c r="E217" s="111"/>
      <c r="F217" s="111"/>
      <c r="G217" s="85"/>
      <c r="H217" s="17" t="s">
        <v>778</v>
      </c>
      <c r="I217" s="26">
        <v>27</v>
      </c>
      <c r="J217" s="18">
        <v>5</v>
      </c>
      <c r="K217" s="15">
        <v>2</v>
      </c>
      <c r="L217" s="91" t="s">
        <v>777</v>
      </c>
      <c r="M217" s="92" t="s">
        <v>347</v>
      </c>
      <c r="N217" s="92" t="s">
        <v>357</v>
      </c>
      <c r="O217" s="92" t="s">
        <v>392</v>
      </c>
      <c r="P217" s="5"/>
      <c r="Q217" s="197">
        <f>Q218</f>
        <v>21968.6</v>
      </c>
      <c r="R217" s="197">
        <f>R218</f>
        <v>10450.4</v>
      </c>
      <c r="S217" s="197">
        <f>S218</f>
        <v>500</v>
      </c>
    </row>
    <row r="218" spans="1:19" ht="39.75" customHeight="1">
      <c r="A218" s="95"/>
      <c r="B218" s="94"/>
      <c r="C218" s="93"/>
      <c r="D218" s="97"/>
      <c r="E218" s="111"/>
      <c r="F218" s="111"/>
      <c r="G218" s="85"/>
      <c r="H218" s="17" t="s">
        <v>623</v>
      </c>
      <c r="I218" s="26">
        <v>27</v>
      </c>
      <c r="J218" s="18">
        <v>5</v>
      </c>
      <c r="K218" s="15">
        <v>2</v>
      </c>
      <c r="L218" s="91" t="s">
        <v>777</v>
      </c>
      <c r="M218" s="92" t="s">
        <v>347</v>
      </c>
      <c r="N218" s="92" t="s">
        <v>348</v>
      </c>
      <c r="O218" s="92" t="s">
        <v>392</v>
      </c>
      <c r="P218" s="5"/>
      <c r="Q218" s="197">
        <f>Q219+Q221+Q223</f>
        <v>21968.6</v>
      </c>
      <c r="R218" s="197">
        <f>R219+R221+R223</f>
        <v>10450.4</v>
      </c>
      <c r="S218" s="197">
        <f>S219+S221+S223</f>
        <v>500</v>
      </c>
    </row>
    <row r="219" spans="1:19" ht="27" customHeight="1">
      <c r="A219" s="95"/>
      <c r="B219" s="94"/>
      <c r="C219" s="93"/>
      <c r="D219" s="97"/>
      <c r="E219" s="111"/>
      <c r="F219" s="111"/>
      <c r="G219" s="85"/>
      <c r="H219" s="17" t="s">
        <v>29</v>
      </c>
      <c r="I219" s="26">
        <v>27</v>
      </c>
      <c r="J219" s="18">
        <v>5</v>
      </c>
      <c r="K219" s="15">
        <v>2</v>
      </c>
      <c r="L219" s="91" t="s">
        <v>777</v>
      </c>
      <c r="M219" s="92" t="s">
        <v>347</v>
      </c>
      <c r="N219" s="92" t="s">
        <v>348</v>
      </c>
      <c r="O219" s="92" t="s">
        <v>28</v>
      </c>
      <c r="P219" s="5"/>
      <c r="Q219" s="197">
        <f>Q220</f>
        <v>0</v>
      </c>
      <c r="R219" s="197">
        <f>R220</f>
        <v>0</v>
      </c>
      <c r="S219" s="197">
        <f>S220</f>
        <v>500</v>
      </c>
    </row>
    <row r="220" spans="1:19" ht="22.5" customHeight="1">
      <c r="A220" s="95"/>
      <c r="B220" s="94"/>
      <c r="C220" s="93"/>
      <c r="D220" s="97"/>
      <c r="E220" s="111"/>
      <c r="F220" s="111"/>
      <c r="G220" s="85"/>
      <c r="H220" s="17" t="s">
        <v>454</v>
      </c>
      <c r="I220" s="26">
        <v>27</v>
      </c>
      <c r="J220" s="18">
        <v>5</v>
      </c>
      <c r="K220" s="15">
        <v>2</v>
      </c>
      <c r="L220" s="91" t="s">
        <v>777</v>
      </c>
      <c r="M220" s="92" t="s">
        <v>347</v>
      </c>
      <c r="N220" s="92" t="s">
        <v>348</v>
      </c>
      <c r="O220" s="92" t="s">
        <v>28</v>
      </c>
      <c r="P220" s="5">
        <v>240</v>
      </c>
      <c r="Q220" s="197">
        <v>0</v>
      </c>
      <c r="R220" s="197">
        <v>0</v>
      </c>
      <c r="S220" s="197">
        <v>500</v>
      </c>
    </row>
    <row r="221" spans="1:19" ht="22.5" customHeight="1">
      <c r="A221" s="95"/>
      <c r="B221" s="94"/>
      <c r="C221" s="93"/>
      <c r="D221" s="97"/>
      <c r="E221" s="111"/>
      <c r="F221" s="111"/>
      <c r="G221" s="85"/>
      <c r="H221" s="17" t="s">
        <v>625</v>
      </c>
      <c r="I221" s="26">
        <v>27</v>
      </c>
      <c r="J221" s="18">
        <v>5</v>
      </c>
      <c r="K221" s="15">
        <v>2</v>
      </c>
      <c r="L221" s="91" t="s">
        <v>777</v>
      </c>
      <c r="M221" s="92" t="s">
        <v>347</v>
      </c>
      <c r="N221" s="92" t="s">
        <v>348</v>
      </c>
      <c r="O221" s="92" t="s">
        <v>624</v>
      </c>
      <c r="P221" s="5"/>
      <c r="Q221" s="197">
        <f>Q222</f>
        <v>21968.6</v>
      </c>
      <c r="R221" s="197">
        <f>R222</f>
        <v>0</v>
      </c>
      <c r="S221" s="197">
        <f>S222</f>
        <v>0</v>
      </c>
    </row>
    <row r="222" spans="1:19" ht="22.5" customHeight="1">
      <c r="A222" s="95"/>
      <c r="B222" s="94"/>
      <c r="C222" s="93"/>
      <c r="D222" s="97"/>
      <c r="E222" s="111"/>
      <c r="F222" s="111"/>
      <c r="G222" s="85"/>
      <c r="H222" s="17" t="s">
        <v>454</v>
      </c>
      <c r="I222" s="26">
        <v>27</v>
      </c>
      <c r="J222" s="18">
        <v>5</v>
      </c>
      <c r="K222" s="15">
        <v>2</v>
      </c>
      <c r="L222" s="91" t="s">
        <v>777</v>
      </c>
      <c r="M222" s="92" t="s">
        <v>347</v>
      </c>
      <c r="N222" s="92" t="s">
        <v>348</v>
      </c>
      <c r="O222" s="92" t="s">
        <v>624</v>
      </c>
      <c r="P222" s="5">
        <v>240</v>
      </c>
      <c r="Q222" s="197">
        <f>20000+1968.6</f>
        <v>21968.6</v>
      </c>
      <c r="R222" s="197">
        <v>0</v>
      </c>
      <c r="S222" s="197">
        <v>0</v>
      </c>
    </row>
    <row r="223" spans="1:19" ht="35.25" customHeight="1">
      <c r="A223" s="95"/>
      <c r="B223" s="94"/>
      <c r="C223" s="93"/>
      <c r="D223" s="97"/>
      <c r="E223" s="111"/>
      <c r="F223" s="111"/>
      <c r="G223" s="85"/>
      <c r="H223" s="112" t="s">
        <v>700</v>
      </c>
      <c r="I223" s="26">
        <v>27</v>
      </c>
      <c r="J223" s="18">
        <v>5</v>
      </c>
      <c r="K223" s="15">
        <v>2</v>
      </c>
      <c r="L223" s="91" t="s">
        <v>777</v>
      </c>
      <c r="M223" s="92" t="s">
        <v>347</v>
      </c>
      <c r="N223" s="92" t="s">
        <v>862</v>
      </c>
      <c r="O223" s="92" t="s">
        <v>392</v>
      </c>
      <c r="P223" s="5"/>
      <c r="Q223" s="197">
        <f aca="true" t="shared" si="24" ref="Q223:S224">Q224</f>
        <v>0</v>
      </c>
      <c r="R223" s="197">
        <f t="shared" si="24"/>
        <v>10450.4</v>
      </c>
      <c r="S223" s="197">
        <f t="shared" si="24"/>
        <v>0</v>
      </c>
    </row>
    <row r="224" spans="1:19" ht="22.5" customHeight="1">
      <c r="A224" s="95"/>
      <c r="B224" s="94"/>
      <c r="C224" s="93"/>
      <c r="D224" s="97"/>
      <c r="E224" s="111"/>
      <c r="F224" s="111"/>
      <c r="G224" s="85"/>
      <c r="H224" s="17" t="s">
        <v>412</v>
      </c>
      <c r="I224" s="26">
        <v>27</v>
      </c>
      <c r="J224" s="18">
        <v>5</v>
      </c>
      <c r="K224" s="15">
        <v>2</v>
      </c>
      <c r="L224" s="91" t="s">
        <v>777</v>
      </c>
      <c r="M224" s="92" t="s">
        <v>347</v>
      </c>
      <c r="N224" s="92" t="s">
        <v>862</v>
      </c>
      <c r="O224" s="92" t="s">
        <v>603</v>
      </c>
      <c r="P224" s="5"/>
      <c r="Q224" s="197">
        <f t="shared" si="24"/>
        <v>0</v>
      </c>
      <c r="R224" s="197">
        <f t="shared" si="24"/>
        <v>10450.4</v>
      </c>
      <c r="S224" s="197">
        <f t="shared" si="24"/>
        <v>0</v>
      </c>
    </row>
    <row r="225" spans="1:19" ht="22.5" customHeight="1">
      <c r="A225" s="95"/>
      <c r="B225" s="94"/>
      <c r="C225" s="93"/>
      <c r="D225" s="97"/>
      <c r="E225" s="111"/>
      <c r="F225" s="111"/>
      <c r="G225" s="85"/>
      <c r="H225" s="17" t="s">
        <v>454</v>
      </c>
      <c r="I225" s="26">
        <v>27</v>
      </c>
      <c r="J225" s="18">
        <v>5</v>
      </c>
      <c r="K225" s="15">
        <v>2</v>
      </c>
      <c r="L225" s="91" t="s">
        <v>777</v>
      </c>
      <c r="M225" s="92" t="s">
        <v>347</v>
      </c>
      <c r="N225" s="92" t="s">
        <v>862</v>
      </c>
      <c r="O225" s="92" t="s">
        <v>603</v>
      </c>
      <c r="P225" s="5">
        <v>240</v>
      </c>
      <c r="Q225" s="197">
        <f>17883.5-17883.5</f>
        <v>0</v>
      </c>
      <c r="R225" s="197">
        <v>10450.4</v>
      </c>
      <c r="S225" s="197">
        <f>17883.5-17883.5</f>
        <v>0</v>
      </c>
    </row>
    <row r="226" spans="1:19" ht="42" customHeight="1">
      <c r="A226" s="95"/>
      <c r="B226" s="94"/>
      <c r="C226" s="93"/>
      <c r="D226" s="97"/>
      <c r="E226" s="111"/>
      <c r="F226" s="111"/>
      <c r="G226" s="85"/>
      <c r="H226" s="10" t="s">
        <v>53</v>
      </c>
      <c r="I226" s="5">
        <v>27</v>
      </c>
      <c r="J226" s="18">
        <v>5</v>
      </c>
      <c r="K226" s="15">
        <v>2</v>
      </c>
      <c r="L226" s="91" t="s">
        <v>559</v>
      </c>
      <c r="M226" s="92" t="s">
        <v>347</v>
      </c>
      <c r="N226" s="92" t="s">
        <v>357</v>
      </c>
      <c r="O226" s="92" t="s">
        <v>392</v>
      </c>
      <c r="P226" s="5"/>
      <c r="Q226" s="197">
        <f>Q227</f>
        <v>140</v>
      </c>
      <c r="R226" s="197">
        <f aca="true" t="shared" si="25" ref="R226:S228">R227</f>
        <v>0</v>
      </c>
      <c r="S226" s="197">
        <f t="shared" si="25"/>
        <v>0</v>
      </c>
    </row>
    <row r="227" spans="1:19" ht="40.5" customHeight="1">
      <c r="A227" s="95"/>
      <c r="B227" s="94"/>
      <c r="C227" s="93"/>
      <c r="D227" s="97"/>
      <c r="E227" s="111"/>
      <c r="F227" s="111"/>
      <c r="G227" s="85"/>
      <c r="H227" s="4" t="s">
        <v>54</v>
      </c>
      <c r="I227" s="26">
        <v>27</v>
      </c>
      <c r="J227" s="18">
        <v>5</v>
      </c>
      <c r="K227" s="15">
        <v>2</v>
      </c>
      <c r="L227" s="91" t="s">
        <v>559</v>
      </c>
      <c r="M227" s="92" t="s">
        <v>347</v>
      </c>
      <c r="N227" s="92" t="s">
        <v>348</v>
      </c>
      <c r="O227" s="92" t="s">
        <v>392</v>
      </c>
      <c r="P227" s="5"/>
      <c r="Q227" s="197">
        <f>Q228</f>
        <v>140</v>
      </c>
      <c r="R227" s="197">
        <f t="shared" si="25"/>
        <v>0</v>
      </c>
      <c r="S227" s="197">
        <f t="shared" si="25"/>
        <v>0</v>
      </c>
    </row>
    <row r="228" spans="1:19" ht="21" customHeight="1">
      <c r="A228" s="95"/>
      <c r="B228" s="94"/>
      <c r="C228" s="93"/>
      <c r="D228" s="97"/>
      <c r="E228" s="111"/>
      <c r="F228" s="111"/>
      <c r="G228" s="85"/>
      <c r="H228" s="17" t="s">
        <v>878</v>
      </c>
      <c r="I228" s="26">
        <v>27</v>
      </c>
      <c r="J228" s="18">
        <v>5</v>
      </c>
      <c r="K228" s="15">
        <v>2</v>
      </c>
      <c r="L228" s="91" t="s">
        <v>559</v>
      </c>
      <c r="M228" s="92" t="s">
        <v>347</v>
      </c>
      <c r="N228" s="92" t="s">
        <v>348</v>
      </c>
      <c r="O228" s="92" t="s">
        <v>473</v>
      </c>
      <c r="P228" s="5"/>
      <c r="Q228" s="197">
        <f>Q229</f>
        <v>140</v>
      </c>
      <c r="R228" s="197">
        <f t="shared" si="25"/>
        <v>0</v>
      </c>
      <c r="S228" s="197">
        <f t="shared" si="25"/>
        <v>0</v>
      </c>
    </row>
    <row r="229" spans="1:19" ht="21" customHeight="1">
      <c r="A229" s="95"/>
      <c r="B229" s="94"/>
      <c r="C229" s="93"/>
      <c r="D229" s="97"/>
      <c r="E229" s="111"/>
      <c r="F229" s="111"/>
      <c r="G229" s="85"/>
      <c r="H229" s="17" t="s">
        <v>397</v>
      </c>
      <c r="I229" s="26">
        <v>27</v>
      </c>
      <c r="J229" s="18">
        <v>5</v>
      </c>
      <c r="K229" s="15">
        <v>2</v>
      </c>
      <c r="L229" s="91" t="s">
        <v>559</v>
      </c>
      <c r="M229" s="92" t="s">
        <v>347</v>
      </c>
      <c r="N229" s="92" t="s">
        <v>348</v>
      </c>
      <c r="O229" s="92" t="s">
        <v>473</v>
      </c>
      <c r="P229" s="5">
        <v>540</v>
      </c>
      <c r="Q229" s="197">
        <f>42+98</f>
        <v>140</v>
      </c>
      <c r="R229" s="197">
        <v>0</v>
      </c>
      <c r="S229" s="197">
        <v>0</v>
      </c>
    </row>
    <row r="230" spans="1:19" s="171" customFormat="1" ht="26.25" customHeight="1">
      <c r="A230" s="135"/>
      <c r="B230" s="136"/>
      <c r="C230" s="135"/>
      <c r="D230" s="143"/>
      <c r="E230" s="144"/>
      <c r="F230" s="144"/>
      <c r="G230" s="129"/>
      <c r="H230" s="208" t="s">
        <v>38</v>
      </c>
      <c r="I230" s="219">
        <v>27</v>
      </c>
      <c r="J230" s="140">
        <v>5</v>
      </c>
      <c r="K230" s="132">
        <v>3</v>
      </c>
      <c r="L230" s="133"/>
      <c r="M230" s="134"/>
      <c r="N230" s="134"/>
      <c r="O230" s="134"/>
      <c r="P230" s="139"/>
      <c r="Q230" s="198">
        <f>Q231</f>
        <v>250.8</v>
      </c>
      <c r="R230" s="198">
        <f>R231</f>
        <v>203.4</v>
      </c>
      <c r="S230" s="198">
        <f>S235</f>
        <v>203.4</v>
      </c>
    </row>
    <row r="231" spans="1:19" ht="34.5" customHeight="1">
      <c r="A231" s="93"/>
      <c r="B231" s="94"/>
      <c r="C231" s="93"/>
      <c r="D231" s="97"/>
      <c r="E231" s="111"/>
      <c r="F231" s="111"/>
      <c r="G231" s="85"/>
      <c r="H231" s="17" t="s">
        <v>531</v>
      </c>
      <c r="I231" s="5">
        <v>27</v>
      </c>
      <c r="J231" s="18">
        <v>5</v>
      </c>
      <c r="K231" s="15">
        <v>3</v>
      </c>
      <c r="L231" s="91" t="s">
        <v>529</v>
      </c>
      <c r="M231" s="92" t="s">
        <v>347</v>
      </c>
      <c r="N231" s="92" t="s">
        <v>357</v>
      </c>
      <c r="O231" s="92" t="s">
        <v>392</v>
      </c>
      <c r="P231" s="5"/>
      <c r="Q231" s="197">
        <f>Q232</f>
        <v>250.8</v>
      </c>
      <c r="R231" s="197">
        <f>R232</f>
        <v>203.4</v>
      </c>
      <c r="S231" s="197">
        <f>S232</f>
        <v>0</v>
      </c>
    </row>
    <row r="232" spans="1:19" ht="31.5" customHeight="1">
      <c r="A232" s="93"/>
      <c r="B232" s="94"/>
      <c r="C232" s="93"/>
      <c r="D232" s="97"/>
      <c r="E232" s="111"/>
      <c r="F232" s="111"/>
      <c r="G232" s="85"/>
      <c r="H232" s="122" t="s">
        <v>701</v>
      </c>
      <c r="I232" s="5">
        <v>27</v>
      </c>
      <c r="J232" s="18">
        <v>5</v>
      </c>
      <c r="K232" s="15">
        <v>3</v>
      </c>
      <c r="L232" s="91" t="s">
        <v>529</v>
      </c>
      <c r="M232" s="92" t="s">
        <v>347</v>
      </c>
      <c r="N232" s="92" t="s">
        <v>541</v>
      </c>
      <c r="O232" s="92" t="s">
        <v>392</v>
      </c>
      <c r="P232" s="5"/>
      <c r="Q232" s="197">
        <f aca="true" t="shared" si="26" ref="Q232:S233">Q233</f>
        <v>250.8</v>
      </c>
      <c r="R232" s="197">
        <f t="shared" si="26"/>
        <v>203.4</v>
      </c>
      <c r="S232" s="197">
        <f t="shared" si="26"/>
        <v>0</v>
      </c>
    </row>
    <row r="233" spans="1:19" ht="33" customHeight="1">
      <c r="A233" s="93"/>
      <c r="B233" s="94"/>
      <c r="C233" s="93"/>
      <c r="D233" s="97"/>
      <c r="E233" s="111"/>
      <c r="F233" s="111"/>
      <c r="G233" s="85"/>
      <c r="H233" s="17" t="s">
        <v>530</v>
      </c>
      <c r="I233" s="5">
        <v>27</v>
      </c>
      <c r="J233" s="18">
        <v>5</v>
      </c>
      <c r="K233" s="15">
        <v>3</v>
      </c>
      <c r="L233" s="91" t="s">
        <v>529</v>
      </c>
      <c r="M233" s="92" t="s">
        <v>347</v>
      </c>
      <c r="N233" s="92" t="s">
        <v>541</v>
      </c>
      <c r="O233" s="92" t="s">
        <v>542</v>
      </c>
      <c r="P233" s="5"/>
      <c r="Q233" s="197">
        <f t="shared" si="26"/>
        <v>250.8</v>
      </c>
      <c r="R233" s="197">
        <f t="shared" si="26"/>
        <v>203.4</v>
      </c>
      <c r="S233" s="197">
        <f t="shared" si="26"/>
        <v>0</v>
      </c>
    </row>
    <row r="234" spans="1:19" ht="27" customHeight="1">
      <c r="A234" s="93"/>
      <c r="B234" s="94"/>
      <c r="C234" s="93"/>
      <c r="D234" s="97"/>
      <c r="E234" s="111"/>
      <c r="F234" s="111"/>
      <c r="G234" s="85"/>
      <c r="H234" s="17" t="s">
        <v>454</v>
      </c>
      <c r="I234" s="5">
        <v>27</v>
      </c>
      <c r="J234" s="18">
        <v>5</v>
      </c>
      <c r="K234" s="15">
        <v>3</v>
      </c>
      <c r="L234" s="91" t="s">
        <v>529</v>
      </c>
      <c r="M234" s="92" t="s">
        <v>347</v>
      </c>
      <c r="N234" s="92" t="s">
        <v>541</v>
      </c>
      <c r="O234" s="92" t="s">
        <v>542</v>
      </c>
      <c r="P234" s="5">
        <v>240</v>
      </c>
      <c r="Q234" s="197">
        <f>284.3-33.5</f>
        <v>250.8</v>
      </c>
      <c r="R234" s="197">
        <v>203.4</v>
      </c>
      <c r="S234" s="197">
        <v>0</v>
      </c>
    </row>
    <row r="235" spans="1:19" ht="34.5" customHeight="1">
      <c r="A235" s="93"/>
      <c r="B235" s="94"/>
      <c r="C235" s="93"/>
      <c r="D235" s="97"/>
      <c r="E235" s="111"/>
      <c r="F235" s="111"/>
      <c r="G235" s="85"/>
      <c r="H235" s="17" t="s">
        <v>645</v>
      </c>
      <c r="I235" s="5">
        <v>27</v>
      </c>
      <c r="J235" s="18">
        <v>5</v>
      </c>
      <c r="K235" s="15">
        <v>3</v>
      </c>
      <c r="L235" s="91" t="s">
        <v>644</v>
      </c>
      <c r="M235" s="92" t="s">
        <v>347</v>
      </c>
      <c r="N235" s="92" t="s">
        <v>357</v>
      </c>
      <c r="O235" s="92" t="s">
        <v>392</v>
      </c>
      <c r="P235" s="5"/>
      <c r="Q235" s="197">
        <f>Q236</f>
        <v>0</v>
      </c>
      <c r="R235" s="197">
        <f>R236</f>
        <v>0</v>
      </c>
      <c r="S235" s="197">
        <f>S236</f>
        <v>203.4</v>
      </c>
    </row>
    <row r="236" spans="1:19" ht="31.5" customHeight="1">
      <c r="A236" s="93"/>
      <c r="B236" s="94"/>
      <c r="C236" s="93"/>
      <c r="D236" s="97"/>
      <c r="E236" s="111"/>
      <c r="F236" s="111"/>
      <c r="G236" s="85"/>
      <c r="H236" s="122" t="s">
        <v>701</v>
      </c>
      <c r="I236" s="5">
        <v>27</v>
      </c>
      <c r="J236" s="18">
        <v>5</v>
      </c>
      <c r="K236" s="15">
        <v>3</v>
      </c>
      <c r="L236" s="91" t="s">
        <v>644</v>
      </c>
      <c r="M236" s="92" t="s">
        <v>347</v>
      </c>
      <c r="N236" s="92" t="s">
        <v>541</v>
      </c>
      <c r="O236" s="92" t="s">
        <v>392</v>
      </c>
      <c r="P236" s="5"/>
      <c r="Q236" s="197">
        <f aca="true" t="shared" si="27" ref="Q236:S237">Q237</f>
        <v>0</v>
      </c>
      <c r="R236" s="197">
        <f t="shared" si="27"/>
        <v>0</v>
      </c>
      <c r="S236" s="197">
        <f t="shared" si="27"/>
        <v>203.4</v>
      </c>
    </row>
    <row r="237" spans="1:19" ht="33" customHeight="1">
      <c r="A237" s="93"/>
      <c r="B237" s="94"/>
      <c r="C237" s="93"/>
      <c r="D237" s="97"/>
      <c r="E237" s="111"/>
      <c r="F237" s="111"/>
      <c r="G237" s="85"/>
      <c r="H237" s="17" t="s">
        <v>530</v>
      </c>
      <c r="I237" s="5">
        <v>27</v>
      </c>
      <c r="J237" s="18">
        <v>5</v>
      </c>
      <c r="K237" s="15">
        <v>3</v>
      </c>
      <c r="L237" s="91" t="s">
        <v>644</v>
      </c>
      <c r="M237" s="92" t="s">
        <v>347</v>
      </c>
      <c r="N237" s="92" t="s">
        <v>541</v>
      </c>
      <c r="O237" s="92" t="s">
        <v>542</v>
      </c>
      <c r="P237" s="5"/>
      <c r="Q237" s="197">
        <f t="shared" si="27"/>
        <v>0</v>
      </c>
      <c r="R237" s="197">
        <f t="shared" si="27"/>
        <v>0</v>
      </c>
      <c r="S237" s="197">
        <f t="shared" si="27"/>
        <v>203.4</v>
      </c>
    </row>
    <row r="238" spans="1:19" ht="27" customHeight="1">
      <c r="A238" s="93"/>
      <c r="B238" s="94"/>
      <c r="C238" s="93"/>
      <c r="D238" s="97"/>
      <c r="E238" s="111"/>
      <c r="F238" s="111"/>
      <c r="G238" s="85"/>
      <c r="H238" s="17" t="s">
        <v>454</v>
      </c>
      <c r="I238" s="5">
        <v>27</v>
      </c>
      <c r="J238" s="18">
        <v>5</v>
      </c>
      <c r="K238" s="15">
        <v>3</v>
      </c>
      <c r="L238" s="91" t="s">
        <v>644</v>
      </c>
      <c r="M238" s="92" t="s">
        <v>347</v>
      </c>
      <c r="N238" s="92" t="s">
        <v>541</v>
      </c>
      <c r="O238" s="92" t="s">
        <v>542</v>
      </c>
      <c r="P238" s="5">
        <v>240</v>
      </c>
      <c r="Q238" s="197">
        <v>0</v>
      </c>
      <c r="R238" s="197">
        <v>0</v>
      </c>
      <c r="S238" s="197">
        <v>203.4</v>
      </c>
    </row>
    <row r="239" spans="1:19" s="171" customFormat="1" ht="24.75" customHeight="1">
      <c r="A239" s="135"/>
      <c r="B239" s="136"/>
      <c r="C239" s="135"/>
      <c r="D239" s="143"/>
      <c r="E239" s="144"/>
      <c r="F239" s="144"/>
      <c r="G239" s="129"/>
      <c r="H239" s="220" t="s">
        <v>396</v>
      </c>
      <c r="I239" s="221">
        <v>27</v>
      </c>
      <c r="J239" s="140">
        <v>5</v>
      </c>
      <c r="K239" s="132">
        <v>5</v>
      </c>
      <c r="L239" s="133"/>
      <c r="M239" s="134"/>
      <c r="N239" s="134"/>
      <c r="O239" s="134"/>
      <c r="P239" s="139"/>
      <c r="Q239" s="198">
        <f aca="true" t="shared" si="28" ref="Q239:S240">Q240</f>
        <v>6580.8</v>
      </c>
      <c r="R239" s="198">
        <f t="shared" si="28"/>
        <v>350.1</v>
      </c>
      <c r="S239" s="198">
        <f t="shared" si="28"/>
        <v>350.1</v>
      </c>
    </row>
    <row r="240" spans="1:19" s="171" customFormat="1" ht="35.25" customHeight="1">
      <c r="A240" s="135"/>
      <c r="B240" s="136"/>
      <c r="C240" s="135"/>
      <c r="D240" s="143"/>
      <c r="E240" s="144"/>
      <c r="F240" s="144"/>
      <c r="G240" s="129"/>
      <c r="H240" s="10" t="s">
        <v>53</v>
      </c>
      <c r="I240" s="5">
        <v>27</v>
      </c>
      <c r="J240" s="18">
        <v>5</v>
      </c>
      <c r="K240" s="15">
        <v>5</v>
      </c>
      <c r="L240" s="91" t="s">
        <v>559</v>
      </c>
      <c r="M240" s="92" t="s">
        <v>347</v>
      </c>
      <c r="N240" s="92" t="s">
        <v>357</v>
      </c>
      <c r="O240" s="92" t="s">
        <v>392</v>
      </c>
      <c r="P240" s="139"/>
      <c r="Q240" s="198">
        <f t="shared" si="28"/>
        <v>6580.8</v>
      </c>
      <c r="R240" s="198">
        <f t="shared" si="28"/>
        <v>350.1</v>
      </c>
      <c r="S240" s="198">
        <f t="shared" si="28"/>
        <v>350.1</v>
      </c>
    </row>
    <row r="241" spans="1:19" s="171" customFormat="1" ht="32.25" customHeight="1">
      <c r="A241" s="135"/>
      <c r="B241" s="136"/>
      <c r="C241" s="135"/>
      <c r="D241" s="143"/>
      <c r="E241" s="144"/>
      <c r="F241" s="144"/>
      <c r="G241" s="129"/>
      <c r="H241" s="10" t="s">
        <v>54</v>
      </c>
      <c r="I241" s="5">
        <v>27</v>
      </c>
      <c r="J241" s="18">
        <v>5</v>
      </c>
      <c r="K241" s="15">
        <v>5</v>
      </c>
      <c r="L241" s="91" t="s">
        <v>559</v>
      </c>
      <c r="M241" s="92" t="s">
        <v>347</v>
      </c>
      <c r="N241" s="92" t="s">
        <v>348</v>
      </c>
      <c r="O241" s="92" t="s">
        <v>392</v>
      </c>
      <c r="P241" s="139"/>
      <c r="Q241" s="198">
        <f>Q242+Q245+Q248</f>
        <v>6580.8</v>
      </c>
      <c r="R241" s="198">
        <f>R242+R245+R248</f>
        <v>350.1</v>
      </c>
      <c r="S241" s="198">
        <f>S242+S245+S248</f>
        <v>350.1</v>
      </c>
    </row>
    <row r="242" spans="1:19" ht="48" customHeight="1">
      <c r="A242" s="95"/>
      <c r="B242" s="94"/>
      <c r="C242" s="93"/>
      <c r="D242" s="97"/>
      <c r="E242" s="111"/>
      <c r="F242" s="111"/>
      <c r="G242" s="85"/>
      <c r="H242" s="112" t="s">
        <v>24</v>
      </c>
      <c r="I242" s="7">
        <v>27</v>
      </c>
      <c r="J242" s="18">
        <v>5</v>
      </c>
      <c r="K242" s="15">
        <v>5</v>
      </c>
      <c r="L242" s="91" t="s">
        <v>559</v>
      </c>
      <c r="M242" s="92" t="s">
        <v>347</v>
      </c>
      <c r="N242" s="92" t="s">
        <v>348</v>
      </c>
      <c r="O242" s="92" t="s">
        <v>402</v>
      </c>
      <c r="P242" s="5"/>
      <c r="Q242" s="197">
        <f>Q243+Q244</f>
        <v>1890</v>
      </c>
      <c r="R242" s="197">
        <f>R244</f>
        <v>0</v>
      </c>
      <c r="S242" s="197">
        <f>S244</f>
        <v>0</v>
      </c>
    </row>
    <row r="243" spans="1:19" ht="28.5" customHeight="1">
      <c r="A243" s="95"/>
      <c r="B243" s="94"/>
      <c r="C243" s="93"/>
      <c r="D243" s="97"/>
      <c r="E243" s="111"/>
      <c r="F243" s="111"/>
      <c r="G243" s="85"/>
      <c r="H243" s="17" t="s">
        <v>454</v>
      </c>
      <c r="I243" s="7">
        <v>27</v>
      </c>
      <c r="J243" s="18">
        <v>5</v>
      </c>
      <c r="K243" s="15">
        <v>5</v>
      </c>
      <c r="L243" s="91" t="s">
        <v>559</v>
      </c>
      <c r="M243" s="92" t="s">
        <v>347</v>
      </c>
      <c r="N243" s="92" t="s">
        <v>348</v>
      </c>
      <c r="O243" s="92" t="s">
        <v>402</v>
      </c>
      <c r="P243" s="5">
        <v>240</v>
      </c>
      <c r="Q243" s="197">
        <v>11.3</v>
      </c>
      <c r="R243" s="197">
        <v>0</v>
      </c>
      <c r="S243" s="197">
        <v>0</v>
      </c>
    </row>
    <row r="244" spans="1:19" ht="26.25" customHeight="1">
      <c r="A244" s="95"/>
      <c r="B244" s="94"/>
      <c r="C244" s="93"/>
      <c r="D244" s="97"/>
      <c r="E244" s="111"/>
      <c r="F244" s="111"/>
      <c r="G244" s="85"/>
      <c r="H244" s="112" t="s">
        <v>397</v>
      </c>
      <c r="I244" s="7">
        <v>27</v>
      </c>
      <c r="J244" s="18">
        <v>5</v>
      </c>
      <c r="K244" s="15">
        <v>5</v>
      </c>
      <c r="L244" s="91" t="s">
        <v>559</v>
      </c>
      <c r="M244" s="92" t="s">
        <v>347</v>
      </c>
      <c r="N244" s="92" t="s">
        <v>348</v>
      </c>
      <c r="O244" s="92" t="s">
        <v>402</v>
      </c>
      <c r="P244" s="5">
        <v>540</v>
      </c>
      <c r="Q244" s="195">
        <f>1347.7+15+516</f>
        <v>1878.7</v>
      </c>
      <c r="R244" s="195">
        <v>0</v>
      </c>
      <c r="S244" s="195">
        <v>0</v>
      </c>
    </row>
    <row r="245" spans="1:19" ht="39" customHeight="1">
      <c r="A245" s="95"/>
      <c r="B245" s="94"/>
      <c r="C245" s="93"/>
      <c r="D245" s="97"/>
      <c r="E245" s="111"/>
      <c r="F245" s="111"/>
      <c r="G245" s="85"/>
      <c r="H245" s="112" t="s">
        <v>26</v>
      </c>
      <c r="I245" s="7">
        <v>27</v>
      </c>
      <c r="J245" s="18">
        <v>5</v>
      </c>
      <c r="K245" s="15">
        <v>5</v>
      </c>
      <c r="L245" s="91" t="s">
        <v>559</v>
      </c>
      <c r="M245" s="92" t="s">
        <v>347</v>
      </c>
      <c r="N245" s="92" t="s">
        <v>348</v>
      </c>
      <c r="O245" s="92" t="s">
        <v>25</v>
      </c>
      <c r="P245" s="5"/>
      <c r="Q245" s="197">
        <f>Q247+Q246</f>
        <v>4340.7</v>
      </c>
      <c r="R245" s="197">
        <f>R247+R246</f>
        <v>0</v>
      </c>
      <c r="S245" s="197">
        <f>S247+S246</f>
        <v>0</v>
      </c>
    </row>
    <row r="246" spans="1:19" ht="39" customHeight="1">
      <c r="A246" s="95"/>
      <c r="B246" s="94"/>
      <c r="C246" s="93"/>
      <c r="D246" s="97"/>
      <c r="E246" s="111"/>
      <c r="F246" s="111"/>
      <c r="G246" s="85"/>
      <c r="H246" s="17" t="s">
        <v>454</v>
      </c>
      <c r="I246" s="7">
        <v>27</v>
      </c>
      <c r="J246" s="18">
        <v>5</v>
      </c>
      <c r="K246" s="15">
        <v>5</v>
      </c>
      <c r="L246" s="91" t="s">
        <v>559</v>
      </c>
      <c r="M246" s="92" t="s">
        <v>347</v>
      </c>
      <c r="N246" s="92" t="s">
        <v>348</v>
      </c>
      <c r="O246" s="92" t="s">
        <v>25</v>
      </c>
      <c r="P246" s="5">
        <v>240</v>
      </c>
      <c r="Q246" s="197">
        <f>934.4-191+0.1-213.1-506+1000-1000+142.8</f>
        <v>167.2000000000001</v>
      </c>
      <c r="R246" s="197">
        <v>0</v>
      </c>
      <c r="S246" s="197">
        <v>0</v>
      </c>
    </row>
    <row r="247" spans="1:19" ht="26.25" customHeight="1">
      <c r="A247" s="95"/>
      <c r="B247" s="94"/>
      <c r="C247" s="93"/>
      <c r="D247" s="97"/>
      <c r="E247" s="111"/>
      <c r="F247" s="111"/>
      <c r="G247" s="85"/>
      <c r="H247" s="112" t="s">
        <v>397</v>
      </c>
      <c r="I247" s="7">
        <v>27</v>
      </c>
      <c r="J247" s="18">
        <v>5</v>
      </c>
      <c r="K247" s="15">
        <v>5</v>
      </c>
      <c r="L247" s="91" t="s">
        <v>559</v>
      </c>
      <c r="M247" s="92" t="s">
        <v>347</v>
      </c>
      <c r="N247" s="92" t="s">
        <v>348</v>
      </c>
      <c r="O247" s="92" t="s">
        <v>25</v>
      </c>
      <c r="P247" s="5">
        <v>540</v>
      </c>
      <c r="Q247" s="195">
        <f>206.6+191-0.1+213.1+506+579.7+1000+402.2+1075</f>
        <v>4173.5</v>
      </c>
      <c r="R247" s="195">
        <v>0</v>
      </c>
      <c r="S247" s="195">
        <v>0</v>
      </c>
    </row>
    <row r="248" spans="1:19" ht="28.5" customHeight="1">
      <c r="A248" s="95"/>
      <c r="B248" s="94"/>
      <c r="C248" s="93"/>
      <c r="D248" s="97"/>
      <c r="E248" s="111"/>
      <c r="F248" s="111"/>
      <c r="G248" s="85"/>
      <c r="H248" s="4" t="s">
        <v>27</v>
      </c>
      <c r="I248" s="7">
        <v>27</v>
      </c>
      <c r="J248" s="18">
        <v>5</v>
      </c>
      <c r="K248" s="15">
        <v>5</v>
      </c>
      <c r="L248" s="91" t="s">
        <v>559</v>
      </c>
      <c r="M248" s="92" t="s">
        <v>347</v>
      </c>
      <c r="N248" s="92" t="s">
        <v>348</v>
      </c>
      <c r="O248" s="92" t="s">
        <v>112</v>
      </c>
      <c r="P248" s="5"/>
      <c r="Q248" s="197">
        <f>Q249</f>
        <v>350.1</v>
      </c>
      <c r="R248" s="197">
        <f>R249</f>
        <v>350.1</v>
      </c>
      <c r="S248" s="197">
        <f>S249</f>
        <v>350.1</v>
      </c>
    </row>
    <row r="249" spans="1:19" ht="28.5" customHeight="1">
      <c r="A249" s="95"/>
      <c r="B249" s="94"/>
      <c r="C249" s="93"/>
      <c r="D249" s="97"/>
      <c r="E249" s="111"/>
      <c r="F249" s="111"/>
      <c r="G249" s="85"/>
      <c r="H249" s="113" t="s">
        <v>454</v>
      </c>
      <c r="I249" s="5">
        <v>27</v>
      </c>
      <c r="J249" s="18">
        <v>5</v>
      </c>
      <c r="K249" s="15">
        <v>5</v>
      </c>
      <c r="L249" s="91" t="s">
        <v>559</v>
      </c>
      <c r="M249" s="92" t="s">
        <v>347</v>
      </c>
      <c r="N249" s="92" t="s">
        <v>348</v>
      </c>
      <c r="O249" s="92" t="s">
        <v>112</v>
      </c>
      <c r="P249" s="5">
        <v>240</v>
      </c>
      <c r="Q249" s="197">
        <v>350.1</v>
      </c>
      <c r="R249" s="197">
        <v>350.1</v>
      </c>
      <c r="S249" s="197">
        <v>350.1</v>
      </c>
    </row>
    <row r="250" spans="1:19" s="171" customFormat="1" ht="24" customHeight="1">
      <c r="A250" s="135"/>
      <c r="B250" s="136"/>
      <c r="C250" s="146"/>
      <c r="D250" s="143"/>
      <c r="E250" s="147"/>
      <c r="F250" s="147"/>
      <c r="G250" s="148">
        <v>611</v>
      </c>
      <c r="H250" s="142" t="s">
        <v>336</v>
      </c>
      <c r="I250" s="145">
        <v>27</v>
      </c>
      <c r="J250" s="149">
        <v>6</v>
      </c>
      <c r="K250" s="132"/>
      <c r="L250" s="133"/>
      <c r="M250" s="134"/>
      <c r="N250" s="134"/>
      <c r="O250" s="134"/>
      <c r="P250" s="139"/>
      <c r="Q250" s="198">
        <f>Q251+Q256</f>
        <v>761.4</v>
      </c>
      <c r="R250" s="198">
        <f>R251+R256</f>
        <v>9552.699999999999</v>
      </c>
      <c r="S250" s="198">
        <f>S251+S256</f>
        <v>642.8</v>
      </c>
    </row>
    <row r="251" spans="1:19" s="171" customFormat="1" ht="24" customHeight="1">
      <c r="A251" s="135"/>
      <c r="B251" s="136"/>
      <c r="C251" s="146"/>
      <c r="D251" s="143"/>
      <c r="E251" s="147"/>
      <c r="F251" s="147"/>
      <c r="G251" s="148"/>
      <c r="H251" s="142" t="s">
        <v>335</v>
      </c>
      <c r="I251" s="145">
        <v>27</v>
      </c>
      <c r="J251" s="149">
        <v>6</v>
      </c>
      <c r="K251" s="132">
        <v>3</v>
      </c>
      <c r="L251" s="133"/>
      <c r="M251" s="134"/>
      <c r="N251" s="134"/>
      <c r="O251" s="134"/>
      <c r="P251" s="139"/>
      <c r="Q251" s="198">
        <f aca="true" t="shared" si="29" ref="Q251:S254">Q252</f>
        <v>10.4</v>
      </c>
      <c r="R251" s="198">
        <f t="shared" si="29"/>
        <v>10.4</v>
      </c>
      <c r="S251" s="198">
        <f t="shared" si="29"/>
        <v>10.4</v>
      </c>
    </row>
    <row r="252" spans="1:19" ht="38.25" customHeight="1">
      <c r="A252" s="93"/>
      <c r="B252" s="94"/>
      <c r="C252" s="99"/>
      <c r="D252" s="97"/>
      <c r="E252" s="109"/>
      <c r="F252" s="109"/>
      <c r="G252" s="101"/>
      <c r="H252" s="10" t="s">
        <v>53</v>
      </c>
      <c r="I252" s="5">
        <v>27</v>
      </c>
      <c r="J252" s="20">
        <v>6</v>
      </c>
      <c r="K252" s="15">
        <v>3</v>
      </c>
      <c r="L252" s="91" t="s">
        <v>559</v>
      </c>
      <c r="M252" s="92" t="s">
        <v>347</v>
      </c>
      <c r="N252" s="92" t="s">
        <v>357</v>
      </c>
      <c r="O252" s="92" t="s">
        <v>392</v>
      </c>
      <c r="P252" s="5"/>
      <c r="Q252" s="197">
        <f t="shared" si="29"/>
        <v>10.4</v>
      </c>
      <c r="R252" s="197">
        <f t="shared" si="29"/>
        <v>10.4</v>
      </c>
      <c r="S252" s="197">
        <f t="shared" si="29"/>
        <v>10.4</v>
      </c>
    </row>
    <row r="253" spans="1:19" ht="33.75" customHeight="1">
      <c r="A253" s="93"/>
      <c r="B253" s="94"/>
      <c r="C253" s="99"/>
      <c r="D253" s="97"/>
      <c r="E253" s="109"/>
      <c r="F253" s="109"/>
      <c r="G253" s="101"/>
      <c r="H253" s="10" t="s">
        <v>55</v>
      </c>
      <c r="I253" s="5">
        <v>27</v>
      </c>
      <c r="J253" s="20">
        <v>6</v>
      </c>
      <c r="K253" s="15">
        <v>3</v>
      </c>
      <c r="L253" s="91" t="s">
        <v>559</v>
      </c>
      <c r="M253" s="92" t="s">
        <v>347</v>
      </c>
      <c r="N253" s="92" t="s">
        <v>365</v>
      </c>
      <c r="O253" s="92" t="s">
        <v>392</v>
      </c>
      <c r="P253" s="5"/>
      <c r="Q253" s="197">
        <f t="shared" si="29"/>
        <v>10.4</v>
      </c>
      <c r="R253" s="197">
        <f t="shared" si="29"/>
        <v>10.4</v>
      </c>
      <c r="S253" s="197">
        <f t="shared" si="29"/>
        <v>10.4</v>
      </c>
    </row>
    <row r="254" spans="1:19" ht="48" customHeight="1">
      <c r="A254" s="93"/>
      <c r="B254" s="94"/>
      <c r="C254" s="99"/>
      <c r="D254" s="97"/>
      <c r="E254" s="109"/>
      <c r="F254" s="109"/>
      <c r="G254" s="101"/>
      <c r="H254" s="4" t="s">
        <v>503</v>
      </c>
      <c r="I254" s="7">
        <v>27</v>
      </c>
      <c r="J254" s="20">
        <v>6</v>
      </c>
      <c r="K254" s="15">
        <v>3</v>
      </c>
      <c r="L254" s="91" t="s">
        <v>559</v>
      </c>
      <c r="M254" s="92" t="s">
        <v>347</v>
      </c>
      <c r="N254" s="92" t="s">
        <v>365</v>
      </c>
      <c r="O254" s="92" t="s">
        <v>502</v>
      </c>
      <c r="P254" s="5"/>
      <c r="Q254" s="197">
        <f t="shared" si="29"/>
        <v>10.4</v>
      </c>
      <c r="R254" s="197">
        <f t="shared" si="29"/>
        <v>10.4</v>
      </c>
      <c r="S254" s="197">
        <f t="shared" si="29"/>
        <v>10.4</v>
      </c>
    </row>
    <row r="255" spans="1:19" ht="24" customHeight="1">
      <c r="A255" s="93"/>
      <c r="B255" s="94"/>
      <c r="C255" s="99"/>
      <c r="D255" s="97"/>
      <c r="E255" s="109"/>
      <c r="F255" s="109"/>
      <c r="G255" s="101"/>
      <c r="H255" s="4" t="s">
        <v>454</v>
      </c>
      <c r="I255" s="7">
        <v>27</v>
      </c>
      <c r="J255" s="20">
        <v>6</v>
      </c>
      <c r="K255" s="15">
        <v>3</v>
      </c>
      <c r="L255" s="91" t="s">
        <v>559</v>
      </c>
      <c r="M255" s="92" t="s">
        <v>347</v>
      </c>
      <c r="N255" s="92" t="s">
        <v>365</v>
      </c>
      <c r="O255" s="92" t="s">
        <v>502</v>
      </c>
      <c r="P255" s="5">
        <v>240</v>
      </c>
      <c r="Q255" s="197">
        <v>10.4</v>
      </c>
      <c r="R255" s="197">
        <v>10.4</v>
      </c>
      <c r="S255" s="197">
        <v>10.4</v>
      </c>
    </row>
    <row r="256" spans="1:19" s="171" customFormat="1" ht="24.75" customHeight="1">
      <c r="A256" s="135"/>
      <c r="B256" s="136"/>
      <c r="C256" s="146"/>
      <c r="D256" s="143"/>
      <c r="E256" s="147"/>
      <c r="F256" s="147"/>
      <c r="G256" s="148">
        <v>621</v>
      </c>
      <c r="H256" s="142" t="s">
        <v>334</v>
      </c>
      <c r="I256" s="145">
        <v>27</v>
      </c>
      <c r="J256" s="149">
        <v>6</v>
      </c>
      <c r="K256" s="132">
        <v>5</v>
      </c>
      <c r="L256" s="133"/>
      <c r="M256" s="134"/>
      <c r="N256" s="134"/>
      <c r="O256" s="134"/>
      <c r="P256" s="139"/>
      <c r="Q256" s="198">
        <f>Q267+Q257+Q263</f>
        <v>751</v>
      </c>
      <c r="R256" s="198">
        <f>R267+R257</f>
        <v>9542.3</v>
      </c>
      <c r="S256" s="198">
        <f>S267+S257</f>
        <v>632.4</v>
      </c>
    </row>
    <row r="257" spans="1:19" ht="35.25" customHeight="1">
      <c r="A257" s="95"/>
      <c r="B257" s="94"/>
      <c r="C257" s="99"/>
      <c r="D257" s="105"/>
      <c r="E257" s="100"/>
      <c r="F257" s="100"/>
      <c r="G257" s="101">
        <v>622</v>
      </c>
      <c r="H257" s="17" t="s">
        <v>778</v>
      </c>
      <c r="I257" s="7">
        <v>27</v>
      </c>
      <c r="J257" s="20">
        <v>6</v>
      </c>
      <c r="K257" s="15">
        <v>5</v>
      </c>
      <c r="L257" s="91" t="s">
        <v>777</v>
      </c>
      <c r="M257" s="92" t="s">
        <v>347</v>
      </c>
      <c r="N257" s="92" t="s">
        <v>357</v>
      </c>
      <c r="O257" s="92" t="s">
        <v>392</v>
      </c>
      <c r="P257" s="5"/>
      <c r="Q257" s="197">
        <f>Q258</f>
        <v>600</v>
      </c>
      <c r="R257" s="197">
        <f aca="true" t="shared" si="30" ref="R257:S259">R258</f>
        <v>9410</v>
      </c>
      <c r="S257" s="197">
        <f t="shared" si="30"/>
        <v>500</v>
      </c>
    </row>
    <row r="258" spans="1:19" ht="33.75" customHeight="1">
      <c r="A258" s="95"/>
      <c r="B258" s="94"/>
      <c r="C258" s="102"/>
      <c r="D258" s="103"/>
      <c r="E258" s="100"/>
      <c r="F258" s="100"/>
      <c r="G258" s="101"/>
      <c r="H258" s="112" t="s">
        <v>72</v>
      </c>
      <c r="I258" s="7">
        <v>27</v>
      </c>
      <c r="J258" s="20">
        <v>6</v>
      </c>
      <c r="K258" s="15">
        <v>5</v>
      </c>
      <c r="L258" s="91" t="s">
        <v>777</v>
      </c>
      <c r="M258" s="92" t="s">
        <v>347</v>
      </c>
      <c r="N258" s="92" t="s">
        <v>365</v>
      </c>
      <c r="O258" s="92" t="s">
        <v>392</v>
      </c>
      <c r="P258" s="5"/>
      <c r="Q258" s="197">
        <f>Q259</f>
        <v>600</v>
      </c>
      <c r="R258" s="197">
        <f>R259+R261</f>
        <v>9410</v>
      </c>
      <c r="S258" s="197">
        <f t="shared" si="30"/>
        <v>500</v>
      </c>
    </row>
    <row r="259" spans="1:19" ht="24.75" customHeight="1">
      <c r="A259" s="95"/>
      <c r="B259" s="94"/>
      <c r="C259" s="102"/>
      <c r="D259" s="103"/>
      <c r="E259" s="100"/>
      <c r="F259" s="100"/>
      <c r="G259" s="101"/>
      <c r="H259" s="112" t="s">
        <v>29</v>
      </c>
      <c r="I259" s="7">
        <v>27</v>
      </c>
      <c r="J259" s="20">
        <v>6</v>
      </c>
      <c r="K259" s="15">
        <v>5</v>
      </c>
      <c r="L259" s="91" t="s">
        <v>777</v>
      </c>
      <c r="M259" s="92" t="s">
        <v>347</v>
      </c>
      <c r="N259" s="92" t="s">
        <v>365</v>
      </c>
      <c r="O259" s="92" t="s">
        <v>28</v>
      </c>
      <c r="P259" s="5"/>
      <c r="Q259" s="197">
        <f>Q260</f>
        <v>600</v>
      </c>
      <c r="R259" s="197">
        <f t="shared" si="30"/>
        <v>500</v>
      </c>
      <c r="S259" s="197">
        <f t="shared" si="30"/>
        <v>500</v>
      </c>
    </row>
    <row r="260" spans="1:19" ht="33.75" customHeight="1">
      <c r="A260" s="95"/>
      <c r="B260" s="94"/>
      <c r="C260" s="102"/>
      <c r="D260" s="103"/>
      <c r="E260" s="100"/>
      <c r="F260" s="100"/>
      <c r="G260" s="101"/>
      <c r="H260" s="112" t="s">
        <v>454</v>
      </c>
      <c r="I260" s="7">
        <v>27</v>
      </c>
      <c r="J260" s="20">
        <v>6</v>
      </c>
      <c r="K260" s="15">
        <v>5</v>
      </c>
      <c r="L260" s="91" t="s">
        <v>777</v>
      </c>
      <c r="M260" s="92" t="s">
        <v>347</v>
      </c>
      <c r="N260" s="92" t="s">
        <v>365</v>
      </c>
      <c r="O260" s="92" t="s">
        <v>28</v>
      </c>
      <c r="P260" s="5">
        <v>240</v>
      </c>
      <c r="Q260" s="197">
        <v>600</v>
      </c>
      <c r="R260" s="197">
        <f>1000-500</f>
        <v>500</v>
      </c>
      <c r="S260" s="197">
        <v>500</v>
      </c>
    </row>
    <row r="261" spans="1:19" ht="33.75" customHeight="1">
      <c r="A261" s="95"/>
      <c r="B261" s="94"/>
      <c r="C261" s="102"/>
      <c r="D261" s="103"/>
      <c r="E261" s="100"/>
      <c r="F261" s="100"/>
      <c r="G261" s="101"/>
      <c r="H261" s="112" t="s">
        <v>854</v>
      </c>
      <c r="I261" s="5">
        <v>27</v>
      </c>
      <c r="J261" s="18">
        <v>6</v>
      </c>
      <c r="K261" s="15">
        <v>5</v>
      </c>
      <c r="L261" s="91" t="s">
        <v>777</v>
      </c>
      <c r="M261" s="92" t="s">
        <v>347</v>
      </c>
      <c r="N261" s="92" t="s">
        <v>365</v>
      </c>
      <c r="O261" s="92" t="s">
        <v>853</v>
      </c>
      <c r="P261" s="5"/>
      <c r="Q261" s="197">
        <f>Q262</f>
        <v>0</v>
      </c>
      <c r="R261" s="197">
        <f>R262</f>
        <v>8910</v>
      </c>
      <c r="S261" s="197">
        <f>S262</f>
        <v>0</v>
      </c>
    </row>
    <row r="262" spans="1:19" ht="33.75" customHeight="1">
      <c r="A262" s="95"/>
      <c r="B262" s="94"/>
      <c r="C262" s="102"/>
      <c r="D262" s="103"/>
      <c r="E262" s="100"/>
      <c r="F262" s="100"/>
      <c r="G262" s="101"/>
      <c r="H262" s="112" t="s">
        <v>454</v>
      </c>
      <c r="I262" s="5">
        <v>27</v>
      </c>
      <c r="J262" s="18">
        <v>6</v>
      </c>
      <c r="K262" s="15">
        <v>5</v>
      </c>
      <c r="L262" s="91" t="s">
        <v>777</v>
      </c>
      <c r="M262" s="92" t="s">
        <v>347</v>
      </c>
      <c r="N262" s="92" t="s">
        <v>365</v>
      </c>
      <c r="O262" s="92" t="s">
        <v>853</v>
      </c>
      <c r="P262" s="5">
        <v>240</v>
      </c>
      <c r="Q262" s="197">
        <v>0</v>
      </c>
      <c r="R262" s="197">
        <f>8410+500</f>
        <v>8910</v>
      </c>
      <c r="S262" s="197">
        <v>0</v>
      </c>
    </row>
    <row r="263" spans="1:19" ht="33.75" customHeight="1">
      <c r="A263" s="95"/>
      <c r="B263" s="94"/>
      <c r="C263" s="102"/>
      <c r="D263" s="103"/>
      <c r="E263" s="100"/>
      <c r="F263" s="100"/>
      <c r="G263" s="101"/>
      <c r="H263" s="321" t="s">
        <v>425</v>
      </c>
      <c r="I263" s="5">
        <v>27</v>
      </c>
      <c r="J263" s="18">
        <v>6</v>
      </c>
      <c r="K263" s="15">
        <v>5</v>
      </c>
      <c r="L263" s="91" t="s">
        <v>424</v>
      </c>
      <c r="M263" s="92" t="s">
        <v>347</v>
      </c>
      <c r="N263" s="92" t="s">
        <v>357</v>
      </c>
      <c r="O263" s="92" t="s">
        <v>392</v>
      </c>
      <c r="P263" s="5"/>
      <c r="Q263" s="197">
        <f>Q264</f>
        <v>10.5</v>
      </c>
      <c r="R263" s="197">
        <f aca="true" t="shared" si="31" ref="R263:S265">R264</f>
        <v>0</v>
      </c>
      <c r="S263" s="197">
        <f t="shared" si="31"/>
        <v>0</v>
      </c>
    </row>
    <row r="264" spans="1:19" ht="33.75" customHeight="1">
      <c r="A264" s="95"/>
      <c r="B264" s="94"/>
      <c r="C264" s="102"/>
      <c r="D264" s="103"/>
      <c r="E264" s="100"/>
      <c r="F264" s="100"/>
      <c r="G264" s="101"/>
      <c r="H264" s="321" t="s">
        <v>427</v>
      </c>
      <c r="I264" s="5">
        <v>27</v>
      </c>
      <c r="J264" s="18">
        <v>6</v>
      </c>
      <c r="K264" s="15">
        <v>5</v>
      </c>
      <c r="L264" s="91" t="s">
        <v>424</v>
      </c>
      <c r="M264" s="92" t="s">
        <v>347</v>
      </c>
      <c r="N264" s="92" t="s">
        <v>348</v>
      </c>
      <c r="O264" s="92" t="s">
        <v>392</v>
      </c>
      <c r="P264" s="5"/>
      <c r="Q264" s="197">
        <f>Q265</f>
        <v>10.5</v>
      </c>
      <c r="R264" s="197">
        <f t="shared" si="31"/>
        <v>0</v>
      </c>
      <c r="S264" s="197">
        <f t="shared" si="31"/>
        <v>0</v>
      </c>
    </row>
    <row r="265" spans="1:19" ht="33.75" customHeight="1">
      <c r="A265" s="95"/>
      <c r="B265" s="94"/>
      <c r="C265" s="102"/>
      <c r="D265" s="103"/>
      <c r="E265" s="100"/>
      <c r="F265" s="100"/>
      <c r="G265" s="101"/>
      <c r="H265" s="17" t="s">
        <v>22</v>
      </c>
      <c r="I265" s="5">
        <v>27</v>
      </c>
      <c r="J265" s="18">
        <v>6</v>
      </c>
      <c r="K265" s="15">
        <v>5</v>
      </c>
      <c r="L265" s="91" t="s">
        <v>424</v>
      </c>
      <c r="M265" s="92" t="s">
        <v>347</v>
      </c>
      <c r="N265" s="92" t="s">
        <v>348</v>
      </c>
      <c r="O265" s="92" t="s">
        <v>23</v>
      </c>
      <c r="P265" s="5"/>
      <c r="Q265" s="197">
        <f>Q266</f>
        <v>10.5</v>
      </c>
      <c r="R265" s="197">
        <f t="shared" si="31"/>
        <v>0</v>
      </c>
      <c r="S265" s="197">
        <f t="shared" si="31"/>
        <v>0</v>
      </c>
    </row>
    <row r="266" spans="1:19" ht="33.75" customHeight="1">
      <c r="A266" s="95"/>
      <c r="B266" s="94"/>
      <c r="C266" s="102"/>
      <c r="D266" s="103"/>
      <c r="E266" s="100"/>
      <c r="F266" s="100"/>
      <c r="G266" s="101"/>
      <c r="H266" s="227" t="s">
        <v>456</v>
      </c>
      <c r="I266" s="5">
        <v>27</v>
      </c>
      <c r="J266" s="18">
        <v>6</v>
      </c>
      <c r="K266" s="15">
        <v>5</v>
      </c>
      <c r="L266" s="91" t="s">
        <v>424</v>
      </c>
      <c r="M266" s="92" t="s">
        <v>347</v>
      </c>
      <c r="N266" s="92" t="s">
        <v>348</v>
      </c>
      <c r="O266" s="92" t="s">
        <v>23</v>
      </c>
      <c r="P266" s="5">
        <v>610</v>
      </c>
      <c r="Q266" s="197">
        <v>10.5</v>
      </c>
      <c r="R266" s="197">
        <v>0</v>
      </c>
      <c r="S266" s="197">
        <v>0</v>
      </c>
    </row>
    <row r="267" spans="1:19" ht="39" customHeight="1">
      <c r="A267" s="93"/>
      <c r="B267" s="94"/>
      <c r="C267" s="99"/>
      <c r="D267" s="103"/>
      <c r="E267" s="100"/>
      <c r="F267" s="100"/>
      <c r="G267" s="101"/>
      <c r="H267" s="10" t="s">
        <v>53</v>
      </c>
      <c r="I267" s="5">
        <v>27</v>
      </c>
      <c r="J267" s="18">
        <v>6</v>
      </c>
      <c r="K267" s="15">
        <v>5</v>
      </c>
      <c r="L267" s="91" t="s">
        <v>559</v>
      </c>
      <c r="M267" s="92" t="s">
        <v>347</v>
      </c>
      <c r="N267" s="92" t="s">
        <v>357</v>
      </c>
      <c r="O267" s="92" t="s">
        <v>392</v>
      </c>
      <c r="P267" s="5"/>
      <c r="Q267" s="197">
        <f aca="true" t="shared" si="32" ref="Q267:S268">Q268</f>
        <v>140.5</v>
      </c>
      <c r="R267" s="197">
        <f t="shared" si="32"/>
        <v>132.3</v>
      </c>
      <c r="S267" s="197">
        <f t="shared" si="32"/>
        <v>132.4</v>
      </c>
    </row>
    <row r="268" spans="1:19" ht="24.75" customHeight="1">
      <c r="A268" s="93"/>
      <c r="B268" s="94"/>
      <c r="C268" s="99"/>
      <c r="D268" s="103"/>
      <c r="E268" s="100"/>
      <c r="F268" s="100"/>
      <c r="G268" s="101"/>
      <c r="H268" s="10" t="s">
        <v>55</v>
      </c>
      <c r="I268" s="5">
        <v>27</v>
      </c>
      <c r="J268" s="18">
        <v>6</v>
      </c>
      <c r="K268" s="15">
        <v>5</v>
      </c>
      <c r="L268" s="91" t="s">
        <v>559</v>
      </c>
      <c r="M268" s="92" t="s">
        <v>347</v>
      </c>
      <c r="N268" s="92" t="s">
        <v>365</v>
      </c>
      <c r="O268" s="92" t="s">
        <v>392</v>
      </c>
      <c r="P268" s="5"/>
      <c r="Q268" s="197">
        <f t="shared" si="32"/>
        <v>140.5</v>
      </c>
      <c r="R268" s="197">
        <f t="shared" si="32"/>
        <v>132.3</v>
      </c>
      <c r="S268" s="197">
        <f t="shared" si="32"/>
        <v>132.4</v>
      </c>
    </row>
    <row r="269" spans="1:19" ht="18.75" customHeight="1">
      <c r="A269" s="95"/>
      <c r="B269" s="94"/>
      <c r="C269" s="99"/>
      <c r="D269" s="103"/>
      <c r="E269" s="100"/>
      <c r="F269" s="100"/>
      <c r="G269" s="101"/>
      <c r="H269" s="164" t="s">
        <v>538</v>
      </c>
      <c r="I269" s="7">
        <v>27</v>
      </c>
      <c r="J269" s="18">
        <v>6</v>
      </c>
      <c r="K269" s="15">
        <v>5</v>
      </c>
      <c r="L269" s="91" t="s">
        <v>559</v>
      </c>
      <c r="M269" s="92" t="s">
        <v>347</v>
      </c>
      <c r="N269" s="92" t="s">
        <v>365</v>
      </c>
      <c r="O269" s="92" t="s">
        <v>537</v>
      </c>
      <c r="P269" s="5"/>
      <c r="Q269" s="197">
        <f>SUM(Q270:Q271)</f>
        <v>140.5</v>
      </c>
      <c r="R269" s="197">
        <f>SUM(R270:R271)</f>
        <v>132.3</v>
      </c>
      <c r="S269" s="197">
        <f>SUM(S270:S271)</f>
        <v>132.4</v>
      </c>
    </row>
    <row r="270" spans="1:19" ht="23.25" customHeight="1">
      <c r="A270" s="95"/>
      <c r="B270" s="94"/>
      <c r="C270" s="99"/>
      <c r="D270" s="103"/>
      <c r="E270" s="100"/>
      <c r="F270" s="100"/>
      <c r="G270" s="101"/>
      <c r="H270" s="2" t="s">
        <v>319</v>
      </c>
      <c r="I270" s="7">
        <v>27</v>
      </c>
      <c r="J270" s="18">
        <v>6</v>
      </c>
      <c r="K270" s="15">
        <v>5</v>
      </c>
      <c r="L270" s="91" t="s">
        <v>559</v>
      </c>
      <c r="M270" s="92" t="s">
        <v>347</v>
      </c>
      <c r="N270" s="92" t="s">
        <v>365</v>
      </c>
      <c r="O270" s="92" t="s">
        <v>537</v>
      </c>
      <c r="P270" s="5">
        <v>120</v>
      </c>
      <c r="Q270" s="197">
        <f>113.7+0.9+8.1</f>
        <v>122.7</v>
      </c>
      <c r="R270" s="211">
        <v>113.7</v>
      </c>
      <c r="S270" s="211">
        <v>113.7</v>
      </c>
    </row>
    <row r="271" spans="1:19" ht="23.25" customHeight="1">
      <c r="A271" s="95"/>
      <c r="B271" s="94"/>
      <c r="C271" s="99"/>
      <c r="D271" s="103"/>
      <c r="E271" s="100"/>
      <c r="F271" s="100"/>
      <c r="G271" s="101"/>
      <c r="H271" s="4" t="s">
        <v>454</v>
      </c>
      <c r="I271" s="7">
        <v>27</v>
      </c>
      <c r="J271" s="18">
        <v>6</v>
      </c>
      <c r="K271" s="15">
        <v>5</v>
      </c>
      <c r="L271" s="91" t="s">
        <v>559</v>
      </c>
      <c r="M271" s="92" t="s">
        <v>347</v>
      </c>
      <c r="N271" s="92" t="s">
        <v>365</v>
      </c>
      <c r="O271" s="92" t="s">
        <v>537</v>
      </c>
      <c r="P271" s="5">
        <v>240</v>
      </c>
      <c r="Q271" s="197">
        <v>17.8</v>
      </c>
      <c r="R271" s="211">
        <v>18.6</v>
      </c>
      <c r="S271" s="211">
        <v>18.7</v>
      </c>
    </row>
    <row r="272" spans="1:19" s="171" customFormat="1" ht="26.25" customHeight="1">
      <c r="A272" s="135"/>
      <c r="B272" s="136"/>
      <c r="C272" s="150"/>
      <c r="D272" s="137"/>
      <c r="E272" s="138"/>
      <c r="F272" s="138"/>
      <c r="G272" s="148">
        <v>612</v>
      </c>
      <c r="H272" s="142" t="s">
        <v>331</v>
      </c>
      <c r="I272" s="145">
        <v>27</v>
      </c>
      <c r="J272" s="149">
        <v>7</v>
      </c>
      <c r="K272" s="132"/>
      <c r="L272" s="133"/>
      <c r="M272" s="134"/>
      <c r="N272" s="134"/>
      <c r="O272" s="134"/>
      <c r="P272" s="139"/>
      <c r="Q272" s="198">
        <f>Q273+Q287</f>
        <v>8684.699999999999</v>
      </c>
      <c r="R272" s="198">
        <f>R273+R287</f>
        <v>7617.3</v>
      </c>
      <c r="S272" s="198">
        <f>S273+S287</f>
        <v>7617.3</v>
      </c>
    </row>
    <row r="273" spans="1:19" s="171" customFormat="1" ht="20.25" customHeight="1">
      <c r="A273" s="135"/>
      <c r="B273" s="136"/>
      <c r="C273" s="365">
        <v>703</v>
      </c>
      <c r="D273" s="366"/>
      <c r="E273" s="366"/>
      <c r="F273" s="366"/>
      <c r="G273" s="129">
        <v>612</v>
      </c>
      <c r="H273" s="130" t="s">
        <v>105</v>
      </c>
      <c r="I273" s="139">
        <v>27</v>
      </c>
      <c r="J273" s="132">
        <v>7</v>
      </c>
      <c r="K273" s="132">
        <v>3</v>
      </c>
      <c r="L273" s="133"/>
      <c r="M273" s="134"/>
      <c r="N273" s="134"/>
      <c r="O273" s="134"/>
      <c r="P273" s="139"/>
      <c r="Q273" s="198">
        <f>Q281+Q274</f>
        <v>8325.4</v>
      </c>
      <c r="R273" s="198">
        <f>R281</f>
        <v>7298</v>
      </c>
      <c r="S273" s="198">
        <f>S281</f>
        <v>7298</v>
      </c>
    </row>
    <row r="274" spans="1:19" ht="38.25" customHeight="1">
      <c r="A274" s="93"/>
      <c r="B274" s="94"/>
      <c r="C274" s="99"/>
      <c r="D274" s="97"/>
      <c r="E274" s="109"/>
      <c r="F274" s="109"/>
      <c r="G274" s="85"/>
      <c r="H274" s="4" t="s">
        <v>865</v>
      </c>
      <c r="I274" s="5">
        <v>27</v>
      </c>
      <c r="J274" s="20">
        <v>7</v>
      </c>
      <c r="K274" s="15">
        <v>3</v>
      </c>
      <c r="L274" s="15">
        <v>27</v>
      </c>
      <c r="M274" s="92" t="s">
        <v>347</v>
      </c>
      <c r="N274" s="92" t="s">
        <v>357</v>
      </c>
      <c r="O274" s="92" t="s">
        <v>392</v>
      </c>
      <c r="P274" s="9"/>
      <c r="Q274" s="195">
        <f>Q275+Q278</f>
        <v>8.6</v>
      </c>
      <c r="R274" s="195">
        <f>R275+R278</f>
        <v>0</v>
      </c>
      <c r="S274" s="195">
        <f>S275+S278</f>
        <v>0</v>
      </c>
    </row>
    <row r="275" spans="1:19" ht="25.5" customHeight="1">
      <c r="A275" s="93"/>
      <c r="B275" s="94"/>
      <c r="C275" s="99"/>
      <c r="D275" s="97"/>
      <c r="E275" s="109"/>
      <c r="F275" s="109"/>
      <c r="G275" s="85"/>
      <c r="H275" s="4" t="s">
        <v>86</v>
      </c>
      <c r="I275" s="5">
        <v>27</v>
      </c>
      <c r="J275" s="20">
        <v>7</v>
      </c>
      <c r="K275" s="15">
        <v>3</v>
      </c>
      <c r="L275" s="15">
        <v>27</v>
      </c>
      <c r="M275" s="92" t="s">
        <v>347</v>
      </c>
      <c r="N275" s="92" t="s">
        <v>366</v>
      </c>
      <c r="O275" s="92" t="s">
        <v>392</v>
      </c>
      <c r="P275" s="9"/>
      <c r="Q275" s="195">
        <f aca="true" t="shared" si="33" ref="Q275:S276">Q276</f>
        <v>3.6</v>
      </c>
      <c r="R275" s="195">
        <f t="shared" si="33"/>
        <v>0</v>
      </c>
      <c r="S275" s="195">
        <f t="shared" si="33"/>
        <v>0</v>
      </c>
    </row>
    <row r="276" spans="1:19" ht="25.5" customHeight="1">
      <c r="A276" s="93"/>
      <c r="B276" s="94"/>
      <c r="C276" s="99"/>
      <c r="D276" s="97"/>
      <c r="E276" s="109"/>
      <c r="F276" s="109"/>
      <c r="G276" s="85"/>
      <c r="H276" s="4" t="s">
        <v>94</v>
      </c>
      <c r="I276" s="5">
        <v>27</v>
      </c>
      <c r="J276" s="20">
        <v>7</v>
      </c>
      <c r="K276" s="15">
        <v>3</v>
      </c>
      <c r="L276" s="15">
        <v>27</v>
      </c>
      <c r="M276" s="92" t="s">
        <v>347</v>
      </c>
      <c r="N276" s="92" t="s">
        <v>366</v>
      </c>
      <c r="O276" s="92" t="s">
        <v>30</v>
      </c>
      <c r="P276" s="9"/>
      <c r="Q276" s="195">
        <f t="shared" si="33"/>
        <v>3.6</v>
      </c>
      <c r="R276" s="195">
        <f t="shared" si="33"/>
        <v>0</v>
      </c>
      <c r="S276" s="195">
        <f t="shared" si="33"/>
        <v>0</v>
      </c>
    </row>
    <row r="277" spans="1:19" ht="25.5" customHeight="1">
      <c r="A277" s="93"/>
      <c r="B277" s="94"/>
      <c r="C277" s="99"/>
      <c r="D277" s="97"/>
      <c r="E277" s="109"/>
      <c r="F277" s="109"/>
      <c r="G277" s="85"/>
      <c r="H277" s="10" t="s">
        <v>456</v>
      </c>
      <c r="I277" s="5">
        <v>27</v>
      </c>
      <c r="J277" s="20">
        <v>7</v>
      </c>
      <c r="K277" s="15">
        <v>3</v>
      </c>
      <c r="L277" s="15">
        <v>27</v>
      </c>
      <c r="M277" s="92" t="s">
        <v>347</v>
      </c>
      <c r="N277" s="92" t="s">
        <v>366</v>
      </c>
      <c r="O277" s="92" t="s">
        <v>30</v>
      </c>
      <c r="P277" s="9">
        <v>610</v>
      </c>
      <c r="Q277" s="195">
        <v>3.6</v>
      </c>
      <c r="R277" s="195">
        <v>0</v>
      </c>
      <c r="S277" s="195">
        <v>0</v>
      </c>
    </row>
    <row r="278" spans="1:19" ht="35.25" customHeight="1">
      <c r="A278" s="93"/>
      <c r="B278" s="94"/>
      <c r="C278" s="99"/>
      <c r="D278" s="97"/>
      <c r="E278" s="109"/>
      <c r="F278" s="109"/>
      <c r="G278" s="85"/>
      <c r="H278" s="4" t="s">
        <v>440</v>
      </c>
      <c r="I278" s="5">
        <v>27</v>
      </c>
      <c r="J278" s="20">
        <v>7</v>
      </c>
      <c r="K278" s="15">
        <v>3</v>
      </c>
      <c r="L278" s="15">
        <v>27</v>
      </c>
      <c r="M278" s="92" t="s">
        <v>347</v>
      </c>
      <c r="N278" s="92" t="s">
        <v>361</v>
      </c>
      <c r="O278" s="92" t="s">
        <v>392</v>
      </c>
      <c r="P278" s="9"/>
      <c r="Q278" s="195">
        <f aca="true" t="shared" si="34" ref="Q278:S279">Q279</f>
        <v>5</v>
      </c>
      <c r="R278" s="195">
        <f t="shared" si="34"/>
        <v>0</v>
      </c>
      <c r="S278" s="195">
        <f t="shared" si="34"/>
        <v>0</v>
      </c>
    </row>
    <row r="279" spans="1:19" ht="25.5" customHeight="1">
      <c r="A279" s="93"/>
      <c r="B279" s="94"/>
      <c r="C279" s="99"/>
      <c r="D279" s="97"/>
      <c r="E279" s="109"/>
      <c r="F279" s="109"/>
      <c r="G279" s="85"/>
      <c r="H279" s="4" t="s">
        <v>94</v>
      </c>
      <c r="I279" s="5">
        <v>27</v>
      </c>
      <c r="J279" s="20">
        <v>7</v>
      </c>
      <c r="K279" s="15">
        <v>3</v>
      </c>
      <c r="L279" s="15">
        <v>27</v>
      </c>
      <c r="M279" s="92" t="s">
        <v>347</v>
      </c>
      <c r="N279" s="92" t="s">
        <v>361</v>
      </c>
      <c r="O279" s="92" t="s">
        <v>30</v>
      </c>
      <c r="P279" s="9"/>
      <c r="Q279" s="195">
        <f t="shared" si="34"/>
        <v>5</v>
      </c>
      <c r="R279" s="195">
        <f t="shared" si="34"/>
        <v>0</v>
      </c>
      <c r="S279" s="195">
        <f t="shared" si="34"/>
        <v>0</v>
      </c>
    </row>
    <row r="280" spans="1:19" ht="25.5" customHeight="1">
      <c r="A280" s="93"/>
      <c r="B280" s="94"/>
      <c r="C280" s="99"/>
      <c r="D280" s="97"/>
      <c r="E280" s="109"/>
      <c r="F280" s="109"/>
      <c r="G280" s="85"/>
      <c r="H280" s="10" t="s">
        <v>456</v>
      </c>
      <c r="I280" s="5">
        <v>27</v>
      </c>
      <c r="J280" s="20">
        <v>7</v>
      </c>
      <c r="K280" s="15">
        <v>3</v>
      </c>
      <c r="L280" s="15">
        <v>27</v>
      </c>
      <c r="M280" s="92" t="s">
        <v>347</v>
      </c>
      <c r="N280" s="92" t="s">
        <v>361</v>
      </c>
      <c r="O280" s="92" t="s">
        <v>30</v>
      </c>
      <c r="P280" s="9">
        <v>610</v>
      </c>
      <c r="Q280" s="195">
        <v>5</v>
      </c>
      <c r="R280" s="195">
        <v>0</v>
      </c>
      <c r="S280" s="195">
        <v>0</v>
      </c>
    </row>
    <row r="281" spans="1:19" s="171" customFormat="1" ht="29.25" customHeight="1">
      <c r="A281" s="135"/>
      <c r="B281" s="136"/>
      <c r="C281" s="146"/>
      <c r="D281" s="207"/>
      <c r="E281" s="158"/>
      <c r="F281" s="158"/>
      <c r="G281" s="129"/>
      <c r="H281" s="227" t="s">
        <v>421</v>
      </c>
      <c r="I281" s="9">
        <v>27</v>
      </c>
      <c r="J281" s="15">
        <v>7</v>
      </c>
      <c r="K281" s="15">
        <v>3</v>
      </c>
      <c r="L281" s="91" t="s">
        <v>422</v>
      </c>
      <c r="M281" s="92" t="s">
        <v>347</v>
      </c>
      <c r="N281" s="92" t="s">
        <v>357</v>
      </c>
      <c r="O281" s="92" t="s">
        <v>392</v>
      </c>
      <c r="P281" s="5"/>
      <c r="Q281" s="197">
        <f>Q282</f>
        <v>8316.8</v>
      </c>
      <c r="R281" s="197">
        <f>R282</f>
        <v>7298</v>
      </c>
      <c r="S281" s="197">
        <f>S282</f>
        <v>7298</v>
      </c>
    </row>
    <row r="282" spans="1:19" s="171" customFormat="1" ht="35.25" customHeight="1">
      <c r="A282" s="135"/>
      <c r="B282" s="136"/>
      <c r="C282" s="146"/>
      <c r="D282" s="207"/>
      <c r="E282" s="158"/>
      <c r="F282" s="158"/>
      <c r="G282" s="129"/>
      <c r="H282" s="227" t="s">
        <v>423</v>
      </c>
      <c r="I282" s="9">
        <v>27</v>
      </c>
      <c r="J282" s="15">
        <v>7</v>
      </c>
      <c r="K282" s="15">
        <v>3</v>
      </c>
      <c r="L282" s="91" t="s">
        <v>422</v>
      </c>
      <c r="M282" s="92" t="s">
        <v>347</v>
      </c>
      <c r="N282" s="92" t="s">
        <v>361</v>
      </c>
      <c r="O282" s="92" t="s">
        <v>392</v>
      </c>
      <c r="P282" s="5"/>
      <c r="Q282" s="197">
        <f>Q283+Q285</f>
        <v>8316.8</v>
      </c>
      <c r="R282" s="197">
        <f>R283+R285</f>
        <v>7298</v>
      </c>
      <c r="S282" s="197">
        <f>S283+S285</f>
        <v>7298</v>
      </c>
    </row>
    <row r="283" spans="1:19" s="171" customFormat="1" ht="20.25" customHeight="1">
      <c r="A283" s="135"/>
      <c r="B283" s="136"/>
      <c r="C283" s="146"/>
      <c r="D283" s="207"/>
      <c r="E283" s="158"/>
      <c r="F283" s="158"/>
      <c r="G283" s="129"/>
      <c r="H283" s="227" t="s">
        <v>94</v>
      </c>
      <c r="I283" s="9">
        <v>27</v>
      </c>
      <c r="J283" s="15">
        <v>7</v>
      </c>
      <c r="K283" s="15">
        <v>3</v>
      </c>
      <c r="L283" s="91" t="s">
        <v>422</v>
      </c>
      <c r="M283" s="92" t="s">
        <v>347</v>
      </c>
      <c r="N283" s="92" t="s">
        <v>361</v>
      </c>
      <c r="O283" s="92" t="s">
        <v>30</v>
      </c>
      <c r="P283" s="5"/>
      <c r="Q283" s="197">
        <f>Q284</f>
        <v>6509.2</v>
      </c>
      <c r="R283" s="197">
        <f>R284</f>
        <v>5859.9</v>
      </c>
      <c r="S283" s="197">
        <f>S284</f>
        <v>5859.9</v>
      </c>
    </row>
    <row r="284" spans="1:19" s="171" customFormat="1" ht="20.25" customHeight="1">
      <c r="A284" s="135"/>
      <c r="B284" s="136"/>
      <c r="C284" s="146"/>
      <c r="D284" s="207"/>
      <c r="E284" s="158"/>
      <c r="F284" s="158"/>
      <c r="G284" s="129"/>
      <c r="H284" s="227" t="s">
        <v>456</v>
      </c>
      <c r="I284" s="9">
        <v>27</v>
      </c>
      <c r="J284" s="15">
        <v>7</v>
      </c>
      <c r="K284" s="15">
        <v>3</v>
      </c>
      <c r="L284" s="91" t="s">
        <v>422</v>
      </c>
      <c r="M284" s="92" t="s">
        <v>347</v>
      </c>
      <c r="N284" s="92" t="s">
        <v>361</v>
      </c>
      <c r="O284" s="92" t="s">
        <v>30</v>
      </c>
      <c r="P284" s="5">
        <v>610</v>
      </c>
      <c r="Q284" s="197">
        <f>5859.9+649.3</f>
        <v>6509.2</v>
      </c>
      <c r="R284" s="197">
        <v>5859.9</v>
      </c>
      <c r="S284" s="197">
        <v>5859.9</v>
      </c>
    </row>
    <row r="285" spans="1:19" ht="31.5" customHeight="1">
      <c r="A285" s="93"/>
      <c r="B285" s="94"/>
      <c r="C285" s="99"/>
      <c r="D285" s="107"/>
      <c r="E285" s="110"/>
      <c r="F285" s="110"/>
      <c r="G285" s="85"/>
      <c r="H285" s="227" t="s">
        <v>595</v>
      </c>
      <c r="I285" s="9">
        <v>27</v>
      </c>
      <c r="J285" s="15">
        <v>7</v>
      </c>
      <c r="K285" s="15">
        <v>3</v>
      </c>
      <c r="L285" s="91" t="s">
        <v>422</v>
      </c>
      <c r="M285" s="92" t="s">
        <v>347</v>
      </c>
      <c r="N285" s="92" t="s">
        <v>361</v>
      </c>
      <c r="O285" s="92" t="s">
        <v>594</v>
      </c>
      <c r="P285" s="9"/>
      <c r="Q285" s="195">
        <f>Q286</f>
        <v>1807.6</v>
      </c>
      <c r="R285" s="195">
        <f>R286</f>
        <v>1438.1</v>
      </c>
      <c r="S285" s="195">
        <f>S286</f>
        <v>1438.1</v>
      </c>
    </row>
    <row r="286" spans="1:19" ht="20.25" customHeight="1">
      <c r="A286" s="93"/>
      <c r="B286" s="94"/>
      <c r="C286" s="99"/>
      <c r="D286" s="107"/>
      <c r="E286" s="110"/>
      <c r="F286" s="110"/>
      <c r="G286" s="85"/>
      <c r="H286" s="227" t="s">
        <v>456</v>
      </c>
      <c r="I286" s="9">
        <v>27</v>
      </c>
      <c r="J286" s="15">
        <v>7</v>
      </c>
      <c r="K286" s="15">
        <v>3</v>
      </c>
      <c r="L286" s="91" t="s">
        <v>422</v>
      </c>
      <c r="M286" s="92" t="s">
        <v>347</v>
      </c>
      <c r="N286" s="92" t="s">
        <v>361</v>
      </c>
      <c r="O286" s="92" t="s">
        <v>594</v>
      </c>
      <c r="P286" s="9">
        <v>610</v>
      </c>
      <c r="Q286" s="195">
        <f>1438.1+369.5</f>
        <v>1807.6</v>
      </c>
      <c r="R286" s="195">
        <v>1438.1</v>
      </c>
      <c r="S286" s="195">
        <v>1438.1</v>
      </c>
    </row>
    <row r="287" spans="1:19" s="171" customFormat="1" ht="18.75" customHeight="1">
      <c r="A287" s="135"/>
      <c r="B287" s="136"/>
      <c r="C287" s="365">
        <v>704</v>
      </c>
      <c r="D287" s="366"/>
      <c r="E287" s="366"/>
      <c r="F287" s="366"/>
      <c r="G287" s="129">
        <v>622</v>
      </c>
      <c r="H287" s="130" t="s">
        <v>97</v>
      </c>
      <c r="I287" s="139">
        <v>27</v>
      </c>
      <c r="J287" s="132">
        <v>7</v>
      </c>
      <c r="K287" s="132">
        <v>7</v>
      </c>
      <c r="L287" s="133"/>
      <c r="M287" s="134"/>
      <c r="N287" s="134"/>
      <c r="O287" s="134"/>
      <c r="P287" s="131"/>
      <c r="Q287" s="194">
        <f>Q288</f>
        <v>359.3</v>
      </c>
      <c r="R287" s="194">
        <f>R288</f>
        <v>319.3</v>
      </c>
      <c r="S287" s="194">
        <f>S288</f>
        <v>319.3</v>
      </c>
    </row>
    <row r="288" spans="1:19" ht="18.75" customHeight="1">
      <c r="A288" s="95"/>
      <c r="B288" s="94"/>
      <c r="C288" s="93"/>
      <c r="D288" s="90"/>
      <c r="E288" s="90"/>
      <c r="F288" s="90"/>
      <c r="G288" s="85"/>
      <c r="H288" s="4" t="s">
        <v>425</v>
      </c>
      <c r="I288" s="5">
        <v>27</v>
      </c>
      <c r="J288" s="15">
        <v>7</v>
      </c>
      <c r="K288" s="15">
        <v>7</v>
      </c>
      <c r="L288" s="91" t="s">
        <v>424</v>
      </c>
      <c r="M288" s="92" t="s">
        <v>347</v>
      </c>
      <c r="N288" s="92" t="s">
        <v>357</v>
      </c>
      <c r="O288" s="92" t="s">
        <v>392</v>
      </c>
      <c r="P288" s="9"/>
      <c r="Q288" s="195">
        <f>Q289+Q296+Q299</f>
        <v>359.3</v>
      </c>
      <c r="R288" s="195">
        <f>R289+R296+R299</f>
        <v>319.3</v>
      </c>
      <c r="S288" s="195">
        <f>S289+S296+S299</f>
        <v>319.3</v>
      </c>
    </row>
    <row r="289" spans="1:19" ht="38.25" customHeight="1">
      <c r="A289" s="95"/>
      <c r="B289" s="94"/>
      <c r="C289" s="93"/>
      <c r="D289" s="371">
        <v>4270000</v>
      </c>
      <c r="E289" s="371"/>
      <c r="F289" s="371"/>
      <c r="G289" s="85">
        <v>622</v>
      </c>
      <c r="H289" s="17" t="s">
        <v>427</v>
      </c>
      <c r="I289" s="5">
        <v>27</v>
      </c>
      <c r="J289" s="15">
        <v>7</v>
      </c>
      <c r="K289" s="15">
        <v>7</v>
      </c>
      <c r="L289" s="91" t="s">
        <v>424</v>
      </c>
      <c r="M289" s="92" t="s">
        <v>347</v>
      </c>
      <c r="N289" s="92" t="s">
        <v>348</v>
      </c>
      <c r="O289" s="92" t="s">
        <v>392</v>
      </c>
      <c r="P289" s="9"/>
      <c r="Q289" s="195">
        <f>Q290+Q294+Q292</f>
        <v>199.3</v>
      </c>
      <c r="R289" s="195">
        <f>R290+R294</f>
        <v>159.3</v>
      </c>
      <c r="S289" s="195">
        <f>S290+S294</f>
        <v>159.3</v>
      </c>
    </row>
    <row r="290" spans="1:19" ht="28.5" customHeight="1">
      <c r="A290" s="95"/>
      <c r="B290" s="94"/>
      <c r="C290" s="93"/>
      <c r="D290" s="97"/>
      <c r="E290" s="111"/>
      <c r="F290" s="111"/>
      <c r="G290" s="85"/>
      <c r="H290" s="17" t="s">
        <v>22</v>
      </c>
      <c r="I290" s="5">
        <v>27</v>
      </c>
      <c r="J290" s="15">
        <v>7</v>
      </c>
      <c r="K290" s="15">
        <v>7</v>
      </c>
      <c r="L290" s="91" t="s">
        <v>424</v>
      </c>
      <c r="M290" s="92" t="s">
        <v>347</v>
      </c>
      <c r="N290" s="92" t="s">
        <v>348</v>
      </c>
      <c r="O290" s="92" t="s">
        <v>23</v>
      </c>
      <c r="P290" s="5"/>
      <c r="Q290" s="197">
        <f>Q291</f>
        <v>159.3</v>
      </c>
      <c r="R290" s="197">
        <f>R291</f>
        <v>159.3</v>
      </c>
      <c r="S290" s="197">
        <f>S291</f>
        <v>159.3</v>
      </c>
    </row>
    <row r="291" spans="1:19" ht="21.75" customHeight="1">
      <c r="A291" s="95"/>
      <c r="B291" s="94"/>
      <c r="C291" s="93"/>
      <c r="D291" s="97"/>
      <c r="E291" s="111"/>
      <c r="F291" s="111"/>
      <c r="G291" s="85"/>
      <c r="H291" s="227" t="s">
        <v>456</v>
      </c>
      <c r="I291" s="5">
        <v>27</v>
      </c>
      <c r="J291" s="15">
        <v>7</v>
      </c>
      <c r="K291" s="15">
        <v>7</v>
      </c>
      <c r="L291" s="91" t="s">
        <v>424</v>
      </c>
      <c r="M291" s="92" t="s">
        <v>347</v>
      </c>
      <c r="N291" s="92" t="s">
        <v>348</v>
      </c>
      <c r="O291" s="92" t="s">
        <v>23</v>
      </c>
      <c r="P291" s="5">
        <v>610</v>
      </c>
      <c r="Q291" s="197">
        <v>159.3</v>
      </c>
      <c r="R291" s="197">
        <v>159.3</v>
      </c>
      <c r="S291" s="197">
        <v>159.3</v>
      </c>
    </row>
    <row r="292" spans="1:19" ht="21.75" customHeight="1" hidden="1">
      <c r="A292" s="95"/>
      <c r="B292" s="94"/>
      <c r="C292" s="93"/>
      <c r="D292" s="97"/>
      <c r="E292" s="111"/>
      <c r="F292" s="111"/>
      <c r="G292" s="85"/>
      <c r="H292" s="227" t="s">
        <v>775</v>
      </c>
      <c r="I292" s="5">
        <v>27</v>
      </c>
      <c r="J292" s="15">
        <v>7</v>
      </c>
      <c r="K292" s="15">
        <v>7</v>
      </c>
      <c r="L292" s="91" t="s">
        <v>424</v>
      </c>
      <c r="M292" s="92" t="s">
        <v>347</v>
      </c>
      <c r="N292" s="92" t="s">
        <v>348</v>
      </c>
      <c r="O292" s="92" t="s">
        <v>774</v>
      </c>
      <c r="P292" s="5"/>
      <c r="Q292" s="197">
        <f>Q293</f>
        <v>0</v>
      </c>
      <c r="R292" s="197">
        <f>R293</f>
        <v>0</v>
      </c>
      <c r="S292" s="197">
        <f>S293</f>
        <v>0</v>
      </c>
    </row>
    <row r="293" spans="1:19" ht="21.75" customHeight="1" hidden="1">
      <c r="A293" s="95"/>
      <c r="B293" s="94"/>
      <c r="C293" s="93"/>
      <c r="D293" s="97"/>
      <c r="E293" s="111"/>
      <c r="F293" s="111"/>
      <c r="G293" s="85"/>
      <c r="H293" s="112" t="s">
        <v>454</v>
      </c>
      <c r="I293" s="5">
        <v>27</v>
      </c>
      <c r="J293" s="15">
        <v>7</v>
      </c>
      <c r="K293" s="15">
        <v>7</v>
      </c>
      <c r="L293" s="91" t="s">
        <v>424</v>
      </c>
      <c r="M293" s="92" t="s">
        <v>347</v>
      </c>
      <c r="N293" s="92" t="s">
        <v>348</v>
      </c>
      <c r="O293" s="92" t="s">
        <v>774</v>
      </c>
      <c r="P293" s="5">
        <v>240</v>
      </c>
      <c r="Q293" s="197">
        <v>0</v>
      </c>
      <c r="R293" s="197">
        <v>0</v>
      </c>
      <c r="S293" s="197">
        <v>0</v>
      </c>
    </row>
    <row r="294" spans="1:19" ht="36.75" customHeight="1">
      <c r="A294" s="95"/>
      <c r="B294" s="94"/>
      <c r="C294" s="93"/>
      <c r="D294" s="97"/>
      <c r="E294" s="111"/>
      <c r="F294" s="111"/>
      <c r="G294" s="85"/>
      <c r="H294" s="4" t="s">
        <v>426</v>
      </c>
      <c r="I294" s="5">
        <v>27</v>
      </c>
      <c r="J294" s="15">
        <v>7</v>
      </c>
      <c r="K294" s="15">
        <v>7</v>
      </c>
      <c r="L294" s="91" t="s">
        <v>424</v>
      </c>
      <c r="M294" s="92" t="s">
        <v>347</v>
      </c>
      <c r="N294" s="92" t="s">
        <v>348</v>
      </c>
      <c r="O294" s="92" t="s">
        <v>3</v>
      </c>
      <c r="P294" s="5"/>
      <c r="Q294" s="197">
        <f>Q295</f>
        <v>40</v>
      </c>
      <c r="R294" s="197">
        <f>R295</f>
        <v>0</v>
      </c>
      <c r="S294" s="197">
        <f>S295</f>
        <v>0</v>
      </c>
    </row>
    <row r="295" spans="1:19" ht="27" customHeight="1">
      <c r="A295" s="95"/>
      <c r="B295" s="94"/>
      <c r="C295" s="99"/>
      <c r="D295" s="97"/>
      <c r="E295" s="109"/>
      <c r="F295" s="109"/>
      <c r="G295" s="101"/>
      <c r="H295" s="227" t="s">
        <v>456</v>
      </c>
      <c r="I295" s="5">
        <v>27</v>
      </c>
      <c r="J295" s="18">
        <v>7</v>
      </c>
      <c r="K295" s="15">
        <v>7</v>
      </c>
      <c r="L295" s="91" t="s">
        <v>424</v>
      </c>
      <c r="M295" s="92" t="s">
        <v>347</v>
      </c>
      <c r="N295" s="92" t="s">
        <v>348</v>
      </c>
      <c r="O295" s="92" t="s">
        <v>3</v>
      </c>
      <c r="P295" s="5">
        <v>610</v>
      </c>
      <c r="Q295" s="197">
        <v>40</v>
      </c>
      <c r="R295" s="197">
        <v>0</v>
      </c>
      <c r="S295" s="197">
        <v>0</v>
      </c>
    </row>
    <row r="296" spans="1:19" ht="33.75" customHeight="1">
      <c r="A296" s="95"/>
      <c r="B296" s="94"/>
      <c r="C296" s="99"/>
      <c r="D296" s="97"/>
      <c r="E296" s="109"/>
      <c r="F296" s="109"/>
      <c r="G296" s="101"/>
      <c r="H296" s="123" t="s">
        <v>428</v>
      </c>
      <c r="I296" s="5">
        <v>27</v>
      </c>
      <c r="J296" s="18">
        <v>7</v>
      </c>
      <c r="K296" s="15">
        <v>7</v>
      </c>
      <c r="L296" s="91" t="s">
        <v>424</v>
      </c>
      <c r="M296" s="92" t="s">
        <v>347</v>
      </c>
      <c r="N296" s="92" t="s">
        <v>365</v>
      </c>
      <c r="O296" s="92" t="s">
        <v>392</v>
      </c>
      <c r="P296" s="5"/>
      <c r="Q296" s="197">
        <f aca="true" t="shared" si="35" ref="Q296:S297">Q297</f>
        <v>60</v>
      </c>
      <c r="R296" s="197">
        <f t="shared" si="35"/>
        <v>60</v>
      </c>
      <c r="S296" s="197">
        <f t="shared" si="35"/>
        <v>60</v>
      </c>
    </row>
    <row r="297" spans="1:19" ht="27" customHeight="1">
      <c r="A297" s="95"/>
      <c r="B297" s="94"/>
      <c r="C297" s="99"/>
      <c r="D297" s="97"/>
      <c r="E297" s="109"/>
      <c r="F297" s="109"/>
      <c r="G297" s="101"/>
      <c r="H297" s="123" t="s">
        <v>22</v>
      </c>
      <c r="I297" s="5">
        <v>27</v>
      </c>
      <c r="J297" s="18">
        <v>7</v>
      </c>
      <c r="K297" s="15">
        <v>7</v>
      </c>
      <c r="L297" s="91" t="s">
        <v>424</v>
      </c>
      <c r="M297" s="92" t="s">
        <v>347</v>
      </c>
      <c r="N297" s="92" t="s">
        <v>365</v>
      </c>
      <c r="O297" s="92" t="s">
        <v>23</v>
      </c>
      <c r="P297" s="5"/>
      <c r="Q297" s="197">
        <f t="shared" si="35"/>
        <v>60</v>
      </c>
      <c r="R297" s="197">
        <f t="shared" si="35"/>
        <v>60</v>
      </c>
      <c r="S297" s="197">
        <f t="shared" si="35"/>
        <v>60</v>
      </c>
    </row>
    <row r="298" spans="1:19" ht="27" customHeight="1">
      <c r="A298" s="95"/>
      <c r="B298" s="94"/>
      <c r="C298" s="99"/>
      <c r="D298" s="97"/>
      <c r="E298" s="109"/>
      <c r="F298" s="109"/>
      <c r="G298" s="101"/>
      <c r="H298" s="227" t="s">
        <v>456</v>
      </c>
      <c r="I298" s="5">
        <v>27</v>
      </c>
      <c r="J298" s="18">
        <v>7</v>
      </c>
      <c r="K298" s="15">
        <v>7</v>
      </c>
      <c r="L298" s="91" t="s">
        <v>424</v>
      </c>
      <c r="M298" s="92" t="s">
        <v>347</v>
      </c>
      <c r="N298" s="92" t="s">
        <v>365</v>
      </c>
      <c r="O298" s="92" t="s">
        <v>23</v>
      </c>
      <c r="P298" s="5">
        <v>610</v>
      </c>
      <c r="Q298" s="197">
        <f>60+10.5-10.5</f>
        <v>60</v>
      </c>
      <c r="R298" s="197">
        <v>60</v>
      </c>
      <c r="S298" s="197">
        <v>60</v>
      </c>
    </row>
    <row r="299" spans="1:19" ht="33" customHeight="1">
      <c r="A299" s="95"/>
      <c r="B299" s="94"/>
      <c r="C299" s="99"/>
      <c r="D299" s="97"/>
      <c r="E299" s="109"/>
      <c r="F299" s="109"/>
      <c r="G299" s="101"/>
      <c r="H299" s="123" t="s">
        <v>429</v>
      </c>
      <c r="I299" s="5">
        <v>27</v>
      </c>
      <c r="J299" s="18">
        <v>7</v>
      </c>
      <c r="K299" s="15">
        <v>7</v>
      </c>
      <c r="L299" s="91" t="s">
        <v>424</v>
      </c>
      <c r="M299" s="92" t="s">
        <v>347</v>
      </c>
      <c r="N299" s="92" t="s">
        <v>366</v>
      </c>
      <c r="O299" s="92" t="s">
        <v>392</v>
      </c>
      <c r="P299" s="5"/>
      <c r="Q299" s="197">
        <f aca="true" t="shared" si="36" ref="Q299:S300">Q300</f>
        <v>100</v>
      </c>
      <c r="R299" s="197">
        <f t="shared" si="36"/>
        <v>100</v>
      </c>
      <c r="S299" s="197">
        <f t="shared" si="36"/>
        <v>100</v>
      </c>
    </row>
    <row r="300" spans="1:19" ht="27" customHeight="1">
      <c r="A300" s="95"/>
      <c r="B300" s="94"/>
      <c r="C300" s="99"/>
      <c r="D300" s="97"/>
      <c r="E300" s="109"/>
      <c r="F300" s="109"/>
      <c r="G300" s="101"/>
      <c r="H300" s="123" t="s">
        <v>22</v>
      </c>
      <c r="I300" s="5">
        <v>27</v>
      </c>
      <c r="J300" s="18">
        <v>7</v>
      </c>
      <c r="K300" s="15">
        <v>7</v>
      </c>
      <c r="L300" s="91" t="s">
        <v>424</v>
      </c>
      <c r="M300" s="92" t="s">
        <v>347</v>
      </c>
      <c r="N300" s="92" t="s">
        <v>366</v>
      </c>
      <c r="O300" s="92" t="s">
        <v>23</v>
      </c>
      <c r="P300" s="5"/>
      <c r="Q300" s="197">
        <f t="shared" si="36"/>
        <v>100</v>
      </c>
      <c r="R300" s="197">
        <f t="shared" si="36"/>
        <v>100</v>
      </c>
      <c r="S300" s="197">
        <f t="shared" si="36"/>
        <v>100</v>
      </c>
    </row>
    <row r="301" spans="1:19" ht="27" customHeight="1">
      <c r="A301" s="95"/>
      <c r="B301" s="94"/>
      <c r="C301" s="99"/>
      <c r="D301" s="97"/>
      <c r="E301" s="109"/>
      <c r="F301" s="109"/>
      <c r="G301" s="101"/>
      <c r="H301" s="227" t="s">
        <v>456</v>
      </c>
      <c r="I301" s="5">
        <v>27</v>
      </c>
      <c r="J301" s="18">
        <v>7</v>
      </c>
      <c r="K301" s="15">
        <v>7</v>
      </c>
      <c r="L301" s="91" t="s">
        <v>424</v>
      </c>
      <c r="M301" s="92" t="s">
        <v>347</v>
      </c>
      <c r="N301" s="92" t="s">
        <v>366</v>
      </c>
      <c r="O301" s="92" t="s">
        <v>23</v>
      </c>
      <c r="P301" s="5">
        <v>610</v>
      </c>
      <c r="Q301" s="197">
        <v>100</v>
      </c>
      <c r="R301" s="197">
        <v>100</v>
      </c>
      <c r="S301" s="197">
        <v>100</v>
      </c>
    </row>
    <row r="302" spans="1:19" s="171" customFormat="1" ht="24.75" customHeight="1">
      <c r="A302" s="135"/>
      <c r="B302" s="136"/>
      <c r="C302" s="135"/>
      <c r="D302" s="363">
        <v>10000</v>
      </c>
      <c r="E302" s="364"/>
      <c r="F302" s="364"/>
      <c r="G302" s="129">
        <v>240</v>
      </c>
      <c r="H302" s="130" t="s">
        <v>328</v>
      </c>
      <c r="I302" s="131">
        <v>27</v>
      </c>
      <c r="J302" s="132">
        <v>8</v>
      </c>
      <c r="K302" s="132"/>
      <c r="L302" s="133"/>
      <c r="M302" s="134"/>
      <c r="N302" s="134"/>
      <c r="O302" s="134"/>
      <c r="P302" s="131"/>
      <c r="Q302" s="194">
        <f aca="true" t="shared" si="37" ref="Q302:S303">Q303</f>
        <v>32831</v>
      </c>
      <c r="R302" s="194">
        <f t="shared" si="37"/>
        <v>30867.1</v>
      </c>
      <c r="S302" s="194">
        <f t="shared" si="37"/>
        <v>28667.199999999997</v>
      </c>
    </row>
    <row r="303" spans="1:19" s="171" customFormat="1" ht="25.5" customHeight="1">
      <c r="A303" s="135"/>
      <c r="B303" s="136"/>
      <c r="C303" s="146"/>
      <c r="D303" s="143"/>
      <c r="E303" s="373">
        <v>15200</v>
      </c>
      <c r="F303" s="373"/>
      <c r="G303" s="129">
        <v>240</v>
      </c>
      <c r="H303" s="130" t="s">
        <v>138</v>
      </c>
      <c r="I303" s="131">
        <v>27</v>
      </c>
      <c r="J303" s="132">
        <v>8</v>
      </c>
      <c r="K303" s="132">
        <v>1</v>
      </c>
      <c r="L303" s="133"/>
      <c r="M303" s="134"/>
      <c r="N303" s="134"/>
      <c r="O303" s="134"/>
      <c r="P303" s="131"/>
      <c r="Q303" s="194">
        <f>Q304+Q334</f>
        <v>32831</v>
      </c>
      <c r="R303" s="194">
        <f t="shared" si="37"/>
        <v>30867.1</v>
      </c>
      <c r="S303" s="194">
        <f t="shared" si="37"/>
        <v>28667.199999999997</v>
      </c>
    </row>
    <row r="304" spans="1:19" ht="25.5" customHeight="1">
      <c r="A304" s="95"/>
      <c r="B304" s="94"/>
      <c r="C304" s="99"/>
      <c r="D304" s="97"/>
      <c r="E304" s="362">
        <v>20400</v>
      </c>
      <c r="F304" s="362"/>
      <c r="G304" s="85">
        <v>850</v>
      </c>
      <c r="H304" s="4" t="s">
        <v>421</v>
      </c>
      <c r="I304" s="9">
        <v>27</v>
      </c>
      <c r="J304" s="15">
        <v>8</v>
      </c>
      <c r="K304" s="15">
        <v>1</v>
      </c>
      <c r="L304" s="91" t="s">
        <v>422</v>
      </c>
      <c r="M304" s="92" t="s">
        <v>347</v>
      </c>
      <c r="N304" s="92" t="s">
        <v>357</v>
      </c>
      <c r="O304" s="92" t="s">
        <v>392</v>
      </c>
      <c r="P304" s="9"/>
      <c r="Q304" s="195">
        <f>Q305+Q314+Q2934+Q331+Q319</f>
        <v>32768</v>
      </c>
      <c r="R304" s="195">
        <f>R305+R314+R319+R331</f>
        <v>30867.1</v>
      </c>
      <c r="S304" s="195">
        <f>S305+S314+S319+S331</f>
        <v>28667.199999999997</v>
      </c>
    </row>
    <row r="305" spans="1:19" ht="39.75" customHeight="1">
      <c r="A305" s="95"/>
      <c r="B305" s="94"/>
      <c r="C305" s="99"/>
      <c r="D305" s="97"/>
      <c r="E305" s="109"/>
      <c r="F305" s="109"/>
      <c r="G305" s="101">
        <v>120</v>
      </c>
      <c r="H305" s="17" t="s">
        <v>64</v>
      </c>
      <c r="I305" s="5">
        <v>27</v>
      </c>
      <c r="J305" s="15">
        <v>8</v>
      </c>
      <c r="K305" s="15">
        <v>1</v>
      </c>
      <c r="L305" s="91" t="s">
        <v>422</v>
      </c>
      <c r="M305" s="92" t="s">
        <v>347</v>
      </c>
      <c r="N305" s="92" t="s">
        <v>348</v>
      </c>
      <c r="O305" s="92" t="s">
        <v>392</v>
      </c>
      <c r="P305" s="5"/>
      <c r="Q305" s="197">
        <f>Q306+Q310+Q312+Q308</f>
        <v>13689</v>
      </c>
      <c r="R305" s="197">
        <f>R306+R310+R312+R308</f>
        <v>13411</v>
      </c>
      <c r="S305" s="197">
        <f>S306+S310+S312+S308</f>
        <v>13411</v>
      </c>
    </row>
    <row r="306" spans="1:19" ht="25.5" customHeight="1">
      <c r="A306" s="95"/>
      <c r="B306" s="94"/>
      <c r="C306" s="99"/>
      <c r="D306" s="97"/>
      <c r="E306" s="109"/>
      <c r="F306" s="109"/>
      <c r="G306" s="101"/>
      <c r="H306" s="17" t="s">
        <v>66</v>
      </c>
      <c r="I306" s="9">
        <v>27</v>
      </c>
      <c r="J306" s="15">
        <v>8</v>
      </c>
      <c r="K306" s="15">
        <v>1</v>
      </c>
      <c r="L306" s="91" t="s">
        <v>422</v>
      </c>
      <c r="M306" s="92" t="s">
        <v>347</v>
      </c>
      <c r="N306" s="92" t="s">
        <v>348</v>
      </c>
      <c r="O306" s="92" t="s">
        <v>65</v>
      </c>
      <c r="P306" s="5"/>
      <c r="Q306" s="197">
        <f>Q307</f>
        <v>10478.5</v>
      </c>
      <c r="R306" s="197">
        <f>R307</f>
        <v>10300.5</v>
      </c>
      <c r="S306" s="197">
        <f>S307</f>
        <v>10300.5</v>
      </c>
    </row>
    <row r="307" spans="1:19" ht="24.75" customHeight="1">
      <c r="A307" s="95"/>
      <c r="B307" s="94"/>
      <c r="C307" s="99"/>
      <c r="D307" s="97"/>
      <c r="E307" s="109"/>
      <c r="F307" s="109"/>
      <c r="G307" s="101"/>
      <c r="H307" s="227" t="s">
        <v>456</v>
      </c>
      <c r="I307" s="9">
        <v>27</v>
      </c>
      <c r="J307" s="15">
        <v>8</v>
      </c>
      <c r="K307" s="15">
        <v>1</v>
      </c>
      <c r="L307" s="91" t="s">
        <v>422</v>
      </c>
      <c r="M307" s="92" t="s">
        <v>347</v>
      </c>
      <c r="N307" s="92" t="s">
        <v>348</v>
      </c>
      <c r="O307" s="92" t="s">
        <v>65</v>
      </c>
      <c r="P307" s="5">
        <v>610</v>
      </c>
      <c r="Q307" s="197">
        <f>10319.1-18.6-100+278</f>
        <v>10478.5</v>
      </c>
      <c r="R307" s="197">
        <f>10319.1-18.6</f>
        <v>10300.5</v>
      </c>
      <c r="S307" s="197">
        <f>10319.1-18.6</f>
        <v>10300.5</v>
      </c>
    </row>
    <row r="308" spans="1:19" ht="30" customHeight="1">
      <c r="A308" s="95"/>
      <c r="B308" s="94"/>
      <c r="C308" s="99"/>
      <c r="D308" s="97"/>
      <c r="E308" s="109"/>
      <c r="F308" s="109"/>
      <c r="G308" s="101"/>
      <c r="H308" s="227" t="s">
        <v>595</v>
      </c>
      <c r="I308" s="9">
        <v>27</v>
      </c>
      <c r="J308" s="15">
        <v>8</v>
      </c>
      <c r="K308" s="15">
        <v>1</v>
      </c>
      <c r="L308" s="91" t="s">
        <v>422</v>
      </c>
      <c r="M308" s="92" t="s">
        <v>347</v>
      </c>
      <c r="N308" s="92" t="s">
        <v>348</v>
      </c>
      <c r="O308" s="92" t="s">
        <v>594</v>
      </c>
      <c r="P308" s="5"/>
      <c r="Q308" s="197">
        <f>Q309</f>
        <v>1224.1</v>
      </c>
      <c r="R308" s="197">
        <f>R309</f>
        <v>1224.1</v>
      </c>
      <c r="S308" s="197">
        <f>S309</f>
        <v>1224.1</v>
      </c>
    </row>
    <row r="309" spans="1:19" ht="24.75" customHeight="1">
      <c r="A309" s="95"/>
      <c r="B309" s="94"/>
      <c r="C309" s="99"/>
      <c r="D309" s="97"/>
      <c r="E309" s="109"/>
      <c r="F309" s="109"/>
      <c r="G309" s="101"/>
      <c r="H309" s="227" t="s">
        <v>456</v>
      </c>
      <c r="I309" s="9">
        <v>27</v>
      </c>
      <c r="J309" s="15">
        <v>8</v>
      </c>
      <c r="K309" s="15">
        <v>1</v>
      </c>
      <c r="L309" s="91" t="s">
        <v>422</v>
      </c>
      <c r="M309" s="92" t="s">
        <v>347</v>
      </c>
      <c r="N309" s="92" t="s">
        <v>348</v>
      </c>
      <c r="O309" s="92" t="s">
        <v>594</v>
      </c>
      <c r="P309" s="5">
        <v>610</v>
      </c>
      <c r="Q309" s="197">
        <v>1224.1</v>
      </c>
      <c r="R309" s="197">
        <v>1224.1</v>
      </c>
      <c r="S309" s="197">
        <v>1224.1</v>
      </c>
    </row>
    <row r="310" spans="1:19" ht="24.75" customHeight="1">
      <c r="A310" s="95"/>
      <c r="B310" s="94"/>
      <c r="C310" s="99"/>
      <c r="D310" s="97"/>
      <c r="E310" s="109"/>
      <c r="F310" s="109"/>
      <c r="G310" s="101"/>
      <c r="H310" s="4" t="s">
        <v>536</v>
      </c>
      <c r="I310" s="9">
        <v>27</v>
      </c>
      <c r="J310" s="15">
        <v>8</v>
      </c>
      <c r="K310" s="15">
        <v>1</v>
      </c>
      <c r="L310" s="91" t="s">
        <v>422</v>
      </c>
      <c r="M310" s="92" t="s">
        <v>347</v>
      </c>
      <c r="N310" s="92" t="s">
        <v>348</v>
      </c>
      <c r="O310" s="92" t="s">
        <v>535</v>
      </c>
      <c r="P310" s="5"/>
      <c r="Q310" s="197">
        <f>Q311</f>
        <v>340</v>
      </c>
      <c r="R310" s="197">
        <f>R311</f>
        <v>340</v>
      </c>
      <c r="S310" s="197">
        <f>S311</f>
        <v>340</v>
      </c>
    </row>
    <row r="311" spans="1:19" ht="24" customHeight="1">
      <c r="A311" s="95"/>
      <c r="B311" s="94"/>
      <c r="C311" s="99"/>
      <c r="D311" s="97"/>
      <c r="E311" s="109"/>
      <c r="F311" s="109"/>
      <c r="G311" s="101"/>
      <c r="H311" s="227" t="s">
        <v>456</v>
      </c>
      <c r="I311" s="9">
        <v>27</v>
      </c>
      <c r="J311" s="15">
        <v>8</v>
      </c>
      <c r="K311" s="15">
        <v>1</v>
      </c>
      <c r="L311" s="91" t="s">
        <v>422</v>
      </c>
      <c r="M311" s="92" t="s">
        <v>347</v>
      </c>
      <c r="N311" s="92" t="s">
        <v>348</v>
      </c>
      <c r="O311" s="92" t="s">
        <v>535</v>
      </c>
      <c r="P311" s="5">
        <v>610</v>
      </c>
      <c r="Q311" s="197">
        <v>340</v>
      </c>
      <c r="R311" s="197">
        <v>340</v>
      </c>
      <c r="S311" s="197">
        <v>340</v>
      </c>
    </row>
    <row r="312" spans="1:19" ht="27" customHeight="1">
      <c r="A312" s="95"/>
      <c r="B312" s="94"/>
      <c r="C312" s="99"/>
      <c r="D312" s="97"/>
      <c r="E312" s="109"/>
      <c r="F312" s="109"/>
      <c r="G312" s="101"/>
      <c r="H312" s="4" t="s">
        <v>431</v>
      </c>
      <c r="I312" s="9">
        <v>27</v>
      </c>
      <c r="J312" s="15">
        <v>8</v>
      </c>
      <c r="K312" s="15">
        <v>1</v>
      </c>
      <c r="L312" s="91" t="s">
        <v>422</v>
      </c>
      <c r="M312" s="92" t="s">
        <v>347</v>
      </c>
      <c r="N312" s="92" t="s">
        <v>348</v>
      </c>
      <c r="O312" s="92" t="s">
        <v>564</v>
      </c>
      <c r="P312" s="5"/>
      <c r="Q312" s="197">
        <f>Q313</f>
        <v>1646.4</v>
      </c>
      <c r="R312" s="197">
        <f>R313</f>
        <v>1546.4</v>
      </c>
      <c r="S312" s="197">
        <f>S313</f>
        <v>1546.4</v>
      </c>
    </row>
    <row r="313" spans="1:19" ht="30" customHeight="1">
      <c r="A313" s="95"/>
      <c r="B313" s="94"/>
      <c r="C313" s="99"/>
      <c r="D313" s="97"/>
      <c r="E313" s="109"/>
      <c r="F313" s="109"/>
      <c r="G313" s="101"/>
      <c r="H313" s="227" t="s">
        <v>456</v>
      </c>
      <c r="I313" s="9">
        <v>27</v>
      </c>
      <c r="J313" s="15">
        <v>8</v>
      </c>
      <c r="K313" s="15">
        <v>1</v>
      </c>
      <c r="L313" s="91" t="s">
        <v>422</v>
      </c>
      <c r="M313" s="92" t="s">
        <v>347</v>
      </c>
      <c r="N313" s="92" t="s">
        <v>348</v>
      </c>
      <c r="O313" s="92" t="s">
        <v>564</v>
      </c>
      <c r="P313" s="5">
        <v>610</v>
      </c>
      <c r="Q313" s="197">
        <f>1546.4+100</f>
        <v>1646.4</v>
      </c>
      <c r="R313" s="197">
        <v>1546.4</v>
      </c>
      <c r="S313" s="197">
        <v>1546.4</v>
      </c>
    </row>
    <row r="314" spans="1:19" ht="32.25" customHeight="1">
      <c r="A314" s="95"/>
      <c r="B314" s="94"/>
      <c r="C314" s="99"/>
      <c r="D314" s="97"/>
      <c r="E314" s="109"/>
      <c r="F314" s="109"/>
      <c r="G314" s="101"/>
      <c r="H314" s="4" t="s">
        <v>432</v>
      </c>
      <c r="I314" s="9">
        <v>27</v>
      </c>
      <c r="J314" s="15">
        <v>8</v>
      </c>
      <c r="K314" s="15">
        <v>1</v>
      </c>
      <c r="L314" s="91" t="s">
        <v>422</v>
      </c>
      <c r="M314" s="92" t="s">
        <v>347</v>
      </c>
      <c r="N314" s="92" t="s">
        <v>365</v>
      </c>
      <c r="O314" s="92" t="s">
        <v>392</v>
      </c>
      <c r="P314" s="5"/>
      <c r="Q314" s="197">
        <f>Q315+Q317</f>
        <v>14511.2</v>
      </c>
      <c r="R314" s="197">
        <f>R315+R317</f>
        <v>13007.8</v>
      </c>
      <c r="S314" s="197">
        <f>S315+S317</f>
        <v>13007.8</v>
      </c>
    </row>
    <row r="315" spans="1:19" ht="33" customHeight="1">
      <c r="A315" s="95"/>
      <c r="B315" s="94"/>
      <c r="C315" s="99"/>
      <c r="D315" s="97"/>
      <c r="E315" s="109"/>
      <c r="F315" s="109"/>
      <c r="G315" s="101"/>
      <c r="H315" s="4" t="s">
        <v>22</v>
      </c>
      <c r="I315" s="9">
        <v>27</v>
      </c>
      <c r="J315" s="15">
        <v>8</v>
      </c>
      <c r="K315" s="15">
        <v>1</v>
      </c>
      <c r="L315" s="91" t="s">
        <v>422</v>
      </c>
      <c r="M315" s="92" t="s">
        <v>347</v>
      </c>
      <c r="N315" s="92" t="s">
        <v>365</v>
      </c>
      <c r="O315" s="92" t="s">
        <v>23</v>
      </c>
      <c r="P315" s="5"/>
      <c r="Q315" s="197">
        <f>Q316</f>
        <v>11232.2</v>
      </c>
      <c r="R315" s="197">
        <f>R316</f>
        <v>10334.8</v>
      </c>
      <c r="S315" s="197">
        <f>S316</f>
        <v>10334.8</v>
      </c>
    </row>
    <row r="316" spans="1:19" ht="27" customHeight="1">
      <c r="A316" s="95"/>
      <c r="B316" s="94"/>
      <c r="C316" s="99"/>
      <c r="D316" s="97"/>
      <c r="E316" s="109"/>
      <c r="F316" s="109"/>
      <c r="G316" s="101"/>
      <c r="H316" s="4" t="s">
        <v>456</v>
      </c>
      <c r="I316" s="9">
        <v>27</v>
      </c>
      <c r="J316" s="15">
        <v>8</v>
      </c>
      <c r="K316" s="15">
        <v>1</v>
      </c>
      <c r="L316" s="91" t="s">
        <v>422</v>
      </c>
      <c r="M316" s="92" t="s">
        <v>347</v>
      </c>
      <c r="N316" s="92" t="s">
        <v>365</v>
      </c>
      <c r="O316" s="92" t="s">
        <v>23</v>
      </c>
      <c r="P316" s="5">
        <v>610</v>
      </c>
      <c r="Q316" s="197">
        <f>6357+425.3+3977.8+472.1</f>
        <v>11232.2</v>
      </c>
      <c r="R316" s="197">
        <f>6527+3807.8</f>
        <v>10334.8</v>
      </c>
      <c r="S316" s="197">
        <f>6527+3807.8</f>
        <v>10334.8</v>
      </c>
    </row>
    <row r="317" spans="1:19" ht="33.75" customHeight="1">
      <c r="A317" s="95"/>
      <c r="B317" s="94"/>
      <c r="C317" s="99"/>
      <c r="D317" s="97"/>
      <c r="E317" s="109"/>
      <c r="F317" s="109"/>
      <c r="G317" s="101"/>
      <c r="H317" s="227" t="s">
        <v>595</v>
      </c>
      <c r="I317" s="9">
        <v>27</v>
      </c>
      <c r="J317" s="15">
        <v>8</v>
      </c>
      <c r="K317" s="15">
        <v>1</v>
      </c>
      <c r="L317" s="91" t="s">
        <v>422</v>
      </c>
      <c r="M317" s="92" t="s">
        <v>347</v>
      </c>
      <c r="N317" s="92" t="s">
        <v>365</v>
      </c>
      <c r="O317" s="92" t="s">
        <v>594</v>
      </c>
      <c r="P317" s="5"/>
      <c r="Q317" s="197">
        <f>Q318</f>
        <v>3279</v>
      </c>
      <c r="R317" s="197">
        <f>R318</f>
        <v>2673</v>
      </c>
      <c r="S317" s="197">
        <f>S318</f>
        <v>2673</v>
      </c>
    </row>
    <row r="318" spans="1:19" ht="27" customHeight="1">
      <c r="A318" s="95"/>
      <c r="B318" s="94"/>
      <c r="C318" s="99"/>
      <c r="D318" s="97"/>
      <c r="E318" s="109"/>
      <c r="F318" s="109"/>
      <c r="G318" s="101"/>
      <c r="H318" s="227" t="s">
        <v>456</v>
      </c>
      <c r="I318" s="9">
        <v>27</v>
      </c>
      <c r="J318" s="15">
        <v>8</v>
      </c>
      <c r="K318" s="15">
        <v>1</v>
      </c>
      <c r="L318" s="91" t="s">
        <v>422</v>
      </c>
      <c r="M318" s="92" t="s">
        <v>347</v>
      </c>
      <c r="N318" s="92" t="s">
        <v>365</v>
      </c>
      <c r="O318" s="92" t="s">
        <v>594</v>
      </c>
      <c r="P318" s="5">
        <v>610</v>
      </c>
      <c r="Q318" s="197">
        <f>2673+606</f>
        <v>3279</v>
      </c>
      <c r="R318" s="197">
        <v>2673</v>
      </c>
      <c r="S318" s="197">
        <v>2673</v>
      </c>
    </row>
    <row r="319" spans="1:19" ht="42" customHeight="1">
      <c r="A319" s="95"/>
      <c r="B319" s="94"/>
      <c r="C319" s="99"/>
      <c r="D319" s="97"/>
      <c r="E319" s="109"/>
      <c r="F319" s="109"/>
      <c r="G319" s="101"/>
      <c r="H319" s="4" t="s">
        <v>117</v>
      </c>
      <c r="I319" s="9">
        <v>27</v>
      </c>
      <c r="J319" s="15">
        <v>8</v>
      </c>
      <c r="K319" s="15">
        <v>1</v>
      </c>
      <c r="L319" s="91" t="s">
        <v>422</v>
      </c>
      <c r="M319" s="92" t="s">
        <v>347</v>
      </c>
      <c r="N319" s="92" t="s">
        <v>366</v>
      </c>
      <c r="O319" s="92" t="s">
        <v>392</v>
      </c>
      <c r="P319" s="5"/>
      <c r="Q319" s="197">
        <f>Q323+Q326+Q328+Q320</f>
        <v>4549.199999999999</v>
      </c>
      <c r="R319" s="197">
        <f>R323+R326+R328+R320</f>
        <v>4429.7</v>
      </c>
      <c r="S319" s="197">
        <f>S323+S326+S328+S320</f>
        <v>2229.8</v>
      </c>
    </row>
    <row r="320" spans="1:19" ht="27" customHeight="1">
      <c r="A320" s="95"/>
      <c r="B320" s="94"/>
      <c r="C320" s="99"/>
      <c r="D320" s="97"/>
      <c r="E320" s="109"/>
      <c r="F320" s="109"/>
      <c r="G320" s="101"/>
      <c r="H320" s="4" t="s">
        <v>22</v>
      </c>
      <c r="I320" s="9">
        <v>27</v>
      </c>
      <c r="J320" s="15">
        <v>8</v>
      </c>
      <c r="K320" s="15">
        <v>1</v>
      </c>
      <c r="L320" s="91" t="s">
        <v>422</v>
      </c>
      <c r="M320" s="92" t="s">
        <v>347</v>
      </c>
      <c r="N320" s="92" t="s">
        <v>366</v>
      </c>
      <c r="O320" s="92" t="s">
        <v>23</v>
      </c>
      <c r="P320" s="5"/>
      <c r="Q320" s="197">
        <f>Q322+Q321</f>
        <v>2230.3999999999987</v>
      </c>
      <c r="R320" s="197">
        <f>R322+R321</f>
        <v>4429.7</v>
      </c>
      <c r="S320" s="197">
        <f>S322</f>
        <v>2229.8</v>
      </c>
    </row>
    <row r="321" spans="1:19" ht="27" customHeight="1">
      <c r="A321" s="95"/>
      <c r="B321" s="94"/>
      <c r="C321" s="99"/>
      <c r="D321" s="97"/>
      <c r="E321" s="109"/>
      <c r="F321" s="109"/>
      <c r="G321" s="101"/>
      <c r="H321" s="32" t="s">
        <v>454</v>
      </c>
      <c r="I321" s="9">
        <v>27</v>
      </c>
      <c r="J321" s="15">
        <v>8</v>
      </c>
      <c r="K321" s="15">
        <v>1</v>
      </c>
      <c r="L321" s="91" t="s">
        <v>422</v>
      </c>
      <c r="M321" s="92" t="s">
        <v>347</v>
      </c>
      <c r="N321" s="92" t="s">
        <v>366</v>
      </c>
      <c r="O321" s="92" t="s">
        <v>23</v>
      </c>
      <c r="P321" s="5">
        <v>240</v>
      </c>
      <c r="Q321" s="197">
        <v>0</v>
      </c>
      <c r="R321" s="197">
        <v>2200</v>
      </c>
      <c r="S321" s="197">
        <v>0</v>
      </c>
    </row>
    <row r="322" spans="1:19" ht="30" customHeight="1">
      <c r="A322" s="95"/>
      <c r="B322" s="94"/>
      <c r="C322" s="99"/>
      <c r="D322" s="97"/>
      <c r="E322" s="109"/>
      <c r="F322" s="109"/>
      <c r="G322" s="101"/>
      <c r="H322" s="4" t="s">
        <v>456</v>
      </c>
      <c r="I322" s="9">
        <v>27</v>
      </c>
      <c r="J322" s="15">
        <v>8</v>
      </c>
      <c r="K322" s="15">
        <v>1</v>
      </c>
      <c r="L322" s="91" t="s">
        <v>422</v>
      </c>
      <c r="M322" s="92" t="s">
        <v>347</v>
      </c>
      <c r="N322" s="92" t="s">
        <v>366</v>
      </c>
      <c r="O322" s="92" t="s">
        <v>23</v>
      </c>
      <c r="P322" s="5">
        <v>610</v>
      </c>
      <c r="Q322" s="197">
        <f>5997.8+2200+210.4-3977.8-2200</f>
        <v>2230.3999999999987</v>
      </c>
      <c r="R322" s="197">
        <f>6037.5-3977.8+170</f>
        <v>2229.7</v>
      </c>
      <c r="S322" s="197">
        <f>6037.6-3977.8+170</f>
        <v>2229.8</v>
      </c>
    </row>
    <row r="323" spans="1:19" ht="24" customHeight="1" hidden="1">
      <c r="A323" s="95"/>
      <c r="B323" s="94"/>
      <c r="C323" s="99"/>
      <c r="D323" s="97"/>
      <c r="E323" s="109"/>
      <c r="F323" s="109"/>
      <c r="G323" s="101"/>
      <c r="H323" s="4" t="s">
        <v>433</v>
      </c>
      <c r="I323" s="9">
        <v>27</v>
      </c>
      <c r="J323" s="15">
        <v>8</v>
      </c>
      <c r="K323" s="15">
        <v>1</v>
      </c>
      <c r="L323" s="91" t="s">
        <v>422</v>
      </c>
      <c r="M323" s="92" t="s">
        <v>347</v>
      </c>
      <c r="N323" s="92" t="s">
        <v>366</v>
      </c>
      <c r="O323" s="92" t="s">
        <v>430</v>
      </c>
      <c r="P323" s="5"/>
      <c r="Q323" s="197">
        <f>Q325+Q324</f>
        <v>0</v>
      </c>
      <c r="R323" s="197">
        <f>R325+R324</f>
        <v>0</v>
      </c>
      <c r="S323" s="197">
        <f>S325+S324</f>
        <v>0</v>
      </c>
    </row>
    <row r="324" spans="1:19" ht="24" customHeight="1" hidden="1">
      <c r="A324" s="95"/>
      <c r="B324" s="94"/>
      <c r="C324" s="99"/>
      <c r="D324" s="103"/>
      <c r="E324" s="100"/>
      <c r="F324" s="100"/>
      <c r="G324" s="101"/>
      <c r="H324" s="4" t="s">
        <v>552</v>
      </c>
      <c r="I324" s="9">
        <v>27</v>
      </c>
      <c r="J324" s="15">
        <v>8</v>
      </c>
      <c r="K324" s="15">
        <v>1</v>
      </c>
      <c r="L324" s="91" t="s">
        <v>422</v>
      </c>
      <c r="M324" s="92" t="s">
        <v>347</v>
      </c>
      <c r="N324" s="92" t="s">
        <v>366</v>
      </c>
      <c r="O324" s="92" t="s">
        <v>430</v>
      </c>
      <c r="P324" s="5">
        <v>350</v>
      </c>
      <c r="Q324" s="197">
        <v>0</v>
      </c>
      <c r="R324" s="197">
        <v>0</v>
      </c>
      <c r="S324" s="197">
        <v>0</v>
      </c>
    </row>
    <row r="325" spans="1:19" ht="27.75" customHeight="1" hidden="1">
      <c r="A325" s="95"/>
      <c r="B325" s="94"/>
      <c r="C325" s="99"/>
      <c r="D325" s="103"/>
      <c r="E325" s="100"/>
      <c r="F325" s="100"/>
      <c r="G325" s="101"/>
      <c r="H325" s="4" t="s">
        <v>456</v>
      </c>
      <c r="I325" s="12">
        <v>27</v>
      </c>
      <c r="J325" s="15">
        <v>8</v>
      </c>
      <c r="K325" s="15">
        <v>1</v>
      </c>
      <c r="L325" s="91" t="s">
        <v>422</v>
      </c>
      <c r="M325" s="92" t="s">
        <v>347</v>
      </c>
      <c r="N325" s="92" t="s">
        <v>366</v>
      </c>
      <c r="O325" s="92" t="s">
        <v>430</v>
      </c>
      <c r="P325" s="5">
        <v>610</v>
      </c>
      <c r="Q325" s="197">
        <v>0</v>
      </c>
      <c r="R325" s="197">
        <v>0</v>
      </c>
      <c r="S325" s="197">
        <v>0</v>
      </c>
    </row>
    <row r="326" spans="1:19" ht="26.25" customHeight="1" hidden="1">
      <c r="A326" s="95"/>
      <c r="B326" s="94"/>
      <c r="C326" s="99"/>
      <c r="D326" s="103"/>
      <c r="E326" s="100"/>
      <c r="F326" s="100"/>
      <c r="G326" s="101"/>
      <c r="H326" s="4" t="s">
        <v>49</v>
      </c>
      <c r="I326" s="12">
        <v>27</v>
      </c>
      <c r="J326" s="15">
        <v>8</v>
      </c>
      <c r="K326" s="15">
        <v>1</v>
      </c>
      <c r="L326" s="91" t="s">
        <v>422</v>
      </c>
      <c r="M326" s="92" t="s">
        <v>347</v>
      </c>
      <c r="N326" s="92" t="s">
        <v>366</v>
      </c>
      <c r="O326" s="92" t="s">
        <v>50</v>
      </c>
      <c r="P326" s="5"/>
      <c r="Q326" s="197">
        <f>Q327</f>
        <v>0</v>
      </c>
      <c r="R326" s="197">
        <f>R327</f>
        <v>0</v>
      </c>
      <c r="S326" s="197">
        <f>S327</f>
        <v>0</v>
      </c>
    </row>
    <row r="327" spans="1:19" ht="27.75" customHeight="1" hidden="1">
      <c r="A327" s="95"/>
      <c r="B327" s="94"/>
      <c r="C327" s="99"/>
      <c r="D327" s="105"/>
      <c r="E327" s="100"/>
      <c r="F327" s="100"/>
      <c r="G327" s="101">
        <v>850</v>
      </c>
      <c r="H327" s="17" t="s">
        <v>456</v>
      </c>
      <c r="I327" s="12">
        <v>27</v>
      </c>
      <c r="J327" s="15">
        <v>8</v>
      </c>
      <c r="K327" s="15">
        <v>1</v>
      </c>
      <c r="L327" s="91" t="s">
        <v>422</v>
      </c>
      <c r="M327" s="92" t="s">
        <v>347</v>
      </c>
      <c r="N327" s="92" t="s">
        <v>366</v>
      </c>
      <c r="O327" s="92" t="s">
        <v>50</v>
      </c>
      <c r="P327" s="5">
        <v>610</v>
      </c>
      <c r="Q327" s="197">
        <v>0</v>
      </c>
      <c r="R327" s="197">
        <v>0</v>
      </c>
      <c r="S327" s="197">
        <v>0</v>
      </c>
    </row>
    <row r="328" spans="1:19" ht="27.75" customHeight="1">
      <c r="A328" s="95"/>
      <c r="B328" s="94"/>
      <c r="C328" s="93"/>
      <c r="D328" s="105"/>
      <c r="E328" s="100"/>
      <c r="F328" s="100"/>
      <c r="G328" s="85"/>
      <c r="H328" s="17" t="s">
        <v>703</v>
      </c>
      <c r="I328" s="12">
        <v>27</v>
      </c>
      <c r="J328" s="15">
        <v>8</v>
      </c>
      <c r="K328" s="15">
        <v>1</v>
      </c>
      <c r="L328" s="91" t="s">
        <v>422</v>
      </c>
      <c r="M328" s="92" t="s">
        <v>347</v>
      </c>
      <c r="N328" s="92" t="s">
        <v>613</v>
      </c>
      <c r="O328" s="92" t="s">
        <v>392</v>
      </c>
      <c r="P328" s="9"/>
      <c r="Q328" s="195">
        <f aca="true" t="shared" si="38" ref="Q328:S329">Q329</f>
        <v>2318.7999999999997</v>
      </c>
      <c r="R328" s="195">
        <f t="shared" si="38"/>
        <v>0</v>
      </c>
      <c r="S328" s="195">
        <f t="shared" si="38"/>
        <v>0</v>
      </c>
    </row>
    <row r="329" spans="1:19" ht="33.75" customHeight="1">
      <c r="A329" s="95"/>
      <c r="B329" s="94"/>
      <c r="C329" s="93"/>
      <c r="D329" s="371">
        <v>4360000</v>
      </c>
      <c r="E329" s="372"/>
      <c r="F329" s="372"/>
      <c r="G329" s="85">
        <v>340</v>
      </c>
      <c r="H329" s="269" t="s">
        <v>528</v>
      </c>
      <c r="I329" s="9">
        <v>27</v>
      </c>
      <c r="J329" s="15">
        <v>8</v>
      </c>
      <c r="K329" s="15">
        <v>1</v>
      </c>
      <c r="L329" s="91" t="s">
        <v>422</v>
      </c>
      <c r="M329" s="92" t="s">
        <v>347</v>
      </c>
      <c r="N329" s="92" t="s">
        <v>613</v>
      </c>
      <c r="O329" s="92" t="s">
        <v>527</v>
      </c>
      <c r="P329" s="9"/>
      <c r="Q329" s="195">
        <f t="shared" si="38"/>
        <v>2318.7999999999997</v>
      </c>
      <c r="R329" s="195">
        <f t="shared" si="38"/>
        <v>0</v>
      </c>
      <c r="S329" s="195">
        <f t="shared" si="38"/>
        <v>0</v>
      </c>
    </row>
    <row r="330" spans="1:19" ht="20.25" customHeight="1">
      <c r="A330" s="95"/>
      <c r="B330" s="94"/>
      <c r="C330" s="93"/>
      <c r="D330" s="97"/>
      <c r="E330" s="96"/>
      <c r="F330" s="96"/>
      <c r="G330" s="85"/>
      <c r="H330" s="4" t="s">
        <v>456</v>
      </c>
      <c r="I330" s="12">
        <v>27</v>
      </c>
      <c r="J330" s="15">
        <v>8</v>
      </c>
      <c r="K330" s="15">
        <v>1</v>
      </c>
      <c r="L330" s="91" t="s">
        <v>422</v>
      </c>
      <c r="M330" s="92" t="s">
        <v>347</v>
      </c>
      <c r="N330" s="92" t="s">
        <v>613</v>
      </c>
      <c r="O330" s="92" t="s">
        <v>527</v>
      </c>
      <c r="P330" s="9">
        <v>610</v>
      </c>
      <c r="Q330" s="195">
        <f>2529.2-210.4</f>
        <v>2318.7999999999997</v>
      </c>
      <c r="R330" s="195">
        <v>0</v>
      </c>
      <c r="S330" s="195">
        <v>0</v>
      </c>
    </row>
    <row r="331" spans="1:19" ht="35.25" customHeight="1">
      <c r="A331" s="95"/>
      <c r="B331" s="94"/>
      <c r="C331" s="93"/>
      <c r="D331" s="97"/>
      <c r="E331" s="98"/>
      <c r="F331" s="98"/>
      <c r="G331" s="85"/>
      <c r="H331" s="4" t="s">
        <v>840</v>
      </c>
      <c r="I331" s="12">
        <v>27</v>
      </c>
      <c r="J331" s="15">
        <v>8</v>
      </c>
      <c r="K331" s="15">
        <v>1</v>
      </c>
      <c r="L331" s="91" t="s">
        <v>422</v>
      </c>
      <c r="M331" s="92" t="s">
        <v>347</v>
      </c>
      <c r="N331" s="92" t="s">
        <v>350</v>
      </c>
      <c r="O331" s="92" t="s">
        <v>392</v>
      </c>
      <c r="P331" s="5"/>
      <c r="Q331" s="197">
        <f aca="true" t="shared" si="39" ref="Q331:S332">Q332</f>
        <v>18.6</v>
      </c>
      <c r="R331" s="197">
        <f t="shared" si="39"/>
        <v>18.6</v>
      </c>
      <c r="S331" s="197">
        <f t="shared" si="39"/>
        <v>18.6</v>
      </c>
    </row>
    <row r="332" spans="1:19" ht="20.25" customHeight="1">
      <c r="A332" s="95"/>
      <c r="B332" s="94"/>
      <c r="C332" s="93"/>
      <c r="D332" s="97"/>
      <c r="E332" s="98"/>
      <c r="F332" s="98"/>
      <c r="G332" s="85"/>
      <c r="H332" s="4" t="s">
        <v>66</v>
      </c>
      <c r="I332" s="12">
        <v>27</v>
      </c>
      <c r="J332" s="15">
        <v>8</v>
      </c>
      <c r="K332" s="15">
        <v>1</v>
      </c>
      <c r="L332" s="91" t="s">
        <v>422</v>
      </c>
      <c r="M332" s="92" t="s">
        <v>347</v>
      </c>
      <c r="N332" s="92" t="s">
        <v>350</v>
      </c>
      <c r="O332" s="92" t="s">
        <v>65</v>
      </c>
      <c r="P332" s="5"/>
      <c r="Q332" s="197">
        <f t="shared" si="39"/>
        <v>18.6</v>
      </c>
      <c r="R332" s="197">
        <f t="shared" si="39"/>
        <v>18.6</v>
      </c>
      <c r="S332" s="197">
        <f t="shared" si="39"/>
        <v>18.6</v>
      </c>
    </row>
    <row r="333" spans="1:19" ht="20.25" customHeight="1">
      <c r="A333" s="95"/>
      <c r="B333" s="94"/>
      <c r="C333" s="93"/>
      <c r="D333" s="97"/>
      <c r="E333" s="98"/>
      <c r="F333" s="98"/>
      <c r="G333" s="85"/>
      <c r="H333" s="4" t="s">
        <v>456</v>
      </c>
      <c r="I333" s="12">
        <v>27</v>
      </c>
      <c r="J333" s="15">
        <v>8</v>
      </c>
      <c r="K333" s="15">
        <v>1</v>
      </c>
      <c r="L333" s="91" t="s">
        <v>422</v>
      </c>
      <c r="M333" s="92" t="s">
        <v>347</v>
      </c>
      <c r="N333" s="92" t="s">
        <v>350</v>
      </c>
      <c r="O333" s="92" t="s">
        <v>65</v>
      </c>
      <c r="P333" s="5">
        <v>610</v>
      </c>
      <c r="Q333" s="197">
        <v>18.6</v>
      </c>
      <c r="R333" s="197">
        <v>18.6</v>
      </c>
      <c r="S333" s="197">
        <v>18.6</v>
      </c>
    </row>
    <row r="334" spans="1:19" ht="37.5" customHeight="1">
      <c r="A334" s="95"/>
      <c r="B334" s="94"/>
      <c r="C334" s="93"/>
      <c r="D334" s="97"/>
      <c r="E334" s="98"/>
      <c r="F334" s="98"/>
      <c r="G334" s="85"/>
      <c r="H334" s="10" t="s">
        <v>53</v>
      </c>
      <c r="I334" s="5">
        <v>27</v>
      </c>
      <c r="J334" s="18">
        <v>8</v>
      </c>
      <c r="K334" s="15">
        <v>1</v>
      </c>
      <c r="L334" s="117" t="s">
        <v>559</v>
      </c>
      <c r="M334" s="118" t="s">
        <v>347</v>
      </c>
      <c r="N334" s="118" t="s">
        <v>357</v>
      </c>
      <c r="O334" s="118" t="s">
        <v>392</v>
      </c>
      <c r="P334" s="5"/>
      <c r="Q334" s="197">
        <f>Q335</f>
        <v>63</v>
      </c>
      <c r="R334" s="197">
        <f aca="true" t="shared" si="40" ref="R334:S336">R335</f>
        <v>0</v>
      </c>
      <c r="S334" s="197">
        <f t="shared" si="40"/>
        <v>0</v>
      </c>
    </row>
    <row r="335" spans="1:19" ht="34.5" customHeight="1">
      <c r="A335" s="95"/>
      <c r="B335" s="94"/>
      <c r="C335" s="93"/>
      <c r="D335" s="97"/>
      <c r="E335" s="98"/>
      <c r="F335" s="98"/>
      <c r="G335" s="85"/>
      <c r="H335" s="17" t="s">
        <v>56</v>
      </c>
      <c r="I335" s="9">
        <v>27</v>
      </c>
      <c r="J335" s="15">
        <v>8</v>
      </c>
      <c r="K335" s="15">
        <v>1</v>
      </c>
      <c r="L335" s="91" t="s">
        <v>559</v>
      </c>
      <c r="M335" s="92" t="s">
        <v>347</v>
      </c>
      <c r="N335" s="92" t="s">
        <v>361</v>
      </c>
      <c r="O335" s="92" t="s">
        <v>392</v>
      </c>
      <c r="P335" s="5"/>
      <c r="Q335" s="197">
        <f>Q336</f>
        <v>63</v>
      </c>
      <c r="R335" s="197">
        <f t="shared" si="40"/>
        <v>0</v>
      </c>
      <c r="S335" s="197">
        <f t="shared" si="40"/>
        <v>0</v>
      </c>
    </row>
    <row r="336" spans="1:19" ht="20.25" customHeight="1">
      <c r="A336" s="95"/>
      <c r="B336" s="94"/>
      <c r="C336" s="93"/>
      <c r="D336" s="97"/>
      <c r="E336" s="98"/>
      <c r="F336" s="98"/>
      <c r="G336" s="85"/>
      <c r="H336" s="4" t="s">
        <v>622</v>
      </c>
      <c r="I336" s="9">
        <v>27</v>
      </c>
      <c r="J336" s="15">
        <v>8</v>
      </c>
      <c r="K336" s="15">
        <v>1</v>
      </c>
      <c r="L336" s="91" t="s">
        <v>559</v>
      </c>
      <c r="M336" s="92" t="s">
        <v>347</v>
      </c>
      <c r="N336" s="92" t="s">
        <v>361</v>
      </c>
      <c r="O336" s="92" t="s">
        <v>59</v>
      </c>
      <c r="P336" s="5"/>
      <c r="Q336" s="197">
        <f>Q337</f>
        <v>63</v>
      </c>
      <c r="R336" s="197">
        <f t="shared" si="40"/>
        <v>0</v>
      </c>
      <c r="S336" s="197">
        <f t="shared" si="40"/>
        <v>0</v>
      </c>
    </row>
    <row r="337" spans="1:19" ht="20.25" customHeight="1">
      <c r="A337" s="95"/>
      <c r="B337" s="94"/>
      <c r="C337" s="93"/>
      <c r="D337" s="97"/>
      <c r="E337" s="98"/>
      <c r="F337" s="98"/>
      <c r="G337" s="85"/>
      <c r="H337" s="4" t="s">
        <v>456</v>
      </c>
      <c r="I337" s="12">
        <v>27</v>
      </c>
      <c r="J337" s="15">
        <v>8</v>
      </c>
      <c r="K337" s="15">
        <v>1</v>
      </c>
      <c r="L337" s="91" t="s">
        <v>559</v>
      </c>
      <c r="M337" s="92" t="s">
        <v>347</v>
      </c>
      <c r="N337" s="92" t="s">
        <v>361</v>
      </c>
      <c r="O337" s="92" t="s">
        <v>59</v>
      </c>
      <c r="P337" s="5">
        <v>610</v>
      </c>
      <c r="Q337" s="197">
        <f>13+50</f>
        <v>63</v>
      </c>
      <c r="R337" s="197">
        <v>0</v>
      </c>
      <c r="S337" s="197">
        <v>0</v>
      </c>
    </row>
    <row r="338" spans="1:19" s="171" customFormat="1" ht="21" customHeight="1">
      <c r="A338" s="135"/>
      <c r="B338" s="136"/>
      <c r="C338" s="146"/>
      <c r="D338" s="143"/>
      <c r="E338" s="147"/>
      <c r="F338" s="147"/>
      <c r="G338" s="148"/>
      <c r="H338" s="142" t="s">
        <v>394</v>
      </c>
      <c r="I338" s="131">
        <v>27</v>
      </c>
      <c r="J338" s="132">
        <v>9</v>
      </c>
      <c r="K338" s="132" t="s">
        <v>393</v>
      </c>
      <c r="L338" s="133"/>
      <c r="M338" s="134"/>
      <c r="N338" s="134"/>
      <c r="O338" s="134"/>
      <c r="P338" s="139"/>
      <c r="Q338" s="198">
        <f>Q339</f>
        <v>88.2</v>
      </c>
      <c r="R338" s="198">
        <f aca="true" t="shared" si="41" ref="R338:S342">R339</f>
        <v>88.2</v>
      </c>
      <c r="S338" s="198">
        <f t="shared" si="41"/>
        <v>88.2</v>
      </c>
    </row>
    <row r="339" spans="1:19" s="171" customFormat="1" ht="21" customHeight="1">
      <c r="A339" s="135"/>
      <c r="B339" s="136"/>
      <c r="C339" s="146"/>
      <c r="D339" s="143"/>
      <c r="E339" s="147"/>
      <c r="F339" s="147"/>
      <c r="G339" s="148"/>
      <c r="H339" s="142" t="s">
        <v>351</v>
      </c>
      <c r="I339" s="139">
        <v>27</v>
      </c>
      <c r="J339" s="132">
        <v>9</v>
      </c>
      <c r="K339" s="132">
        <v>7</v>
      </c>
      <c r="L339" s="132" t="s">
        <v>320</v>
      </c>
      <c r="M339" s="134" t="s">
        <v>320</v>
      </c>
      <c r="N339" s="134"/>
      <c r="O339" s="134" t="s">
        <v>320</v>
      </c>
      <c r="P339" s="139"/>
      <c r="Q339" s="194">
        <f>Q340</f>
        <v>88.2</v>
      </c>
      <c r="R339" s="194">
        <f t="shared" si="41"/>
        <v>88.2</v>
      </c>
      <c r="S339" s="194">
        <f t="shared" si="41"/>
        <v>88.2</v>
      </c>
    </row>
    <row r="340" spans="1:19" ht="21" customHeight="1">
      <c r="A340" s="93"/>
      <c r="B340" s="94"/>
      <c r="C340" s="99"/>
      <c r="D340" s="97"/>
      <c r="E340" s="109"/>
      <c r="F340" s="109"/>
      <c r="G340" s="101"/>
      <c r="H340" s="10" t="s">
        <v>53</v>
      </c>
      <c r="I340" s="5">
        <v>27</v>
      </c>
      <c r="J340" s="15">
        <v>9</v>
      </c>
      <c r="K340" s="15">
        <v>7</v>
      </c>
      <c r="L340" s="15">
        <v>50</v>
      </c>
      <c r="M340" s="92" t="s">
        <v>347</v>
      </c>
      <c r="N340" s="92" t="s">
        <v>357</v>
      </c>
      <c r="O340" s="92" t="s">
        <v>392</v>
      </c>
      <c r="P340" s="5"/>
      <c r="Q340" s="195">
        <f>Q341</f>
        <v>88.2</v>
      </c>
      <c r="R340" s="195">
        <f t="shared" si="41"/>
        <v>88.2</v>
      </c>
      <c r="S340" s="195">
        <f t="shared" si="41"/>
        <v>88.2</v>
      </c>
    </row>
    <row r="341" spans="1:19" ht="36" customHeight="1">
      <c r="A341" s="93"/>
      <c r="B341" s="94"/>
      <c r="C341" s="99"/>
      <c r="D341" s="97"/>
      <c r="E341" s="109"/>
      <c r="F341" s="109"/>
      <c r="G341" s="101"/>
      <c r="H341" s="10" t="s">
        <v>55</v>
      </c>
      <c r="I341" s="5">
        <v>27</v>
      </c>
      <c r="J341" s="15">
        <v>9</v>
      </c>
      <c r="K341" s="15">
        <v>7</v>
      </c>
      <c r="L341" s="15">
        <v>50</v>
      </c>
      <c r="M341" s="92" t="s">
        <v>347</v>
      </c>
      <c r="N341" s="92" t="s">
        <v>365</v>
      </c>
      <c r="O341" s="92" t="s">
        <v>392</v>
      </c>
      <c r="P341" s="5"/>
      <c r="Q341" s="195">
        <f>Q342</f>
        <v>88.2</v>
      </c>
      <c r="R341" s="195">
        <f t="shared" si="41"/>
        <v>88.2</v>
      </c>
      <c r="S341" s="195">
        <f t="shared" si="41"/>
        <v>88.2</v>
      </c>
    </row>
    <row r="342" spans="1:19" ht="48" customHeight="1">
      <c r="A342" s="95"/>
      <c r="B342" s="94"/>
      <c r="C342" s="99"/>
      <c r="D342" s="97"/>
      <c r="E342" s="109"/>
      <c r="F342" s="109"/>
      <c r="G342" s="101"/>
      <c r="H342" s="32" t="s">
        <v>453</v>
      </c>
      <c r="I342" s="5">
        <v>27</v>
      </c>
      <c r="J342" s="15">
        <v>9</v>
      </c>
      <c r="K342" s="15">
        <v>7</v>
      </c>
      <c r="L342" s="15">
        <v>50</v>
      </c>
      <c r="M342" s="92" t="s">
        <v>347</v>
      </c>
      <c r="N342" s="92" t="s">
        <v>365</v>
      </c>
      <c r="O342" s="92" t="s">
        <v>400</v>
      </c>
      <c r="P342" s="5"/>
      <c r="Q342" s="195">
        <f>Q343</f>
        <v>88.2</v>
      </c>
      <c r="R342" s="195">
        <f t="shared" si="41"/>
        <v>88.2</v>
      </c>
      <c r="S342" s="195">
        <f t="shared" si="41"/>
        <v>88.2</v>
      </c>
    </row>
    <row r="343" spans="1:19" ht="27" customHeight="1">
      <c r="A343" s="95"/>
      <c r="B343" s="94"/>
      <c r="C343" s="99"/>
      <c r="D343" s="97"/>
      <c r="E343" s="109"/>
      <c r="F343" s="109"/>
      <c r="G343" s="101"/>
      <c r="H343" s="32" t="s">
        <v>454</v>
      </c>
      <c r="I343" s="5">
        <v>27</v>
      </c>
      <c r="J343" s="15">
        <v>9</v>
      </c>
      <c r="K343" s="15">
        <v>7</v>
      </c>
      <c r="L343" s="15">
        <v>50</v>
      </c>
      <c r="M343" s="92" t="s">
        <v>347</v>
      </c>
      <c r="N343" s="92" t="s">
        <v>365</v>
      </c>
      <c r="O343" s="92" t="s">
        <v>400</v>
      </c>
      <c r="P343" s="5">
        <v>240</v>
      </c>
      <c r="Q343" s="195">
        <v>88.2</v>
      </c>
      <c r="R343" s="195">
        <v>88.2</v>
      </c>
      <c r="S343" s="195">
        <v>88.2</v>
      </c>
    </row>
    <row r="344" spans="1:19" s="171" customFormat="1" ht="24" customHeight="1">
      <c r="A344" s="135"/>
      <c r="B344" s="136"/>
      <c r="C344" s="146"/>
      <c r="D344" s="143"/>
      <c r="E344" s="147"/>
      <c r="F344" s="147"/>
      <c r="G344" s="148">
        <v>321</v>
      </c>
      <c r="H344" s="142" t="s">
        <v>327</v>
      </c>
      <c r="I344" s="145">
        <v>27</v>
      </c>
      <c r="J344" s="149">
        <v>10</v>
      </c>
      <c r="K344" s="132"/>
      <c r="L344" s="133"/>
      <c r="M344" s="134"/>
      <c r="N344" s="134"/>
      <c r="O344" s="134"/>
      <c r="P344" s="139"/>
      <c r="Q344" s="198">
        <f>Q345+Q350+Q366</f>
        <v>7477.6</v>
      </c>
      <c r="R344" s="198">
        <f>R345+R350+R366</f>
        <v>6136.4</v>
      </c>
      <c r="S344" s="198">
        <f>S345+S350+S366</f>
        <v>6109.3</v>
      </c>
    </row>
    <row r="345" spans="1:19" s="171" customFormat="1" ht="19.5" customHeight="1">
      <c r="A345" s="135"/>
      <c r="B345" s="136"/>
      <c r="C345" s="146"/>
      <c r="D345" s="143"/>
      <c r="E345" s="147"/>
      <c r="F345" s="147"/>
      <c r="G345" s="148">
        <v>612</v>
      </c>
      <c r="H345" s="142" t="s">
        <v>137</v>
      </c>
      <c r="I345" s="145">
        <v>27</v>
      </c>
      <c r="J345" s="149">
        <v>10</v>
      </c>
      <c r="K345" s="132">
        <v>1</v>
      </c>
      <c r="L345" s="133"/>
      <c r="M345" s="134"/>
      <c r="N345" s="134"/>
      <c r="O345" s="134"/>
      <c r="P345" s="139"/>
      <c r="Q345" s="198">
        <f>Q346</f>
        <v>2028</v>
      </c>
      <c r="R345" s="198">
        <f aca="true" t="shared" si="42" ref="R345:S347">R346</f>
        <v>2160</v>
      </c>
      <c r="S345" s="198">
        <f t="shared" si="42"/>
        <v>2160</v>
      </c>
    </row>
    <row r="346" spans="1:19" ht="18.75" customHeight="1">
      <c r="A346" s="93"/>
      <c r="B346" s="94"/>
      <c r="C346" s="99"/>
      <c r="D346" s="97"/>
      <c r="E346" s="109"/>
      <c r="F346" s="109"/>
      <c r="G346" s="85"/>
      <c r="H346" s="10" t="s">
        <v>53</v>
      </c>
      <c r="I346" s="5">
        <v>27</v>
      </c>
      <c r="J346" s="20">
        <v>10</v>
      </c>
      <c r="K346" s="15">
        <v>1</v>
      </c>
      <c r="L346" s="91" t="s">
        <v>559</v>
      </c>
      <c r="M346" s="92" t="s">
        <v>347</v>
      </c>
      <c r="N346" s="92" t="s">
        <v>357</v>
      </c>
      <c r="O346" s="92" t="s">
        <v>392</v>
      </c>
      <c r="P346" s="9"/>
      <c r="Q346" s="195">
        <f>Q347</f>
        <v>2028</v>
      </c>
      <c r="R346" s="195">
        <f t="shared" si="42"/>
        <v>2160</v>
      </c>
      <c r="S346" s="195">
        <f t="shared" si="42"/>
        <v>2160</v>
      </c>
    </row>
    <row r="347" spans="1:19" ht="42" customHeight="1">
      <c r="A347" s="93"/>
      <c r="B347" s="94"/>
      <c r="C347" s="99"/>
      <c r="D347" s="97"/>
      <c r="E347" s="109"/>
      <c r="F347" s="109"/>
      <c r="G347" s="85"/>
      <c r="H347" s="10" t="s">
        <v>56</v>
      </c>
      <c r="I347" s="5">
        <v>27</v>
      </c>
      <c r="J347" s="20">
        <v>10</v>
      </c>
      <c r="K347" s="15">
        <v>1</v>
      </c>
      <c r="L347" s="91" t="s">
        <v>559</v>
      </c>
      <c r="M347" s="92" t="s">
        <v>347</v>
      </c>
      <c r="N347" s="92" t="s">
        <v>361</v>
      </c>
      <c r="O347" s="92" t="s">
        <v>392</v>
      </c>
      <c r="P347" s="9"/>
      <c r="Q347" s="195">
        <f>Q348</f>
        <v>2028</v>
      </c>
      <c r="R347" s="195">
        <f t="shared" si="42"/>
        <v>2160</v>
      </c>
      <c r="S347" s="195">
        <f t="shared" si="42"/>
        <v>2160</v>
      </c>
    </row>
    <row r="348" spans="1:19" ht="30.75" customHeight="1">
      <c r="A348" s="95"/>
      <c r="B348" s="94"/>
      <c r="C348" s="99"/>
      <c r="D348" s="97"/>
      <c r="E348" s="362">
        <v>4360400</v>
      </c>
      <c r="F348" s="362"/>
      <c r="G348" s="85">
        <v>340</v>
      </c>
      <c r="H348" s="10" t="s">
        <v>67</v>
      </c>
      <c r="I348" s="5">
        <v>27</v>
      </c>
      <c r="J348" s="20">
        <v>10</v>
      </c>
      <c r="K348" s="15">
        <v>1</v>
      </c>
      <c r="L348" s="91" t="s">
        <v>559</v>
      </c>
      <c r="M348" s="92" t="s">
        <v>347</v>
      </c>
      <c r="N348" s="92" t="s">
        <v>361</v>
      </c>
      <c r="O348" s="92" t="s">
        <v>68</v>
      </c>
      <c r="P348" s="9"/>
      <c r="Q348" s="195">
        <f>Q349</f>
        <v>2028</v>
      </c>
      <c r="R348" s="195">
        <f>R349</f>
        <v>2160</v>
      </c>
      <c r="S348" s="195">
        <f>S349</f>
        <v>2160</v>
      </c>
    </row>
    <row r="349" spans="1:19" ht="30.75" customHeight="1">
      <c r="A349" s="95"/>
      <c r="B349" s="94"/>
      <c r="C349" s="99"/>
      <c r="D349" s="103"/>
      <c r="E349" s="100"/>
      <c r="F349" s="100"/>
      <c r="G349" s="85"/>
      <c r="H349" s="10" t="s">
        <v>459</v>
      </c>
      <c r="I349" s="5">
        <v>27</v>
      </c>
      <c r="J349" s="20">
        <v>10</v>
      </c>
      <c r="K349" s="15">
        <v>1</v>
      </c>
      <c r="L349" s="114" t="s">
        <v>559</v>
      </c>
      <c r="M349" s="115" t="s">
        <v>347</v>
      </c>
      <c r="N349" s="115" t="s">
        <v>361</v>
      </c>
      <c r="O349" s="115" t="s">
        <v>68</v>
      </c>
      <c r="P349" s="9">
        <v>320</v>
      </c>
      <c r="Q349" s="195">
        <f>2160-132</f>
        <v>2028</v>
      </c>
      <c r="R349" s="195">
        <v>2160</v>
      </c>
      <c r="S349" s="195">
        <v>2160</v>
      </c>
    </row>
    <row r="350" spans="1:19" s="171" customFormat="1" ht="27" customHeight="1">
      <c r="A350" s="135"/>
      <c r="B350" s="136"/>
      <c r="C350" s="135"/>
      <c r="D350" s="363">
        <v>4520000</v>
      </c>
      <c r="E350" s="363"/>
      <c r="F350" s="363"/>
      <c r="G350" s="129">
        <v>612</v>
      </c>
      <c r="H350" s="270" t="s">
        <v>326</v>
      </c>
      <c r="I350" s="131">
        <v>27</v>
      </c>
      <c r="J350" s="132">
        <v>10</v>
      </c>
      <c r="K350" s="132">
        <v>3</v>
      </c>
      <c r="L350" s="133"/>
      <c r="M350" s="134"/>
      <c r="N350" s="134"/>
      <c r="O350" s="217"/>
      <c r="P350" s="145"/>
      <c r="Q350" s="199">
        <f>Q351+Q355</f>
        <v>4012</v>
      </c>
      <c r="R350" s="199">
        <f>R351+R355</f>
        <v>2576.9</v>
      </c>
      <c r="S350" s="199">
        <f>S351+S355</f>
        <v>2549.8</v>
      </c>
    </row>
    <row r="351" spans="1:19" ht="27" customHeight="1">
      <c r="A351" s="95"/>
      <c r="B351" s="94"/>
      <c r="C351" s="93"/>
      <c r="D351" s="103"/>
      <c r="E351" s="98"/>
      <c r="F351" s="98"/>
      <c r="G351" s="85"/>
      <c r="H351" s="183" t="s">
        <v>425</v>
      </c>
      <c r="I351" s="24">
        <v>27</v>
      </c>
      <c r="J351" s="116">
        <v>10</v>
      </c>
      <c r="K351" s="25">
        <v>3</v>
      </c>
      <c r="L351" s="117" t="s">
        <v>424</v>
      </c>
      <c r="M351" s="118" t="s">
        <v>347</v>
      </c>
      <c r="N351" s="118" t="s">
        <v>357</v>
      </c>
      <c r="O351" s="118" t="s">
        <v>392</v>
      </c>
      <c r="P351" s="5"/>
      <c r="Q351" s="195">
        <f>Q352</f>
        <v>899.5</v>
      </c>
      <c r="R351" s="195">
        <f aca="true" t="shared" si="43" ref="R351:S353">R352</f>
        <v>899.5</v>
      </c>
      <c r="S351" s="195">
        <f t="shared" si="43"/>
        <v>869.8</v>
      </c>
    </row>
    <row r="352" spans="1:19" ht="29.25" customHeight="1">
      <c r="A352" s="95"/>
      <c r="B352" s="94"/>
      <c r="C352" s="93"/>
      <c r="D352" s="103"/>
      <c r="E352" s="98"/>
      <c r="F352" s="98"/>
      <c r="G352" s="85"/>
      <c r="H352" s="183" t="s">
        <v>434</v>
      </c>
      <c r="I352" s="24">
        <v>27</v>
      </c>
      <c r="J352" s="116">
        <v>10</v>
      </c>
      <c r="K352" s="25">
        <v>3</v>
      </c>
      <c r="L352" s="117" t="s">
        <v>424</v>
      </c>
      <c r="M352" s="118" t="s">
        <v>347</v>
      </c>
      <c r="N352" s="118" t="s">
        <v>361</v>
      </c>
      <c r="O352" s="118" t="s">
        <v>392</v>
      </c>
      <c r="P352" s="5"/>
      <c r="Q352" s="195">
        <f>Q353</f>
        <v>899.5</v>
      </c>
      <c r="R352" s="195">
        <f t="shared" si="43"/>
        <v>899.5</v>
      </c>
      <c r="S352" s="195">
        <f t="shared" si="43"/>
        <v>869.8</v>
      </c>
    </row>
    <row r="353" spans="1:19" ht="21.75" customHeight="1">
      <c r="A353" s="95"/>
      <c r="B353" s="94"/>
      <c r="C353" s="93"/>
      <c r="D353" s="103"/>
      <c r="E353" s="98"/>
      <c r="F353" s="98"/>
      <c r="G353" s="85"/>
      <c r="H353" s="183" t="s">
        <v>435</v>
      </c>
      <c r="I353" s="24">
        <v>27</v>
      </c>
      <c r="J353" s="116">
        <v>10</v>
      </c>
      <c r="K353" s="25">
        <v>3</v>
      </c>
      <c r="L353" s="117" t="s">
        <v>424</v>
      </c>
      <c r="M353" s="118" t="s">
        <v>347</v>
      </c>
      <c r="N353" s="118" t="s">
        <v>361</v>
      </c>
      <c r="O353" s="118" t="s">
        <v>31</v>
      </c>
      <c r="P353" s="5"/>
      <c r="Q353" s="195">
        <f>Q354</f>
        <v>899.5</v>
      </c>
      <c r="R353" s="195">
        <f t="shared" si="43"/>
        <v>899.5</v>
      </c>
      <c r="S353" s="195">
        <f t="shared" si="43"/>
        <v>869.8</v>
      </c>
    </row>
    <row r="354" spans="1:19" ht="29.25" customHeight="1">
      <c r="A354" s="95"/>
      <c r="B354" s="94"/>
      <c r="C354" s="93"/>
      <c r="D354" s="103"/>
      <c r="E354" s="98"/>
      <c r="F354" s="98"/>
      <c r="G354" s="85"/>
      <c r="H354" s="32" t="s">
        <v>459</v>
      </c>
      <c r="I354" s="24">
        <v>27</v>
      </c>
      <c r="J354" s="116">
        <v>10</v>
      </c>
      <c r="K354" s="25">
        <v>3</v>
      </c>
      <c r="L354" s="117" t="s">
        <v>424</v>
      </c>
      <c r="M354" s="118" t="s">
        <v>347</v>
      </c>
      <c r="N354" s="118" t="s">
        <v>361</v>
      </c>
      <c r="O354" s="118" t="s">
        <v>31</v>
      </c>
      <c r="P354" s="5">
        <v>320</v>
      </c>
      <c r="Q354" s="195">
        <f>908.6-9.1</f>
        <v>899.5</v>
      </c>
      <c r="R354" s="195">
        <v>899.5</v>
      </c>
      <c r="S354" s="195">
        <v>869.8</v>
      </c>
    </row>
    <row r="355" spans="1:19" ht="29.25" customHeight="1">
      <c r="A355" s="95"/>
      <c r="B355" s="94"/>
      <c r="C355" s="93"/>
      <c r="D355" s="103"/>
      <c r="E355" s="98"/>
      <c r="F355" s="98"/>
      <c r="G355" s="85"/>
      <c r="H355" s="10" t="s">
        <v>53</v>
      </c>
      <c r="I355" s="24">
        <v>27</v>
      </c>
      <c r="J355" s="116">
        <v>10</v>
      </c>
      <c r="K355" s="25">
        <v>3</v>
      </c>
      <c r="L355" s="117" t="s">
        <v>559</v>
      </c>
      <c r="M355" s="118" t="s">
        <v>347</v>
      </c>
      <c r="N355" s="118" t="s">
        <v>357</v>
      </c>
      <c r="O355" s="118" t="s">
        <v>392</v>
      </c>
      <c r="P355" s="5"/>
      <c r="Q355" s="197">
        <f>Q356+Q363</f>
        <v>3112.5</v>
      </c>
      <c r="R355" s="197">
        <f>R356+R363</f>
        <v>1677.4</v>
      </c>
      <c r="S355" s="197">
        <f>S356+S363</f>
        <v>1680</v>
      </c>
    </row>
    <row r="356" spans="1:19" ht="29.25" customHeight="1">
      <c r="A356" s="95"/>
      <c r="B356" s="94"/>
      <c r="C356" s="93"/>
      <c r="D356" s="103"/>
      <c r="E356" s="98"/>
      <c r="F356" s="98"/>
      <c r="G356" s="85"/>
      <c r="H356" s="32" t="s">
        <v>55</v>
      </c>
      <c r="I356" s="24">
        <v>27</v>
      </c>
      <c r="J356" s="116">
        <v>10</v>
      </c>
      <c r="K356" s="25">
        <v>3</v>
      </c>
      <c r="L356" s="117" t="s">
        <v>559</v>
      </c>
      <c r="M356" s="118" t="s">
        <v>347</v>
      </c>
      <c r="N356" s="118" t="s">
        <v>365</v>
      </c>
      <c r="O356" s="118" t="s">
        <v>392</v>
      </c>
      <c r="P356" s="5"/>
      <c r="Q356" s="197">
        <f>Q359+Q361+Q357</f>
        <v>2752.5</v>
      </c>
      <c r="R356" s="197">
        <f>R359+R361</f>
        <v>1317.4</v>
      </c>
      <c r="S356" s="197">
        <f>S359+S361</f>
        <v>1320</v>
      </c>
    </row>
    <row r="357" spans="1:19" ht="62.25" customHeight="1">
      <c r="A357" s="95"/>
      <c r="B357" s="94"/>
      <c r="C357" s="93"/>
      <c r="D357" s="103"/>
      <c r="E357" s="98"/>
      <c r="F357" s="98"/>
      <c r="G357" s="85"/>
      <c r="H357" s="32" t="s">
        <v>857</v>
      </c>
      <c r="I357" s="24">
        <v>27</v>
      </c>
      <c r="J357" s="116">
        <v>10</v>
      </c>
      <c r="K357" s="25">
        <v>3</v>
      </c>
      <c r="L357" s="117" t="s">
        <v>559</v>
      </c>
      <c r="M357" s="118" t="s">
        <v>347</v>
      </c>
      <c r="N357" s="118" t="s">
        <v>365</v>
      </c>
      <c r="O357" s="118" t="s">
        <v>856</v>
      </c>
      <c r="P357" s="5"/>
      <c r="Q357" s="197">
        <f>Q358</f>
        <v>680.6</v>
      </c>
      <c r="R357" s="197">
        <f>R358</f>
        <v>0</v>
      </c>
      <c r="S357" s="197">
        <f>S358</f>
        <v>0</v>
      </c>
    </row>
    <row r="358" spans="1:19" ht="29.25" customHeight="1">
      <c r="A358" s="95"/>
      <c r="B358" s="94"/>
      <c r="C358" s="93"/>
      <c r="D358" s="103"/>
      <c r="E358" s="98"/>
      <c r="F358" s="98"/>
      <c r="G358" s="85"/>
      <c r="H358" s="10" t="s">
        <v>459</v>
      </c>
      <c r="I358" s="24">
        <v>27</v>
      </c>
      <c r="J358" s="116">
        <v>10</v>
      </c>
      <c r="K358" s="25">
        <v>3</v>
      </c>
      <c r="L358" s="117" t="s">
        <v>559</v>
      </c>
      <c r="M358" s="118" t="s">
        <v>347</v>
      </c>
      <c r="N358" s="118" t="s">
        <v>365</v>
      </c>
      <c r="O358" s="118" t="s">
        <v>856</v>
      </c>
      <c r="P358" s="5">
        <v>320</v>
      </c>
      <c r="Q358" s="197">
        <v>680.6</v>
      </c>
      <c r="R358" s="197">
        <v>0</v>
      </c>
      <c r="S358" s="197">
        <v>0</v>
      </c>
    </row>
    <row r="359" spans="1:19" ht="50.25" customHeight="1">
      <c r="A359" s="95"/>
      <c r="B359" s="94"/>
      <c r="C359" s="93"/>
      <c r="D359" s="371">
        <v>5220000</v>
      </c>
      <c r="E359" s="372"/>
      <c r="F359" s="372"/>
      <c r="G359" s="85">
        <v>612</v>
      </c>
      <c r="H359" s="10" t="s">
        <v>325</v>
      </c>
      <c r="I359" s="5">
        <v>27</v>
      </c>
      <c r="J359" s="20">
        <v>10</v>
      </c>
      <c r="K359" s="15">
        <v>3</v>
      </c>
      <c r="L359" s="91" t="s">
        <v>559</v>
      </c>
      <c r="M359" s="92" t="s">
        <v>347</v>
      </c>
      <c r="N359" s="92" t="s">
        <v>365</v>
      </c>
      <c r="O359" s="119" t="s">
        <v>401</v>
      </c>
      <c r="P359" s="7"/>
      <c r="Q359" s="197">
        <f>Q360</f>
        <v>1384.3</v>
      </c>
      <c r="R359" s="197">
        <f>R360</f>
        <v>663</v>
      </c>
      <c r="S359" s="197">
        <f>S360</f>
        <v>666.6</v>
      </c>
    </row>
    <row r="360" spans="1:19" ht="28.5" customHeight="1">
      <c r="A360" s="95"/>
      <c r="B360" s="94"/>
      <c r="C360" s="93"/>
      <c r="D360" s="97"/>
      <c r="E360" s="96"/>
      <c r="F360" s="96"/>
      <c r="G360" s="85"/>
      <c r="H360" s="10" t="s">
        <v>459</v>
      </c>
      <c r="I360" s="5">
        <v>27</v>
      </c>
      <c r="J360" s="20">
        <v>10</v>
      </c>
      <c r="K360" s="15">
        <v>3</v>
      </c>
      <c r="L360" s="91" t="s">
        <v>559</v>
      </c>
      <c r="M360" s="92" t="s">
        <v>347</v>
      </c>
      <c r="N360" s="92" t="s">
        <v>365</v>
      </c>
      <c r="O360" s="119" t="s">
        <v>401</v>
      </c>
      <c r="P360" s="12">
        <v>320</v>
      </c>
      <c r="Q360" s="195">
        <f>665.1-2.1+721.3</f>
        <v>1384.3</v>
      </c>
      <c r="R360" s="195">
        <v>663</v>
      </c>
      <c r="S360" s="195">
        <v>666.6</v>
      </c>
    </row>
    <row r="361" spans="1:19" ht="42" customHeight="1">
      <c r="A361" s="95"/>
      <c r="B361" s="94"/>
      <c r="C361" s="99"/>
      <c r="D361" s="97"/>
      <c r="E361" s="109"/>
      <c r="F361" s="109"/>
      <c r="G361" s="85"/>
      <c r="H361" s="10" t="s">
        <v>52</v>
      </c>
      <c r="I361" s="9">
        <v>27</v>
      </c>
      <c r="J361" s="6">
        <v>10</v>
      </c>
      <c r="K361" s="15">
        <v>3</v>
      </c>
      <c r="L361" s="91" t="s">
        <v>559</v>
      </c>
      <c r="M361" s="92" t="s">
        <v>347</v>
      </c>
      <c r="N361" s="92" t="s">
        <v>365</v>
      </c>
      <c r="O361" s="92" t="s">
        <v>51</v>
      </c>
      <c r="P361" s="9"/>
      <c r="Q361" s="195">
        <f>Q362</f>
        <v>687.6</v>
      </c>
      <c r="R361" s="195">
        <f>R362</f>
        <v>654.4</v>
      </c>
      <c r="S361" s="195">
        <f>S362</f>
        <v>653.4</v>
      </c>
    </row>
    <row r="362" spans="1:19" ht="32.25" customHeight="1">
      <c r="A362" s="95"/>
      <c r="B362" s="94"/>
      <c r="C362" s="99"/>
      <c r="D362" s="97"/>
      <c r="E362" s="109"/>
      <c r="F362" s="109"/>
      <c r="G362" s="85"/>
      <c r="H362" s="10" t="s">
        <v>459</v>
      </c>
      <c r="I362" s="9">
        <v>27</v>
      </c>
      <c r="J362" s="6">
        <v>10</v>
      </c>
      <c r="K362" s="15">
        <v>3</v>
      </c>
      <c r="L362" s="91" t="s">
        <v>559</v>
      </c>
      <c r="M362" s="92" t="s">
        <v>347</v>
      </c>
      <c r="N362" s="92" t="s">
        <v>365</v>
      </c>
      <c r="O362" s="92" t="s">
        <v>51</v>
      </c>
      <c r="P362" s="9">
        <v>320</v>
      </c>
      <c r="Q362" s="195">
        <f>652.9+34.7</f>
        <v>687.6</v>
      </c>
      <c r="R362" s="211">
        <v>654.4</v>
      </c>
      <c r="S362" s="211">
        <v>653.4</v>
      </c>
    </row>
    <row r="363" spans="1:19" ht="32.25" customHeight="1">
      <c r="A363" s="95"/>
      <c r="B363" s="94"/>
      <c r="C363" s="99"/>
      <c r="D363" s="97"/>
      <c r="E363" s="109"/>
      <c r="F363" s="109"/>
      <c r="G363" s="85"/>
      <c r="H363" s="10" t="s">
        <v>56</v>
      </c>
      <c r="I363" s="9">
        <v>27</v>
      </c>
      <c r="J363" s="6">
        <v>10</v>
      </c>
      <c r="K363" s="15">
        <v>3</v>
      </c>
      <c r="L363" s="91" t="s">
        <v>559</v>
      </c>
      <c r="M363" s="92" t="s">
        <v>347</v>
      </c>
      <c r="N363" s="92" t="s">
        <v>361</v>
      </c>
      <c r="O363" s="92" t="s">
        <v>392</v>
      </c>
      <c r="P363" s="9"/>
      <c r="Q363" s="195">
        <f aca="true" t="shared" si="44" ref="Q363:S364">Q364</f>
        <v>360</v>
      </c>
      <c r="R363" s="211">
        <f t="shared" si="44"/>
        <v>360</v>
      </c>
      <c r="S363" s="211">
        <f t="shared" si="44"/>
        <v>360</v>
      </c>
    </row>
    <row r="364" spans="1:19" ht="27" customHeight="1">
      <c r="A364" s="95"/>
      <c r="B364" s="94"/>
      <c r="C364" s="99"/>
      <c r="D364" s="97"/>
      <c r="E364" s="109"/>
      <c r="F364" s="109"/>
      <c r="G364" s="85"/>
      <c r="H364" s="4" t="s">
        <v>70</v>
      </c>
      <c r="I364" s="5">
        <v>27</v>
      </c>
      <c r="J364" s="18">
        <v>10</v>
      </c>
      <c r="K364" s="15">
        <v>3</v>
      </c>
      <c r="L364" s="91" t="s">
        <v>559</v>
      </c>
      <c r="M364" s="92" t="s">
        <v>347</v>
      </c>
      <c r="N364" s="92" t="s">
        <v>361</v>
      </c>
      <c r="O364" s="92" t="s">
        <v>69</v>
      </c>
      <c r="P364" s="5"/>
      <c r="Q364" s="195">
        <f t="shared" si="44"/>
        <v>360</v>
      </c>
      <c r="R364" s="195">
        <f t="shared" si="44"/>
        <v>360</v>
      </c>
      <c r="S364" s="195">
        <f t="shared" si="44"/>
        <v>360</v>
      </c>
    </row>
    <row r="365" spans="1:19" ht="27" customHeight="1">
      <c r="A365" s="95"/>
      <c r="B365" s="94"/>
      <c r="C365" s="99"/>
      <c r="D365" s="97"/>
      <c r="E365" s="109"/>
      <c r="F365" s="109"/>
      <c r="G365" s="85"/>
      <c r="H365" s="4" t="s">
        <v>458</v>
      </c>
      <c r="I365" s="7">
        <v>27</v>
      </c>
      <c r="J365" s="18">
        <v>10</v>
      </c>
      <c r="K365" s="15">
        <v>3</v>
      </c>
      <c r="L365" s="91" t="s">
        <v>559</v>
      </c>
      <c r="M365" s="92" t="s">
        <v>347</v>
      </c>
      <c r="N365" s="92" t="s">
        <v>361</v>
      </c>
      <c r="O365" s="92" t="s">
        <v>69</v>
      </c>
      <c r="P365" s="5">
        <v>310</v>
      </c>
      <c r="Q365" s="195">
        <v>360</v>
      </c>
      <c r="R365" s="195">
        <v>360</v>
      </c>
      <c r="S365" s="195">
        <v>360</v>
      </c>
    </row>
    <row r="366" spans="1:19" s="171" customFormat="1" ht="25.5" customHeight="1">
      <c r="A366" s="135"/>
      <c r="B366" s="136"/>
      <c r="C366" s="146"/>
      <c r="D366" s="143"/>
      <c r="E366" s="138"/>
      <c r="F366" s="138"/>
      <c r="G366" s="148">
        <v>622</v>
      </c>
      <c r="H366" s="142" t="s">
        <v>324</v>
      </c>
      <c r="I366" s="145">
        <v>27</v>
      </c>
      <c r="J366" s="149">
        <v>10</v>
      </c>
      <c r="K366" s="132">
        <v>6</v>
      </c>
      <c r="L366" s="177"/>
      <c r="M366" s="178"/>
      <c r="N366" s="178"/>
      <c r="O366" s="178"/>
      <c r="P366" s="139"/>
      <c r="Q366" s="198">
        <f>Q367</f>
        <v>1437.6</v>
      </c>
      <c r="R366" s="198">
        <f>R367</f>
        <v>1399.5</v>
      </c>
      <c r="S366" s="198">
        <f>S367</f>
        <v>1399.5</v>
      </c>
    </row>
    <row r="367" spans="1:19" s="171" customFormat="1" ht="25.5" customHeight="1">
      <c r="A367" s="135"/>
      <c r="B367" s="136"/>
      <c r="C367" s="146"/>
      <c r="D367" s="143"/>
      <c r="E367" s="138"/>
      <c r="F367" s="138"/>
      <c r="G367" s="129"/>
      <c r="H367" s="10" t="s">
        <v>53</v>
      </c>
      <c r="I367" s="5">
        <v>27</v>
      </c>
      <c r="J367" s="18">
        <v>10</v>
      </c>
      <c r="K367" s="15">
        <v>6</v>
      </c>
      <c r="L367" s="117" t="s">
        <v>559</v>
      </c>
      <c r="M367" s="118" t="s">
        <v>347</v>
      </c>
      <c r="N367" s="118" t="s">
        <v>357</v>
      </c>
      <c r="O367" s="118" t="s">
        <v>392</v>
      </c>
      <c r="P367" s="5"/>
      <c r="Q367" s="197">
        <f>Q368+Q372</f>
        <v>1437.6</v>
      </c>
      <c r="R367" s="197">
        <f>R368+R372</f>
        <v>1399.5</v>
      </c>
      <c r="S367" s="197">
        <f>S368+S372</f>
        <v>1399.5</v>
      </c>
    </row>
    <row r="368" spans="1:19" s="171" customFormat="1" ht="25.5" customHeight="1">
      <c r="A368" s="135"/>
      <c r="B368" s="136"/>
      <c r="C368" s="146"/>
      <c r="D368" s="143"/>
      <c r="E368" s="138"/>
      <c r="F368" s="138"/>
      <c r="G368" s="129"/>
      <c r="H368" s="10" t="s">
        <v>55</v>
      </c>
      <c r="I368" s="9">
        <v>27</v>
      </c>
      <c r="J368" s="6">
        <v>10</v>
      </c>
      <c r="K368" s="15">
        <v>6</v>
      </c>
      <c r="L368" s="117" t="s">
        <v>559</v>
      </c>
      <c r="M368" s="118" t="s">
        <v>347</v>
      </c>
      <c r="N368" s="118" t="s">
        <v>365</v>
      </c>
      <c r="O368" s="118" t="s">
        <v>392</v>
      </c>
      <c r="P368" s="5"/>
      <c r="Q368" s="197">
        <f>Q369</f>
        <v>1335.6</v>
      </c>
      <c r="R368" s="197">
        <f>R369</f>
        <v>1304.5</v>
      </c>
      <c r="S368" s="197">
        <f>S369</f>
        <v>1304.5</v>
      </c>
    </row>
    <row r="369" spans="1:19" ht="30.75" customHeight="1">
      <c r="A369" s="95"/>
      <c r="B369" s="94"/>
      <c r="C369" s="99"/>
      <c r="D369" s="97"/>
      <c r="E369" s="100"/>
      <c r="F369" s="100"/>
      <c r="G369" s="85"/>
      <c r="H369" s="10" t="s">
        <v>538</v>
      </c>
      <c r="I369" s="9">
        <v>27</v>
      </c>
      <c r="J369" s="15">
        <v>10</v>
      </c>
      <c r="K369" s="15">
        <v>6</v>
      </c>
      <c r="L369" s="91" t="s">
        <v>559</v>
      </c>
      <c r="M369" s="92" t="s">
        <v>347</v>
      </c>
      <c r="N369" s="92" t="s">
        <v>365</v>
      </c>
      <c r="O369" s="92" t="s">
        <v>537</v>
      </c>
      <c r="P369" s="5"/>
      <c r="Q369" s="197">
        <f>Q370+Q371</f>
        <v>1335.6</v>
      </c>
      <c r="R369" s="197">
        <f>R370+R371</f>
        <v>1304.5</v>
      </c>
      <c r="S369" s="197">
        <f>S370+S371</f>
        <v>1304.5</v>
      </c>
    </row>
    <row r="370" spans="1:19" ht="26.25" customHeight="1">
      <c r="A370" s="95"/>
      <c r="B370" s="94"/>
      <c r="C370" s="99"/>
      <c r="D370" s="97"/>
      <c r="E370" s="100"/>
      <c r="F370" s="100"/>
      <c r="G370" s="85"/>
      <c r="H370" s="10" t="s">
        <v>319</v>
      </c>
      <c r="I370" s="9">
        <v>27</v>
      </c>
      <c r="J370" s="15">
        <v>10</v>
      </c>
      <c r="K370" s="15">
        <v>6</v>
      </c>
      <c r="L370" s="91" t="s">
        <v>559</v>
      </c>
      <c r="M370" s="92" t="s">
        <v>347</v>
      </c>
      <c r="N370" s="92" t="s">
        <v>365</v>
      </c>
      <c r="O370" s="92" t="s">
        <v>537</v>
      </c>
      <c r="P370" s="5">
        <v>120</v>
      </c>
      <c r="Q370" s="197">
        <f>1276.7+31.1</f>
        <v>1307.8</v>
      </c>
      <c r="R370" s="211">
        <v>1276.7</v>
      </c>
      <c r="S370" s="211">
        <v>1276.7</v>
      </c>
    </row>
    <row r="371" spans="1:19" ht="26.25" customHeight="1">
      <c r="A371" s="95"/>
      <c r="B371" s="94"/>
      <c r="C371" s="99"/>
      <c r="D371" s="103"/>
      <c r="E371" s="100"/>
      <c r="F371" s="100"/>
      <c r="G371" s="85"/>
      <c r="H371" s="188" t="s">
        <v>454</v>
      </c>
      <c r="I371" s="9">
        <v>27</v>
      </c>
      <c r="J371" s="6">
        <v>10</v>
      </c>
      <c r="K371" s="15">
        <v>6</v>
      </c>
      <c r="L371" s="91" t="s">
        <v>559</v>
      </c>
      <c r="M371" s="92" t="s">
        <v>347</v>
      </c>
      <c r="N371" s="92" t="s">
        <v>365</v>
      </c>
      <c r="O371" s="92" t="s">
        <v>537</v>
      </c>
      <c r="P371" s="5">
        <v>240</v>
      </c>
      <c r="Q371" s="197">
        <v>27.8</v>
      </c>
      <c r="R371" s="211">
        <v>27.8</v>
      </c>
      <c r="S371" s="211">
        <v>27.8</v>
      </c>
    </row>
    <row r="372" spans="1:19" ht="33.75" customHeight="1">
      <c r="A372" s="95"/>
      <c r="B372" s="94"/>
      <c r="C372" s="99"/>
      <c r="D372" s="103"/>
      <c r="E372" s="100"/>
      <c r="F372" s="100"/>
      <c r="G372" s="85"/>
      <c r="H372" s="17" t="s">
        <v>56</v>
      </c>
      <c r="I372" s="9">
        <v>27</v>
      </c>
      <c r="J372" s="15">
        <v>10</v>
      </c>
      <c r="K372" s="15">
        <v>6</v>
      </c>
      <c r="L372" s="91" t="s">
        <v>559</v>
      </c>
      <c r="M372" s="92" t="s">
        <v>347</v>
      </c>
      <c r="N372" s="92" t="s">
        <v>361</v>
      </c>
      <c r="O372" s="92" t="s">
        <v>392</v>
      </c>
      <c r="P372" s="5"/>
      <c r="Q372" s="197">
        <f>Q373+Q375</f>
        <v>102</v>
      </c>
      <c r="R372" s="197">
        <f>R373+R375</f>
        <v>95</v>
      </c>
      <c r="S372" s="197">
        <f>S373+S375</f>
        <v>95</v>
      </c>
    </row>
    <row r="373" spans="1:19" ht="30.75" customHeight="1">
      <c r="A373" s="95"/>
      <c r="B373" s="94"/>
      <c r="C373" s="99"/>
      <c r="D373" s="97"/>
      <c r="E373" s="362">
        <v>5225700</v>
      </c>
      <c r="F373" s="362"/>
      <c r="G373" s="85">
        <v>612</v>
      </c>
      <c r="H373" s="10" t="s">
        <v>588</v>
      </c>
      <c r="I373" s="9">
        <v>27</v>
      </c>
      <c r="J373" s="15">
        <v>10</v>
      </c>
      <c r="K373" s="15">
        <v>6</v>
      </c>
      <c r="L373" s="91" t="s">
        <v>559</v>
      </c>
      <c r="M373" s="92" t="s">
        <v>347</v>
      </c>
      <c r="N373" s="92" t="s">
        <v>361</v>
      </c>
      <c r="O373" s="92" t="s">
        <v>587</v>
      </c>
      <c r="P373" s="5"/>
      <c r="Q373" s="197">
        <f>Q374</f>
        <v>45</v>
      </c>
      <c r="R373" s="197">
        <f>R374</f>
        <v>45</v>
      </c>
      <c r="S373" s="197">
        <f>S374</f>
        <v>45</v>
      </c>
    </row>
    <row r="374" spans="1:19" ht="21.75" customHeight="1">
      <c r="A374" s="95"/>
      <c r="B374" s="94"/>
      <c r="C374" s="99"/>
      <c r="D374" s="97"/>
      <c r="E374" s="100"/>
      <c r="F374" s="100"/>
      <c r="G374" s="85"/>
      <c r="H374" s="4" t="s">
        <v>310</v>
      </c>
      <c r="I374" s="9">
        <v>27</v>
      </c>
      <c r="J374" s="15">
        <v>10</v>
      </c>
      <c r="K374" s="15">
        <v>6</v>
      </c>
      <c r="L374" s="91" t="s">
        <v>559</v>
      </c>
      <c r="M374" s="92" t="s">
        <v>347</v>
      </c>
      <c r="N374" s="92" t="s">
        <v>361</v>
      </c>
      <c r="O374" s="92" t="s">
        <v>587</v>
      </c>
      <c r="P374" s="9">
        <v>630</v>
      </c>
      <c r="Q374" s="195">
        <v>45</v>
      </c>
      <c r="R374" s="195">
        <v>45</v>
      </c>
      <c r="S374" s="195">
        <v>45</v>
      </c>
    </row>
    <row r="375" spans="1:19" ht="21.75" customHeight="1">
      <c r="A375" s="95"/>
      <c r="B375" s="94"/>
      <c r="C375" s="99"/>
      <c r="D375" s="103"/>
      <c r="E375" s="100"/>
      <c r="F375" s="100"/>
      <c r="G375" s="85"/>
      <c r="H375" s="4" t="s">
        <v>622</v>
      </c>
      <c r="I375" s="9">
        <v>27</v>
      </c>
      <c r="J375" s="15">
        <v>10</v>
      </c>
      <c r="K375" s="15">
        <v>6</v>
      </c>
      <c r="L375" s="91" t="s">
        <v>559</v>
      </c>
      <c r="M375" s="92" t="s">
        <v>347</v>
      </c>
      <c r="N375" s="92" t="s">
        <v>361</v>
      </c>
      <c r="O375" s="92" t="s">
        <v>59</v>
      </c>
      <c r="P375" s="5"/>
      <c r="Q375" s="197">
        <f>Q376</f>
        <v>57</v>
      </c>
      <c r="R375" s="197">
        <f>R376</f>
        <v>50</v>
      </c>
      <c r="S375" s="197">
        <f>S376</f>
        <v>50</v>
      </c>
    </row>
    <row r="376" spans="1:19" ht="21.75" customHeight="1">
      <c r="A376" s="95"/>
      <c r="B376" s="94"/>
      <c r="C376" s="99"/>
      <c r="D376" s="103"/>
      <c r="E376" s="100"/>
      <c r="F376" s="100"/>
      <c r="G376" s="85"/>
      <c r="H376" s="188" t="s">
        <v>454</v>
      </c>
      <c r="I376" s="22">
        <v>27</v>
      </c>
      <c r="J376" s="323">
        <v>10</v>
      </c>
      <c r="K376" s="15">
        <v>6</v>
      </c>
      <c r="L376" s="91" t="s">
        <v>559</v>
      </c>
      <c r="M376" s="92" t="s">
        <v>347</v>
      </c>
      <c r="N376" s="92" t="s">
        <v>361</v>
      </c>
      <c r="O376" s="92" t="s">
        <v>59</v>
      </c>
      <c r="P376" s="5">
        <v>240</v>
      </c>
      <c r="Q376" s="197">
        <f>50+100-13-15-65</f>
        <v>57</v>
      </c>
      <c r="R376" s="197">
        <v>50</v>
      </c>
      <c r="S376" s="197">
        <v>50</v>
      </c>
    </row>
    <row r="377" spans="1:19" s="171" customFormat="1" ht="18.75" customHeight="1">
      <c r="A377" s="135"/>
      <c r="B377" s="136"/>
      <c r="C377" s="146"/>
      <c r="D377" s="137"/>
      <c r="E377" s="138"/>
      <c r="F377" s="138"/>
      <c r="G377" s="148">
        <v>612</v>
      </c>
      <c r="H377" s="142" t="s">
        <v>323</v>
      </c>
      <c r="I377" s="145">
        <v>27</v>
      </c>
      <c r="J377" s="149">
        <v>11</v>
      </c>
      <c r="K377" s="132"/>
      <c r="L377" s="133"/>
      <c r="M377" s="134"/>
      <c r="N377" s="134"/>
      <c r="O377" s="134"/>
      <c r="P377" s="139"/>
      <c r="Q377" s="198">
        <f>Q378</f>
        <v>49439.600000000006</v>
      </c>
      <c r="R377" s="198">
        <f>R378</f>
        <v>11807.6</v>
      </c>
      <c r="S377" s="198">
        <f>S378</f>
        <v>8352</v>
      </c>
    </row>
    <row r="378" spans="1:19" s="171" customFormat="1" ht="19.5" customHeight="1">
      <c r="A378" s="135"/>
      <c r="B378" s="136"/>
      <c r="C378" s="135"/>
      <c r="D378" s="363">
        <v>5250000</v>
      </c>
      <c r="E378" s="364"/>
      <c r="F378" s="364"/>
      <c r="G378" s="129">
        <v>530</v>
      </c>
      <c r="H378" s="130" t="s">
        <v>126</v>
      </c>
      <c r="I378" s="131">
        <v>27</v>
      </c>
      <c r="J378" s="132">
        <v>11</v>
      </c>
      <c r="K378" s="132">
        <v>1</v>
      </c>
      <c r="L378" s="133"/>
      <c r="M378" s="134"/>
      <c r="N378" s="134"/>
      <c r="O378" s="134"/>
      <c r="P378" s="131"/>
      <c r="Q378" s="285">
        <f>Q383+Q379</f>
        <v>49439.600000000006</v>
      </c>
      <c r="R378" s="285">
        <f>R383+R379</f>
        <v>11807.6</v>
      </c>
      <c r="S378" s="285">
        <f>S383+S379</f>
        <v>8352</v>
      </c>
    </row>
    <row r="379" spans="1:19" s="171" customFormat="1" ht="34.5" customHeight="1">
      <c r="A379" s="135"/>
      <c r="B379" s="136"/>
      <c r="C379" s="135"/>
      <c r="D379" s="143"/>
      <c r="E379" s="320"/>
      <c r="F379" s="320"/>
      <c r="G379" s="129"/>
      <c r="H379" s="10" t="s">
        <v>441</v>
      </c>
      <c r="I379" s="9">
        <v>27</v>
      </c>
      <c r="J379" s="15">
        <v>11</v>
      </c>
      <c r="K379" s="15">
        <v>1</v>
      </c>
      <c r="L379" s="91" t="s">
        <v>442</v>
      </c>
      <c r="M379" s="92" t="s">
        <v>347</v>
      </c>
      <c r="N379" s="92" t="s">
        <v>357</v>
      </c>
      <c r="O379" s="92" t="s">
        <v>392</v>
      </c>
      <c r="P379" s="9"/>
      <c r="Q379" s="195">
        <f>Q380</f>
        <v>72.3</v>
      </c>
      <c r="R379" s="195">
        <f aca="true" t="shared" si="45" ref="R379:S381">R380</f>
        <v>0</v>
      </c>
      <c r="S379" s="195">
        <f t="shared" si="45"/>
        <v>0</v>
      </c>
    </row>
    <row r="380" spans="1:19" s="171" customFormat="1" ht="39" customHeight="1">
      <c r="A380" s="135"/>
      <c r="B380" s="136"/>
      <c r="C380" s="135"/>
      <c r="D380" s="143"/>
      <c r="E380" s="320"/>
      <c r="F380" s="320"/>
      <c r="G380" s="129"/>
      <c r="H380" s="10" t="s">
        <v>440</v>
      </c>
      <c r="I380" s="9">
        <v>27</v>
      </c>
      <c r="J380" s="15">
        <v>11</v>
      </c>
      <c r="K380" s="15">
        <v>1</v>
      </c>
      <c r="L380" s="91" t="s">
        <v>442</v>
      </c>
      <c r="M380" s="92" t="s">
        <v>347</v>
      </c>
      <c r="N380" s="92" t="s">
        <v>361</v>
      </c>
      <c r="O380" s="92" t="s">
        <v>392</v>
      </c>
      <c r="P380" s="9"/>
      <c r="Q380" s="195">
        <f>Q381</f>
        <v>72.3</v>
      </c>
      <c r="R380" s="195">
        <f t="shared" si="45"/>
        <v>0</v>
      </c>
      <c r="S380" s="195">
        <f t="shared" si="45"/>
        <v>0</v>
      </c>
    </row>
    <row r="381" spans="1:19" s="171" customFormat="1" ht="19.5" customHeight="1">
      <c r="A381" s="135"/>
      <c r="B381" s="136"/>
      <c r="C381" s="135"/>
      <c r="D381" s="143"/>
      <c r="E381" s="320"/>
      <c r="F381" s="320"/>
      <c r="G381" s="129"/>
      <c r="H381" s="10" t="s">
        <v>74</v>
      </c>
      <c r="I381" s="9">
        <v>27</v>
      </c>
      <c r="J381" s="15">
        <v>11</v>
      </c>
      <c r="K381" s="15">
        <v>1</v>
      </c>
      <c r="L381" s="91" t="s">
        <v>442</v>
      </c>
      <c r="M381" s="92" t="s">
        <v>347</v>
      </c>
      <c r="N381" s="92" t="s">
        <v>361</v>
      </c>
      <c r="O381" s="92" t="s">
        <v>73</v>
      </c>
      <c r="P381" s="9"/>
      <c r="Q381" s="195">
        <f>Q382</f>
        <v>72.3</v>
      </c>
      <c r="R381" s="195">
        <f t="shared" si="45"/>
        <v>0</v>
      </c>
      <c r="S381" s="195">
        <f t="shared" si="45"/>
        <v>0</v>
      </c>
    </row>
    <row r="382" spans="1:19" s="171" customFormat="1" ht="19.5" customHeight="1">
      <c r="A382" s="135"/>
      <c r="B382" s="136"/>
      <c r="C382" s="135"/>
      <c r="D382" s="143"/>
      <c r="E382" s="320"/>
      <c r="F382" s="320"/>
      <c r="G382" s="129"/>
      <c r="H382" s="10" t="s">
        <v>456</v>
      </c>
      <c r="I382" s="9">
        <v>27</v>
      </c>
      <c r="J382" s="15">
        <v>11</v>
      </c>
      <c r="K382" s="15">
        <v>1</v>
      </c>
      <c r="L382" s="91" t="s">
        <v>442</v>
      </c>
      <c r="M382" s="92" t="s">
        <v>347</v>
      </c>
      <c r="N382" s="92" t="s">
        <v>361</v>
      </c>
      <c r="O382" s="92" t="s">
        <v>73</v>
      </c>
      <c r="P382" s="9">
        <v>610</v>
      </c>
      <c r="Q382" s="195">
        <f>1.3+71</f>
        <v>72.3</v>
      </c>
      <c r="R382" s="195">
        <v>0</v>
      </c>
      <c r="S382" s="195">
        <v>0</v>
      </c>
    </row>
    <row r="383" spans="1:19" ht="34.5" customHeight="1">
      <c r="A383" s="95"/>
      <c r="B383" s="94"/>
      <c r="C383" s="99"/>
      <c r="D383" s="97"/>
      <c r="E383" s="109"/>
      <c r="F383" s="109"/>
      <c r="G383" s="101"/>
      <c r="H383" s="4" t="s">
        <v>436</v>
      </c>
      <c r="I383" s="5">
        <v>27</v>
      </c>
      <c r="J383" s="6">
        <v>11</v>
      </c>
      <c r="K383" s="15">
        <v>1</v>
      </c>
      <c r="L383" s="91" t="s">
        <v>437</v>
      </c>
      <c r="M383" s="92" t="s">
        <v>347</v>
      </c>
      <c r="N383" s="92" t="s">
        <v>357</v>
      </c>
      <c r="O383" s="92" t="s">
        <v>392</v>
      </c>
      <c r="P383" s="5"/>
      <c r="Q383" s="195">
        <f>Q387+Q384+Q392</f>
        <v>49367.3</v>
      </c>
      <c r="R383" s="195">
        <f>R387+R384+R392</f>
        <v>11807.6</v>
      </c>
      <c r="S383" s="195">
        <f>S387+S384+S392</f>
        <v>8352</v>
      </c>
    </row>
    <row r="384" spans="1:19" ht="34.5" customHeight="1">
      <c r="A384" s="95"/>
      <c r="B384" s="94"/>
      <c r="C384" s="99"/>
      <c r="D384" s="97"/>
      <c r="E384" s="109"/>
      <c r="F384" s="109"/>
      <c r="G384" s="85"/>
      <c r="H384" s="10" t="s">
        <v>615</v>
      </c>
      <c r="I384" s="9">
        <v>27</v>
      </c>
      <c r="J384" s="15">
        <v>11</v>
      </c>
      <c r="K384" s="15">
        <v>1</v>
      </c>
      <c r="L384" s="117" t="s">
        <v>437</v>
      </c>
      <c r="M384" s="118" t="s">
        <v>347</v>
      </c>
      <c r="N384" s="118" t="s">
        <v>348</v>
      </c>
      <c r="O384" s="118" t="s">
        <v>392</v>
      </c>
      <c r="P384" s="9"/>
      <c r="Q384" s="195">
        <f aca="true" t="shared" si="46" ref="Q384:S385">Q385</f>
        <v>76</v>
      </c>
      <c r="R384" s="195">
        <f t="shared" si="46"/>
        <v>100</v>
      </c>
      <c r="S384" s="195">
        <f t="shared" si="46"/>
        <v>100</v>
      </c>
    </row>
    <row r="385" spans="1:19" ht="26.25" customHeight="1">
      <c r="A385" s="95"/>
      <c r="B385" s="94"/>
      <c r="C385" s="99"/>
      <c r="D385" s="97"/>
      <c r="E385" s="109"/>
      <c r="F385" s="109"/>
      <c r="G385" s="85"/>
      <c r="H385" s="10" t="s">
        <v>74</v>
      </c>
      <c r="I385" s="9">
        <v>27</v>
      </c>
      <c r="J385" s="15">
        <v>11</v>
      </c>
      <c r="K385" s="15">
        <v>1</v>
      </c>
      <c r="L385" s="117" t="s">
        <v>437</v>
      </c>
      <c r="M385" s="118" t="s">
        <v>347</v>
      </c>
      <c r="N385" s="118" t="s">
        <v>348</v>
      </c>
      <c r="O385" s="118" t="s">
        <v>73</v>
      </c>
      <c r="P385" s="9"/>
      <c r="Q385" s="195">
        <f t="shared" si="46"/>
        <v>76</v>
      </c>
      <c r="R385" s="195">
        <f t="shared" si="46"/>
        <v>100</v>
      </c>
      <c r="S385" s="195">
        <f t="shared" si="46"/>
        <v>100</v>
      </c>
    </row>
    <row r="386" spans="1:19" ht="27.75" customHeight="1">
      <c r="A386" s="95"/>
      <c r="B386" s="94"/>
      <c r="C386" s="99"/>
      <c r="D386" s="97"/>
      <c r="E386" s="109"/>
      <c r="F386" s="109"/>
      <c r="G386" s="85"/>
      <c r="H386" s="10" t="s">
        <v>456</v>
      </c>
      <c r="I386" s="9">
        <v>27</v>
      </c>
      <c r="J386" s="15">
        <v>11</v>
      </c>
      <c r="K386" s="15">
        <v>1</v>
      </c>
      <c r="L386" s="117" t="s">
        <v>437</v>
      </c>
      <c r="M386" s="118" t="s">
        <v>347</v>
      </c>
      <c r="N386" s="118" t="s">
        <v>348</v>
      </c>
      <c r="O386" s="118" t="s">
        <v>73</v>
      </c>
      <c r="P386" s="9">
        <v>610</v>
      </c>
      <c r="Q386" s="195">
        <f>100-24-35+35</f>
        <v>76</v>
      </c>
      <c r="R386" s="195">
        <v>100</v>
      </c>
      <c r="S386" s="195">
        <v>100</v>
      </c>
    </row>
    <row r="387" spans="1:19" ht="24.75" customHeight="1">
      <c r="A387" s="95"/>
      <c r="B387" s="94"/>
      <c r="C387" s="99"/>
      <c r="D387" s="97"/>
      <c r="E387" s="109"/>
      <c r="F387" s="109"/>
      <c r="G387" s="85"/>
      <c r="H387" s="10" t="s">
        <v>75</v>
      </c>
      <c r="I387" s="9">
        <v>27</v>
      </c>
      <c r="J387" s="15">
        <v>11</v>
      </c>
      <c r="K387" s="15">
        <v>1</v>
      </c>
      <c r="L387" s="117" t="s">
        <v>437</v>
      </c>
      <c r="M387" s="118" t="s">
        <v>347</v>
      </c>
      <c r="N387" s="118" t="s">
        <v>365</v>
      </c>
      <c r="O387" s="118" t="s">
        <v>392</v>
      </c>
      <c r="P387" s="9"/>
      <c r="Q387" s="195">
        <f>Q388+Q390</f>
        <v>9659.9</v>
      </c>
      <c r="R387" s="195">
        <f>R388+R390</f>
        <v>8252</v>
      </c>
      <c r="S387" s="195">
        <f>S388+S390</f>
        <v>8252</v>
      </c>
    </row>
    <row r="388" spans="1:19" ht="22.5" customHeight="1">
      <c r="A388" s="95"/>
      <c r="B388" s="94"/>
      <c r="C388" s="99"/>
      <c r="D388" s="97"/>
      <c r="E388" s="109"/>
      <c r="F388" s="109"/>
      <c r="G388" s="85"/>
      <c r="H388" s="10" t="s">
        <v>74</v>
      </c>
      <c r="I388" s="9">
        <v>27</v>
      </c>
      <c r="J388" s="15">
        <v>11</v>
      </c>
      <c r="K388" s="15">
        <v>1</v>
      </c>
      <c r="L388" s="117" t="s">
        <v>437</v>
      </c>
      <c r="M388" s="118" t="s">
        <v>347</v>
      </c>
      <c r="N388" s="118" t="s">
        <v>365</v>
      </c>
      <c r="O388" s="118" t="s">
        <v>73</v>
      </c>
      <c r="P388" s="9"/>
      <c r="Q388" s="195">
        <f>Q389</f>
        <v>7975.6</v>
      </c>
      <c r="R388" s="195">
        <f>R389</f>
        <v>6727.5</v>
      </c>
      <c r="S388" s="195">
        <f>S389</f>
        <v>6727.5</v>
      </c>
    </row>
    <row r="389" spans="1:19" ht="22.5" customHeight="1">
      <c r="A389" s="95"/>
      <c r="B389" s="94"/>
      <c r="C389" s="99"/>
      <c r="D389" s="97"/>
      <c r="E389" s="109"/>
      <c r="F389" s="109"/>
      <c r="G389" s="85"/>
      <c r="H389" s="10" t="s">
        <v>456</v>
      </c>
      <c r="I389" s="9">
        <v>27</v>
      </c>
      <c r="J389" s="15">
        <v>11</v>
      </c>
      <c r="K389" s="15">
        <v>1</v>
      </c>
      <c r="L389" s="117" t="s">
        <v>437</v>
      </c>
      <c r="M389" s="118" t="s">
        <v>347</v>
      </c>
      <c r="N389" s="118" t="s">
        <v>365</v>
      </c>
      <c r="O389" s="118" t="s">
        <v>73</v>
      </c>
      <c r="P389" s="9">
        <v>610</v>
      </c>
      <c r="Q389" s="195">
        <f>6727.5-288.8-213.6+423.6+1325.3-13.4+15</f>
        <v>7975.6</v>
      </c>
      <c r="R389" s="195">
        <v>6727.5</v>
      </c>
      <c r="S389" s="195">
        <v>6727.5</v>
      </c>
    </row>
    <row r="390" spans="1:19" ht="37.5" customHeight="1">
      <c r="A390" s="95"/>
      <c r="B390" s="94"/>
      <c r="C390" s="99"/>
      <c r="D390" s="97"/>
      <c r="E390" s="109"/>
      <c r="F390" s="109"/>
      <c r="G390" s="85"/>
      <c r="H390" s="10" t="s">
        <v>595</v>
      </c>
      <c r="I390" s="9">
        <v>27</v>
      </c>
      <c r="J390" s="15">
        <v>11</v>
      </c>
      <c r="K390" s="15">
        <v>1</v>
      </c>
      <c r="L390" s="117" t="s">
        <v>437</v>
      </c>
      <c r="M390" s="118" t="s">
        <v>347</v>
      </c>
      <c r="N390" s="118" t="s">
        <v>365</v>
      </c>
      <c r="O390" s="118" t="s">
        <v>594</v>
      </c>
      <c r="P390" s="9"/>
      <c r="Q390" s="195">
        <f>Q391</f>
        <v>1684.3</v>
      </c>
      <c r="R390" s="195">
        <f>R391</f>
        <v>1524.5</v>
      </c>
      <c r="S390" s="195">
        <f>S391</f>
        <v>1524.5</v>
      </c>
    </row>
    <row r="391" spans="1:19" ht="27" customHeight="1">
      <c r="A391" s="95"/>
      <c r="B391" s="94"/>
      <c r="C391" s="99"/>
      <c r="D391" s="97"/>
      <c r="E391" s="109"/>
      <c r="F391" s="109"/>
      <c r="G391" s="85"/>
      <c r="H391" s="10" t="s">
        <v>456</v>
      </c>
      <c r="I391" s="9">
        <v>27</v>
      </c>
      <c r="J391" s="15">
        <v>11</v>
      </c>
      <c r="K391" s="15">
        <v>1</v>
      </c>
      <c r="L391" s="117" t="s">
        <v>437</v>
      </c>
      <c r="M391" s="118" t="s">
        <v>347</v>
      </c>
      <c r="N391" s="118" t="s">
        <v>365</v>
      </c>
      <c r="O391" s="118" t="s">
        <v>594</v>
      </c>
      <c r="P391" s="9">
        <v>610</v>
      </c>
      <c r="Q391" s="195">
        <f>1524.5+159.8</f>
        <v>1684.3</v>
      </c>
      <c r="R391" s="195">
        <v>1524.5</v>
      </c>
      <c r="S391" s="195">
        <v>1524.5</v>
      </c>
    </row>
    <row r="392" spans="1:19" ht="36" customHeight="1">
      <c r="A392" s="95"/>
      <c r="B392" s="94"/>
      <c r="C392" s="99"/>
      <c r="D392" s="97"/>
      <c r="E392" s="109"/>
      <c r="F392" s="109"/>
      <c r="G392" s="85"/>
      <c r="H392" s="10" t="s">
        <v>788</v>
      </c>
      <c r="I392" s="9">
        <v>27</v>
      </c>
      <c r="J392" s="15">
        <v>11</v>
      </c>
      <c r="K392" s="15">
        <v>1</v>
      </c>
      <c r="L392" s="117" t="s">
        <v>437</v>
      </c>
      <c r="M392" s="118" t="s">
        <v>347</v>
      </c>
      <c r="N392" s="118" t="s">
        <v>366</v>
      </c>
      <c r="O392" s="118" t="s">
        <v>392</v>
      </c>
      <c r="P392" s="9"/>
      <c r="Q392" s="195">
        <f>Q395+Q399+Q393+Q397</f>
        <v>39631.4</v>
      </c>
      <c r="R392" s="195">
        <f>R395+R399+R393</f>
        <v>3455.6</v>
      </c>
      <c r="S392" s="195">
        <f>S395+S399+S393</f>
        <v>0</v>
      </c>
    </row>
    <row r="393" spans="1:19" ht="36" customHeight="1">
      <c r="A393" s="95"/>
      <c r="B393" s="94"/>
      <c r="C393" s="99"/>
      <c r="D393" s="97"/>
      <c r="E393" s="109"/>
      <c r="F393" s="109"/>
      <c r="G393" s="85"/>
      <c r="H393" s="10" t="s">
        <v>823</v>
      </c>
      <c r="I393" s="9">
        <v>27</v>
      </c>
      <c r="J393" s="15">
        <v>11</v>
      </c>
      <c r="K393" s="15">
        <v>1</v>
      </c>
      <c r="L393" s="117" t="s">
        <v>437</v>
      </c>
      <c r="M393" s="118" t="s">
        <v>347</v>
      </c>
      <c r="N393" s="118" t="s">
        <v>366</v>
      </c>
      <c r="O393" s="118" t="s">
        <v>822</v>
      </c>
      <c r="P393" s="9"/>
      <c r="Q393" s="195">
        <f>Q394</f>
        <v>607.4</v>
      </c>
      <c r="R393" s="195">
        <f>R394</f>
        <v>0</v>
      </c>
      <c r="S393" s="195">
        <f>S394</f>
        <v>0</v>
      </c>
    </row>
    <row r="394" spans="1:19" ht="27.75" customHeight="1">
      <c r="A394" s="95"/>
      <c r="B394" s="94"/>
      <c r="C394" s="99"/>
      <c r="D394" s="97"/>
      <c r="E394" s="109"/>
      <c r="F394" s="109"/>
      <c r="G394" s="85"/>
      <c r="H394" s="10" t="s">
        <v>456</v>
      </c>
      <c r="I394" s="9">
        <v>27</v>
      </c>
      <c r="J394" s="15">
        <v>11</v>
      </c>
      <c r="K394" s="15">
        <v>1</v>
      </c>
      <c r="L394" s="117" t="s">
        <v>437</v>
      </c>
      <c r="M394" s="118" t="s">
        <v>347</v>
      </c>
      <c r="N394" s="118" t="s">
        <v>366</v>
      </c>
      <c r="O394" s="118" t="s">
        <v>822</v>
      </c>
      <c r="P394" s="9">
        <v>610</v>
      </c>
      <c r="Q394" s="195">
        <f>288.8+213.6+105</f>
        <v>607.4</v>
      </c>
      <c r="R394" s="195">
        <v>0</v>
      </c>
      <c r="S394" s="195">
        <v>0</v>
      </c>
    </row>
    <row r="395" spans="1:19" ht="33.75" customHeight="1">
      <c r="A395" s="95"/>
      <c r="B395" s="94"/>
      <c r="C395" s="99"/>
      <c r="D395" s="97"/>
      <c r="E395" s="109"/>
      <c r="F395" s="109"/>
      <c r="G395" s="85"/>
      <c r="H395" s="10" t="s">
        <v>620</v>
      </c>
      <c r="I395" s="9">
        <v>27</v>
      </c>
      <c r="J395" s="15">
        <v>11</v>
      </c>
      <c r="K395" s="15">
        <v>1</v>
      </c>
      <c r="L395" s="117" t="s">
        <v>437</v>
      </c>
      <c r="M395" s="118" t="s">
        <v>347</v>
      </c>
      <c r="N395" s="118" t="s">
        <v>366</v>
      </c>
      <c r="O395" s="118" t="s">
        <v>413</v>
      </c>
      <c r="P395" s="9"/>
      <c r="Q395" s="195">
        <f>Q396</f>
        <v>333.3</v>
      </c>
      <c r="R395" s="195">
        <f>R396</f>
        <v>0</v>
      </c>
      <c r="S395" s="195">
        <f>S396</f>
        <v>0</v>
      </c>
    </row>
    <row r="396" spans="1:19" ht="27" customHeight="1">
      <c r="A396" s="95"/>
      <c r="B396" s="94"/>
      <c r="C396" s="99"/>
      <c r="D396" s="97"/>
      <c r="E396" s="109"/>
      <c r="F396" s="109"/>
      <c r="G396" s="85"/>
      <c r="H396" s="10" t="s">
        <v>456</v>
      </c>
      <c r="I396" s="9">
        <v>27</v>
      </c>
      <c r="J396" s="15">
        <v>11</v>
      </c>
      <c r="K396" s="15">
        <v>1</v>
      </c>
      <c r="L396" s="117" t="s">
        <v>437</v>
      </c>
      <c r="M396" s="118" t="s">
        <v>347</v>
      </c>
      <c r="N396" s="118" t="s">
        <v>366</v>
      </c>
      <c r="O396" s="118" t="s">
        <v>413</v>
      </c>
      <c r="P396" s="9">
        <v>610</v>
      </c>
      <c r="Q396" s="195">
        <f>309.3+24</f>
        <v>333.3</v>
      </c>
      <c r="R396" s="195">
        <v>0</v>
      </c>
      <c r="S396" s="195">
        <v>0</v>
      </c>
    </row>
    <row r="397" spans="1:19" ht="46.5" customHeight="1">
      <c r="A397" s="95"/>
      <c r="B397" s="94"/>
      <c r="C397" s="99"/>
      <c r="D397" s="97"/>
      <c r="E397" s="109"/>
      <c r="F397" s="109"/>
      <c r="G397" s="85"/>
      <c r="H397" s="10" t="s">
        <v>851</v>
      </c>
      <c r="I397" s="9">
        <v>27</v>
      </c>
      <c r="J397" s="15">
        <v>11</v>
      </c>
      <c r="K397" s="15">
        <v>1</v>
      </c>
      <c r="L397" s="117" t="s">
        <v>437</v>
      </c>
      <c r="M397" s="118" t="s">
        <v>347</v>
      </c>
      <c r="N397" s="118" t="s">
        <v>366</v>
      </c>
      <c r="O397" s="118" t="s">
        <v>850</v>
      </c>
      <c r="P397" s="9"/>
      <c r="Q397" s="195">
        <f>Q398</f>
        <v>38690.700000000004</v>
      </c>
      <c r="R397" s="195">
        <f>R398</f>
        <v>0</v>
      </c>
      <c r="S397" s="195">
        <f>S398</f>
        <v>0</v>
      </c>
    </row>
    <row r="398" spans="1:19" ht="27" customHeight="1">
      <c r="A398" s="95"/>
      <c r="B398" s="94"/>
      <c r="C398" s="99"/>
      <c r="D398" s="97"/>
      <c r="E398" s="109"/>
      <c r="F398" s="109"/>
      <c r="G398" s="85"/>
      <c r="H398" s="10" t="s">
        <v>456</v>
      </c>
      <c r="I398" s="9">
        <v>27</v>
      </c>
      <c r="J398" s="15">
        <v>11</v>
      </c>
      <c r="K398" s="15">
        <v>1</v>
      </c>
      <c r="L398" s="117" t="s">
        <v>437</v>
      </c>
      <c r="M398" s="118" t="s">
        <v>347</v>
      </c>
      <c r="N398" s="118" t="s">
        <v>366</v>
      </c>
      <c r="O398" s="118" t="s">
        <v>850</v>
      </c>
      <c r="P398" s="9">
        <v>610</v>
      </c>
      <c r="Q398" s="195">
        <f>35052.3+3730-91.6</f>
        <v>38690.700000000004</v>
      </c>
      <c r="R398" s="195">
        <v>0</v>
      </c>
      <c r="S398" s="195">
        <v>0</v>
      </c>
    </row>
    <row r="399" spans="1:19" ht="36" customHeight="1">
      <c r="A399" s="95"/>
      <c r="B399" s="94"/>
      <c r="C399" s="99"/>
      <c r="D399" s="97"/>
      <c r="E399" s="109"/>
      <c r="F399" s="109"/>
      <c r="G399" s="85"/>
      <c r="H399" s="10" t="s">
        <v>621</v>
      </c>
      <c r="I399" s="9">
        <v>27</v>
      </c>
      <c r="J399" s="15">
        <v>11</v>
      </c>
      <c r="K399" s="15">
        <v>1</v>
      </c>
      <c r="L399" s="117" t="s">
        <v>437</v>
      </c>
      <c r="M399" s="118" t="s">
        <v>347</v>
      </c>
      <c r="N399" s="118" t="s">
        <v>438</v>
      </c>
      <c r="O399" s="118" t="s">
        <v>602</v>
      </c>
      <c r="P399" s="9"/>
      <c r="Q399" s="195">
        <f>Q400</f>
        <v>0</v>
      </c>
      <c r="R399" s="195">
        <f>R400</f>
        <v>3455.6</v>
      </c>
      <c r="S399" s="195">
        <f>S400</f>
        <v>0</v>
      </c>
    </row>
    <row r="400" spans="1:19" ht="27" customHeight="1">
      <c r="A400" s="95"/>
      <c r="B400" s="94"/>
      <c r="C400" s="99"/>
      <c r="D400" s="97"/>
      <c r="E400" s="109"/>
      <c r="F400" s="109"/>
      <c r="G400" s="85"/>
      <c r="H400" s="10" t="s">
        <v>456</v>
      </c>
      <c r="I400" s="9">
        <v>27</v>
      </c>
      <c r="J400" s="15">
        <v>11</v>
      </c>
      <c r="K400" s="15">
        <v>1</v>
      </c>
      <c r="L400" s="117" t="s">
        <v>437</v>
      </c>
      <c r="M400" s="118" t="s">
        <v>347</v>
      </c>
      <c r="N400" s="118" t="s">
        <v>438</v>
      </c>
      <c r="O400" s="118" t="s">
        <v>602</v>
      </c>
      <c r="P400" s="9">
        <v>610</v>
      </c>
      <c r="Q400" s="195">
        <v>0</v>
      </c>
      <c r="R400" s="195">
        <v>3455.6</v>
      </c>
      <c r="S400" s="195">
        <v>0</v>
      </c>
    </row>
    <row r="401" spans="1:19" s="169" customFormat="1" ht="24.75" customHeight="1">
      <c r="A401" s="151"/>
      <c r="B401" s="172"/>
      <c r="C401" s="173"/>
      <c r="D401" s="174"/>
      <c r="E401" s="175"/>
      <c r="F401" s="175"/>
      <c r="G401" s="176"/>
      <c r="H401" s="31" t="s">
        <v>500</v>
      </c>
      <c r="I401" s="13">
        <v>28</v>
      </c>
      <c r="J401" s="14"/>
      <c r="K401" s="14"/>
      <c r="L401" s="156"/>
      <c r="M401" s="157"/>
      <c r="N401" s="157"/>
      <c r="O401" s="157"/>
      <c r="P401" s="13"/>
      <c r="Q401" s="193">
        <f>Q402+Q437</f>
        <v>7917.299999999999</v>
      </c>
      <c r="R401" s="193">
        <f>R402+R437</f>
        <v>5996.2</v>
      </c>
      <c r="S401" s="193">
        <f>S402+S437</f>
        <v>5996.2</v>
      </c>
    </row>
    <row r="402" spans="1:19" s="171" customFormat="1" ht="23.25" customHeight="1">
      <c r="A402" s="135"/>
      <c r="B402" s="136"/>
      <c r="C402" s="146"/>
      <c r="D402" s="143"/>
      <c r="E402" s="147"/>
      <c r="F402" s="147"/>
      <c r="G402" s="129"/>
      <c r="H402" s="130" t="s">
        <v>322</v>
      </c>
      <c r="I402" s="131">
        <v>28</v>
      </c>
      <c r="J402" s="132">
        <v>1</v>
      </c>
      <c r="K402" s="132" t="s">
        <v>393</v>
      </c>
      <c r="L402" s="177"/>
      <c r="M402" s="178"/>
      <c r="N402" s="178"/>
      <c r="O402" s="178"/>
      <c r="P402" s="131"/>
      <c r="Q402" s="285">
        <f>Q403+Q412+Q425</f>
        <v>7798.299999999999</v>
      </c>
      <c r="R402" s="285">
        <f>R403+R412+R425</f>
        <v>5852.2</v>
      </c>
      <c r="S402" s="285">
        <f>S403+S412+S425</f>
        <v>5852.2</v>
      </c>
    </row>
    <row r="403" spans="1:19" s="171" customFormat="1" ht="36" customHeight="1">
      <c r="A403" s="135"/>
      <c r="B403" s="136"/>
      <c r="C403" s="146"/>
      <c r="D403" s="143"/>
      <c r="E403" s="147"/>
      <c r="F403" s="147"/>
      <c r="G403" s="129"/>
      <c r="H403" s="130" t="s">
        <v>353</v>
      </c>
      <c r="I403" s="131">
        <v>28</v>
      </c>
      <c r="J403" s="132">
        <v>1</v>
      </c>
      <c r="K403" s="132">
        <v>2</v>
      </c>
      <c r="L403" s="177"/>
      <c r="M403" s="178"/>
      <c r="N403" s="178"/>
      <c r="O403" s="178"/>
      <c r="P403" s="131"/>
      <c r="Q403" s="285">
        <f>Q404</f>
        <v>2185.6</v>
      </c>
      <c r="R403" s="285">
        <f>R404</f>
        <v>1961.8</v>
      </c>
      <c r="S403" s="285">
        <f>S404</f>
        <v>1961.8</v>
      </c>
    </row>
    <row r="404" spans="1:19" s="171" customFormat="1" ht="21.75" customHeight="1">
      <c r="A404" s="135"/>
      <c r="B404" s="136"/>
      <c r="C404" s="146"/>
      <c r="D404" s="143"/>
      <c r="E404" s="147"/>
      <c r="F404" s="147"/>
      <c r="G404" s="129"/>
      <c r="H404" s="10" t="s">
        <v>355</v>
      </c>
      <c r="I404" s="9">
        <v>28</v>
      </c>
      <c r="J404" s="15">
        <v>1</v>
      </c>
      <c r="K404" s="15">
        <v>2</v>
      </c>
      <c r="L404" s="15" t="s">
        <v>356</v>
      </c>
      <c r="M404" s="92" t="s">
        <v>347</v>
      </c>
      <c r="N404" s="92" t="s">
        <v>357</v>
      </c>
      <c r="O404" s="92" t="s">
        <v>392</v>
      </c>
      <c r="P404" s="9" t="s">
        <v>320</v>
      </c>
      <c r="Q404" s="195">
        <f>Q405+Q410+Q408</f>
        <v>2185.6</v>
      </c>
      <c r="R404" s="195">
        <f>R405+R410</f>
        <v>1961.8</v>
      </c>
      <c r="S404" s="195">
        <f>S405+S410</f>
        <v>1961.8</v>
      </c>
    </row>
    <row r="405" spans="1:19" ht="23.25" customHeight="1">
      <c r="A405" s="93"/>
      <c r="B405" s="94"/>
      <c r="C405" s="99"/>
      <c r="D405" s="97"/>
      <c r="E405" s="109"/>
      <c r="F405" s="109"/>
      <c r="G405" s="85"/>
      <c r="H405" s="10" t="s">
        <v>501</v>
      </c>
      <c r="I405" s="9">
        <v>28</v>
      </c>
      <c r="J405" s="15">
        <v>1</v>
      </c>
      <c r="K405" s="15">
        <v>2</v>
      </c>
      <c r="L405" s="117" t="s">
        <v>356</v>
      </c>
      <c r="M405" s="118" t="s">
        <v>347</v>
      </c>
      <c r="N405" s="118" t="s">
        <v>357</v>
      </c>
      <c r="O405" s="118" t="s">
        <v>398</v>
      </c>
      <c r="P405" s="9"/>
      <c r="Q405" s="195">
        <f>SUM(Q406:Q407)</f>
        <v>1648.6</v>
      </c>
      <c r="R405" s="195">
        <f>SUM(R406:R407)</f>
        <v>1648.6</v>
      </c>
      <c r="S405" s="195">
        <f>SUM(S406:S407)</f>
        <v>1648.6</v>
      </c>
    </row>
    <row r="406" spans="1:19" ht="24.75" customHeight="1">
      <c r="A406" s="93"/>
      <c r="B406" s="94"/>
      <c r="C406" s="99"/>
      <c r="D406" s="97"/>
      <c r="E406" s="109"/>
      <c r="F406" s="109"/>
      <c r="G406" s="85"/>
      <c r="H406" s="10" t="s">
        <v>319</v>
      </c>
      <c r="I406" s="9">
        <v>28</v>
      </c>
      <c r="J406" s="15">
        <v>1</v>
      </c>
      <c r="K406" s="15">
        <v>2</v>
      </c>
      <c r="L406" s="117" t="s">
        <v>356</v>
      </c>
      <c r="M406" s="118" t="s">
        <v>347</v>
      </c>
      <c r="N406" s="118" t="s">
        <v>357</v>
      </c>
      <c r="O406" s="118" t="s">
        <v>398</v>
      </c>
      <c r="P406" s="9">
        <v>120</v>
      </c>
      <c r="Q406" s="195">
        <f>1648.6</f>
        <v>1648.6</v>
      </c>
      <c r="R406" s="195">
        <v>1648.6</v>
      </c>
      <c r="S406" s="195">
        <v>1648.6</v>
      </c>
    </row>
    <row r="407" spans="1:19" ht="24.75" customHeight="1" hidden="1">
      <c r="A407" s="93"/>
      <c r="B407" s="94"/>
      <c r="C407" s="99"/>
      <c r="D407" s="97"/>
      <c r="E407" s="109"/>
      <c r="F407" s="109"/>
      <c r="G407" s="85"/>
      <c r="H407" s="10" t="s">
        <v>454</v>
      </c>
      <c r="I407" s="9">
        <v>28</v>
      </c>
      <c r="J407" s="15">
        <v>1</v>
      </c>
      <c r="K407" s="15">
        <v>2</v>
      </c>
      <c r="L407" s="117" t="s">
        <v>356</v>
      </c>
      <c r="M407" s="118" t="s">
        <v>347</v>
      </c>
      <c r="N407" s="118" t="s">
        <v>357</v>
      </c>
      <c r="O407" s="118" t="s">
        <v>398</v>
      </c>
      <c r="P407" s="9">
        <v>240</v>
      </c>
      <c r="Q407" s="195">
        <v>0</v>
      </c>
      <c r="R407" s="195">
        <v>0</v>
      </c>
      <c r="S407" s="195">
        <v>0</v>
      </c>
    </row>
    <row r="408" spans="1:19" ht="32.25" customHeight="1">
      <c r="A408" s="93"/>
      <c r="B408" s="94"/>
      <c r="C408" s="99"/>
      <c r="D408" s="97"/>
      <c r="E408" s="109"/>
      <c r="F408" s="109"/>
      <c r="G408" s="85"/>
      <c r="H408" s="104" t="s">
        <v>884</v>
      </c>
      <c r="I408" s="9">
        <v>28</v>
      </c>
      <c r="J408" s="15">
        <v>1</v>
      </c>
      <c r="K408" s="15">
        <v>2</v>
      </c>
      <c r="L408" s="117" t="s">
        <v>356</v>
      </c>
      <c r="M408" s="118" t="s">
        <v>347</v>
      </c>
      <c r="N408" s="118" t="s">
        <v>357</v>
      </c>
      <c r="O408" s="118" t="s">
        <v>883</v>
      </c>
      <c r="P408" s="9"/>
      <c r="Q408" s="195">
        <f>Q409</f>
        <v>164.2</v>
      </c>
      <c r="R408" s="195">
        <f>R409</f>
        <v>0</v>
      </c>
      <c r="S408" s="195">
        <f>S409</f>
        <v>0</v>
      </c>
    </row>
    <row r="409" spans="1:19" ht="24.75" customHeight="1">
      <c r="A409" s="93"/>
      <c r="B409" s="94"/>
      <c r="C409" s="99"/>
      <c r="D409" s="97"/>
      <c r="E409" s="109"/>
      <c r="F409" s="109"/>
      <c r="G409" s="85"/>
      <c r="H409" s="10" t="s">
        <v>319</v>
      </c>
      <c r="I409" s="9">
        <v>28</v>
      </c>
      <c r="J409" s="15">
        <v>1</v>
      </c>
      <c r="K409" s="15">
        <v>2</v>
      </c>
      <c r="L409" s="117" t="s">
        <v>356</v>
      </c>
      <c r="M409" s="118" t="s">
        <v>347</v>
      </c>
      <c r="N409" s="118" t="s">
        <v>357</v>
      </c>
      <c r="O409" s="118" t="s">
        <v>883</v>
      </c>
      <c r="P409" s="9">
        <v>120</v>
      </c>
      <c r="Q409" s="195">
        <v>164.2</v>
      </c>
      <c r="R409" s="195">
        <v>0</v>
      </c>
      <c r="S409" s="195">
        <v>0</v>
      </c>
    </row>
    <row r="410" spans="1:19" ht="35.25" customHeight="1">
      <c r="A410" s="93"/>
      <c r="B410" s="94"/>
      <c r="C410" s="99"/>
      <c r="D410" s="97"/>
      <c r="E410" s="109"/>
      <c r="F410" s="109"/>
      <c r="G410" s="85"/>
      <c r="H410" s="10" t="s">
        <v>595</v>
      </c>
      <c r="I410" s="9">
        <v>28</v>
      </c>
      <c r="J410" s="15">
        <v>1</v>
      </c>
      <c r="K410" s="15">
        <v>2</v>
      </c>
      <c r="L410" s="117" t="s">
        <v>356</v>
      </c>
      <c r="M410" s="118" t="s">
        <v>347</v>
      </c>
      <c r="N410" s="118" t="s">
        <v>357</v>
      </c>
      <c r="O410" s="118" t="s">
        <v>594</v>
      </c>
      <c r="P410" s="9"/>
      <c r="Q410" s="195">
        <f>Q411</f>
        <v>372.8</v>
      </c>
      <c r="R410" s="195">
        <f>R411</f>
        <v>313.2</v>
      </c>
      <c r="S410" s="195">
        <f>S411</f>
        <v>313.2</v>
      </c>
    </row>
    <row r="411" spans="1:19" ht="29.25" customHeight="1">
      <c r="A411" s="93"/>
      <c r="B411" s="94"/>
      <c r="C411" s="99"/>
      <c r="D411" s="97"/>
      <c r="E411" s="109"/>
      <c r="F411" s="109"/>
      <c r="G411" s="85"/>
      <c r="H411" s="10" t="s">
        <v>319</v>
      </c>
      <c r="I411" s="9">
        <v>28</v>
      </c>
      <c r="J411" s="15">
        <v>1</v>
      </c>
      <c r="K411" s="15">
        <v>2</v>
      </c>
      <c r="L411" s="117" t="s">
        <v>356</v>
      </c>
      <c r="M411" s="118" t="s">
        <v>347</v>
      </c>
      <c r="N411" s="118" t="s">
        <v>357</v>
      </c>
      <c r="O411" s="118" t="s">
        <v>594</v>
      </c>
      <c r="P411" s="9">
        <v>120</v>
      </c>
      <c r="Q411" s="195">
        <f>313.2+59.6</f>
        <v>372.8</v>
      </c>
      <c r="R411" s="195">
        <v>313.2</v>
      </c>
      <c r="S411" s="195">
        <v>313.2</v>
      </c>
    </row>
    <row r="412" spans="1:19" s="171" customFormat="1" ht="36" customHeight="1">
      <c r="A412" s="135"/>
      <c r="B412" s="136"/>
      <c r="C412" s="146"/>
      <c r="D412" s="143"/>
      <c r="E412" s="147"/>
      <c r="F412" s="147"/>
      <c r="G412" s="129"/>
      <c r="H412" s="130" t="s">
        <v>251</v>
      </c>
      <c r="I412" s="131">
        <v>28</v>
      </c>
      <c r="J412" s="132">
        <v>1</v>
      </c>
      <c r="K412" s="132">
        <v>3</v>
      </c>
      <c r="L412" s="177"/>
      <c r="M412" s="178"/>
      <c r="N412" s="178"/>
      <c r="O412" s="178"/>
      <c r="P412" s="131"/>
      <c r="Q412" s="194">
        <f>Q413</f>
        <v>5379.7</v>
      </c>
      <c r="R412" s="194">
        <f>R413</f>
        <v>3642.4</v>
      </c>
      <c r="S412" s="194">
        <f>S413</f>
        <v>3642.4</v>
      </c>
    </row>
    <row r="413" spans="1:19" s="171" customFormat="1" ht="21.75" customHeight="1">
      <c r="A413" s="135"/>
      <c r="B413" s="136"/>
      <c r="C413" s="146"/>
      <c r="D413" s="143"/>
      <c r="E413" s="147"/>
      <c r="F413" s="147"/>
      <c r="G413" s="129"/>
      <c r="H413" s="10" t="s">
        <v>355</v>
      </c>
      <c r="I413" s="9">
        <v>28</v>
      </c>
      <c r="J413" s="15">
        <v>1</v>
      </c>
      <c r="K413" s="15">
        <v>3</v>
      </c>
      <c r="L413" s="15" t="s">
        <v>356</v>
      </c>
      <c r="M413" s="92" t="s">
        <v>347</v>
      </c>
      <c r="N413" s="92" t="s">
        <v>357</v>
      </c>
      <c r="O413" s="92" t="s">
        <v>392</v>
      </c>
      <c r="P413" s="131"/>
      <c r="Q413" s="194">
        <f>Q414+Q420+Q422+Q418</f>
        <v>5379.7</v>
      </c>
      <c r="R413" s="194">
        <f>R414+R420+R422</f>
        <v>3642.4</v>
      </c>
      <c r="S413" s="194">
        <f>S414+S420+S422</f>
        <v>3642.4</v>
      </c>
    </row>
    <row r="414" spans="1:19" ht="20.25" customHeight="1">
      <c r="A414" s="93"/>
      <c r="B414" s="94"/>
      <c r="C414" s="99"/>
      <c r="D414" s="97"/>
      <c r="E414" s="109"/>
      <c r="F414" s="109"/>
      <c r="G414" s="85"/>
      <c r="H414" s="10" t="s">
        <v>501</v>
      </c>
      <c r="I414" s="9">
        <v>28</v>
      </c>
      <c r="J414" s="15">
        <v>1</v>
      </c>
      <c r="K414" s="15">
        <v>3</v>
      </c>
      <c r="L414" s="117" t="s">
        <v>356</v>
      </c>
      <c r="M414" s="118" t="s">
        <v>347</v>
      </c>
      <c r="N414" s="118" t="s">
        <v>357</v>
      </c>
      <c r="O414" s="118" t="s">
        <v>398</v>
      </c>
      <c r="P414" s="9"/>
      <c r="Q414" s="195">
        <f>SUM(Q415:Q417)</f>
        <v>4565.3</v>
      </c>
      <c r="R414" s="195">
        <f>SUM(R415:R416)</f>
        <v>3233.5</v>
      </c>
      <c r="S414" s="195">
        <f>SUM(S415:S416)</f>
        <v>3233.5</v>
      </c>
    </row>
    <row r="415" spans="1:19" ht="24.75" customHeight="1">
      <c r="A415" s="93"/>
      <c r="B415" s="94"/>
      <c r="C415" s="99"/>
      <c r="D415" s="97"/>
      <c r="E415" s="109"/>
      <c r="F415" s="109"/>
      <c r="G415" s="85"/>
      <c r="H415" s="10" t="s">
        <v>319</v>
      </c>
      <c r="I415" s="9">
        <v>28</v>
      </c>
      <c r="J415" s="15">
        <v>1</v>
      </c>
      <c r="K415" s="15">
        <v>3</v>
      </c>
      <c r="L415" s="117" t="s">
        <v>356</v>
      </c>
      <c r="M415" s="118" t="s">
        <v>347</v>
      </c>
      <c r="N415" s="118" t="s">
        <v>357</v>
      </c>
      <c r="O415" s="118" t="s">
        <v>398</v>
      </c>
      <c r="P415" s="9">
        <v>120</v>
      </c>
      <c r="Q415" s="195">
        <f>2269-0.1-30+30+215.6+638.2+131</f>
        <v>3253.7</v>
      </c>
      <c r="R415" s="195">
        <v>2269</v>
      </c>
      <c r="S415" s="195">
        <v>2269</v>
      </c>
    </row>
    <row r="416" spans="1:19" ht="23.25" customHeight="1">
      <c r="A416" s="93"/>
      <c r="B416" s="94"/>
      <c r="C416" s="99"/>
      <c r="D416" s="97"/>
      <c r="E416" s="109"/>
      <c r="F416" s="109"/>
      <c r="G416" s="85"/>
      <c r="H416" s="10" t="s">
        <v>454</v>
      </c>
      <c r="I416" s="9">
        <v>28</v>
      </c>
      <c r="J416" s="15">
        <v>1</v>
      </c>
      <c r="K416" s="15">
        <v>3</v>
      </c>
      <c r="L416" s="117" t="s">
        <v>356</v>
      </c>
      <c r="M416" s="118" t="s">
        <v>347</v>
      </c>
      <c r="N416" s="118" t="s">
        <v>357</v>
      </c>
      <c r="O416" s="118" t="s">
        <v>398</v>
      </c>
      <c r="P416" s="9">
        <v>240</v>
      </c>
      <c r="Q416" s="195">
        <f>964.5+30+77+200+40</f>
        <v>1311.5</v>
      </c>
      <c r="R416" s="195">
        <v>964.5</v>
      </c>
      <c r="S416" s="195">
        <v>964.5</v>
      </c>
    </row>
    <row r="417" spans="1:19" ht="23.25" customHeight="1">
      <c r="A417" s="93"/>
      <c r="B417" s="94"/>
      <c r="C417" s="99"/>
      <c r="D417" s="97"/>
      <c r="E417" s="109"/>
      <c r="F417" s="109"/>
      <c r="G417" s="85"/>
      <c r="H417" s="10" t="s">
        <v>455</v>
      </c>
      <c r="I417" s="9">
        <v>28</v>
      </c>
      <c r="J417" s="15">
        <v>1</v>
      </c>
      <c r="K417" s="15">
        <v>3</v>
      </c>
      <c r="L417" s="117" t="s">
        <v>356</v>
      </c>
      <c r="M417" s="118" t="s">
        <v>347</v>
      </c>
      <c r="N417" s="118" t="s">
        <v>357</v>
      </c>
      <c r="O417" s="118" t="s">
        <v>398</v>
      </c>
      <c r="P417" s="9">
        <v>850</v>
      </c>
      <c r="Q417" s="195">
        <v>0.1</v>
      </c>
      <c r="R417" s="197">
        <v>0</v>
      </c>
      <c r="S417" s="197">
        <v>0</v>
      </c>
    </row>
    <row r="418" spans="1:19" ht="33" customHeight="1">
      <c r="A418" s="93"/>
      <c r="B418" s="94"/>
      <c r="C418" s="99"/>
      <c r="D418" s="97"/>
      <c r="E418" s="109"/>
      <c r="F418" s="109"/>
      <c r="G418" s="85"/>
      <c r="H418" s="104" t="s">
        <v>884</v>
      </c>
      <c r="I418" s="9">
        <v>28</v>
      </c>
      <c r="J418" s="15">
        <v>1</v>
      </c>
      <c r="K418" s="15">
        <v>3</v>
      </c>
      <c r="L418" s="117" t="s">
        <v>356</v>
      </c>
      <c r="M418" s="118" t="s">
        <v>347</v>
      </c>
      <c r="N418" s="118" t="s">
        <v>357</v>
      </c>
      <c r="O418" s="118" t="s">
        <v>883</v>
      </c>
      <c r="P418" s="9"/>
      <c r="Q418" s="195">
        <f>Q419</f>
        <v>79.3</v>
      </c>
      <c r="R418" s="197">
        <f>R419</f>
        <v>0</v>
      </c>
      <c r="S418" s="197">
        <f>S419</f>
        <v>0</v>
      </c>
    </row>
    <row r="419" spans="1:19" ht="23.25" customHeight="1">
      <c r="A419" s="93"/>
      <c r="B419" s="94"/>
      <c r="C419" s="99"/>
      <c r="D419" s="97"/>
      <c r="E419" s="109"/>
      <c r="F419" s="109"/>
      <c r="G419" s="85"/>
      <c r="H419" s="10" t="s">
        <v>319</v>
      </c>
      <c r="I419" s="9">
        <v>28</v>
      </c>
      <c r="J419" s="15">
        <v>1</v>
      </c>
      <c r="K419" s="15">
        <v>3</v>
      </c>
      <c r="L419" s="117" t="s">
        <v>356</v>
      </c>
      <c r="M419" s="118" t="s">
        <v>347</v>
      </c>
      <c r="N419" s="118" t="s">
        <v>357</v>
      </c>
      <c r="O419" s="118" t="s">
        <v>883</v>
      </c>
      <c r="P419" s="9">
        <v>120</v>
      </c>
      <c r="Q419" s="195">
        <v>79.3</v>
      </c>
      <c r="R419" s="197">
        <v>0</v>
      </c>
      <c r="S419" s="197">
        <v>0</v>
      </c>
    </row>
    <row r="420" spans="1:19" ht="34.5" customHeight="1">
      <c r="A420" s="93"/>
      <c r="B420" s="94"/>
      <c r="C420" s="99"/>
      <c r="D420" s="97"/>
      <c r="E420" s="109"/>
      <c r="F420" s="109"/>
      <c r="G420" s="85"/>
      <c r="H420" s="10" t="s">
        <v>595</v>
      </c>
      <c r="I420" s="9">
        <v>28</v>
      </c>
      <c r="J420" s="15">
        <v>1</v>
      </c>
      <c r="K420" s="15">
        <v>3</v>
      </c>
      <c r="L420" s="117" t="s">
        <v>356</v>
      </c>
      <c r="M420" s="118" t="s">
        <v>347</v>
      </c>
      <c r="N420" s="118" t="s">
        <v>357</v>
      </c>
      <c r="O420" s="118" t="s">
        <v>594</v>
      </c>
      <c r="P420" s="9"/>
      <c r="Q420" s="195">
        <f>Q421</f>
        <v>521.9</v>
      </c>
      <c r="R420" s="197">
        <f>R421</f>
        <v>408.9</v>
      </c>
      <c r="S420" s="197">
        <f>S421</f>
        <v>408.9</v>
      </c>
    </row>
    <row r="421" spans="1:19" ht="23.25" customHeight="1">
      <c r="A421" s="93"/>
      <c r="B421" s="94"/>
      <c r="C421" s="99"/>
      <c r="D421" s="97"/>
      <c r="E421" s="109"/>
      <c r="F421" s="109"/>
      <c r="G421" s="85"/>
      <c r="H421" s="10" t="s">
        <v>319</v>
      </c>
      <c r="I421" s="9">
        <v>28</v>
      </c>
      <c r="J421" s="15">
        <v>1</v>
      </c>
      <c r="K421" s="15">
        <v>3</v>
      </c>
      <c r="L421" s="117" t="s">
        <v>356</v>
      </c>
      <c r="M421" s="118" t="s">
        <v>347</v>
      </c>
      <c r="N421" s="118" t="s">
        <v>357</v>
      </c>
      <c r="O421" s="118" t="s">
        <v>594</v>
      </c>
      <c r="P421" s="9">
        <v>120</v>
      </c>
      <c r="Q421" s="195">
        <f>408.9+113</f>
        <v>521.9</v>
      </c>
      <c r="R421" s="197">
        <v>408.9</v>
      </c>
      <c r="S421" s="197">
        <v>408.9</v>
      </c>
    </row>
    <row r="422" spans="1:19" ht="23.25" customHeight="1">
      <c r="A422" s="93"/>
      <c r="B422" s="94"/>
      <c r="C422" s="99"/>
      <c r="D422" s="97"/>
      <c r="E422" s="109"/>
      <c r="F422" s="109"/>
      <c r="G422" s="85"/>
      <c r="H422" s="274" t="s">
        <v>551</v>
      </c>
      <c r="I422" s="9">
        <v>28</v>
      </c>
      <c r="J422" s="15">
        <v>1</v>
      </c>
      <c r="K422" s="15">
        <v>3</v>
      </c>
      <c r="L422" s="117" t="s">
        <v>356</v>
      </c>
      <c r="M422" s="118" t="s">
        <v>347</v>
      </c>
      <c r="N422" s="118" t="s">
        <v>357</v>
      </c>
      <c r="O422" s="118" t="s">
        <v>4</v>
      </c>
      <c r="P422" s="5"/>
      <c r="Q422" s="197">
        <f>SUM(Q423:Q424)</f>
        <v>213.2</v>
      </c>
      <c r="R422" s="197">
        <f>SUM(R423:R424)</f>
        <v>0</v>
      </c>
      <c r="S422" s="197">
        <f>SUM(S423:S424)</f>
        <v>0</v>
      </c>
    </row>
    <row r="423" spans="1:19" ht="23.25" customHeight="1">
      <c r="A423" s="93"/>
      <c r="B423" s="94"/>
      <c r="C423" s="99"/>
      <c r="D423" s="97"/>
      <c r="E423" s="109"/>
      <c r="F423" s="109"/>
      <c r="G423" s="85"/>
      <c r="H423" s="10" t="s">
        <v>319</v>
      </c>
      <c r="I423" s="9">
        <v>28</v>
      </c>
      <c r="J423" s="15">
        <v>1</v>
      </c>
      <c r="K423" s="15">
        <v>3</v>
      </c>
      <c r="L423" s="117" t="s">
        <v>356</v>
      </c>
      <c r="M423" s="118" t="s">
        <v>347</v>
      </c>
      <c r="N423" s="118" t="s">
        <v>357</v>
      </c>
      <c r="O423" s="118" t="s">
        <v>4</v>
      </c>
      <c r="P423" s="5">
        <v>120</v>
      </c>
      <c r="Q423" s="197">
        <f>203</f>
        <v>203</v>
      </c>
      <c r="R423" s="197">
        <v>0</v>
      </c>
      <c r="S423" s="197">
        <v>0</v>
      </c>
    </row>
    <row r="424" spans="1:19" ht="23.25" customHeight="1">
      <c r="A424" s="93"/>
      <c r="B424" s="94"/>
      <c r="C424" s="99"/>
      <c r="D424" s="97"/>
      <c r="E424" s="109"/>
      <c r="F424" s="109"/>
      <c r="G424" s="85"/>
      <c r="H424" s="10" t="s">
        <v>454</v>
      </c>
      <c r="I424" s="9">
        <v>28</v>
      </c>
      <c r="J424" s="15">
        <v>1</v>
      </c>
      <c r="K424" s="15">
        <v>3</v>
      </c>
      <c r="L424" s="117" t="s">
        <v>356</v>
      </c>
      <c r="M424" s="118" t="s">
        <v>347</v>
      </c>
      <c r="N424" s="118" t="s">
        <v>357</v>
      </c>
      <c r="O424" s="118" t="s">
        <v>4</v>
      </c>
      <c r="P424" s="5">
        <v>240</v>
      </c>
      <c r="Q424" s="197">
        <v>10.2</v>
      </c>
      <c r="R424" s="197">
        <v>0</v>
      </c>
      <c r="S424" s="197">
        <v>0</v>
      </c>
    </row>
    <row r="425" spans="1:19" ht="23.25" customHeight="1">
      <c r="A425" s="93"/>
      <c r="B425" s="94"/>
      <c r="C425" s="99"/>
      <c r="D425" s="97"/>
      <c r="E425" s="109"/>
      <c r="F425" s="109"/>
      <c r="G425" s="85"/>
      <c r="H425" s="222" t="s">
        <v>321</v>
      </c>
      <c r="I425" s="131">
        <v>28</v>
      </c>
      <c r="J425" s="132">
        <v>1</v>
      </c>
      <c r="K425" s="132">
        <v>13</v>
      </c>
      <c r="L425" s="117"/>
      <c r="M425" s="118"/>
      <c r="N425" s="118"/>
      <c r="O425" s="118"/>
      <c r="P425" s="5"/>
      <c r="Q425" s="198">
        <f>Q426</f>
        <v>233</v>
      </c>
      <c r="R425" s="198">
        <f>R426</f>
        <v>248</v>
      </c>
      <c r="S425" s="198">
        <f>S426</f>
        <v>248</v>
      </c>
    </row>
    <row r="426" spans="1:19" ht="33.75" customHeight="1">
      <c r="A426" s="95"/>
      <c r="B426" s="94"/>
      <c r="C426" s="99"/>
      <c r="D426" s="97"/>
      <c r="E426" s="109"/>
      <c r="F426" s="109"/>
      <c r="G426" s="101"/>
      <c r="H426" s="2" t="s">
        <v>619</v>
      </c>
      <c r="I426" s="5">
        <v>28</v>
      </c>
      <c r="J426" s="6">
        <v>1</v>
      </c>
      <c r="K426" s="15">
        <v>13</v>
      </c>
      <c r="L426" s="91" t="s">
        <v>618</v>
      </c>
      <c r="M426" s="92" t="s">
        <v>347</v>
      </c>
      <c r="N426" s="92" t="s">
        <v>357</v>
      </c>
      <c r="O426" s="92" t="s">
        <v>392</v>
      </c>
      <c r="P426" s="5"/>
      <c r="Q426" s="197">
        <f>Q427+Q430+Q434</f>
        <v>233</v>
      </c>
      <c r="R426" s="197">
        <f>R427+R430+R434</f>
        <v>248</v>
      </c>
      <c r="S426" s="197">
        <f>S427+S430+S434</f>
        <v>248</v>
      </c>
    </row>
    <row r="427" spans="1:19" ht="19.5" customHeight="1">
      <c r="A427" s="95"/>
      <c r="B427" s="94"/>
      <c r="C427" s="99"/>
      <c r="D427" s="97"/>
      <c r="E427" s="109"/>
      <c r="F427" s="109"/>
      <c r="G427" s="101"/>
      <c r="H427" s="2" t="s">
        <v>575</v>
      </c>
      <c r="I427" s="7">
        <v>28</v>
      </c>
      <c r="J427" s="6">
        <v>1</v>
      </c>
      <c r="K427" s="15">
        <v>13</v>
      </c>
      <c r="L427" s="91" t="s">
        <v>618</v>
      </c>
      <c r="M427" s="92" t="s">
        <v>347</v>
      </c>
      <c r="N427" s="92" t="s">
        <v>348</v>
      </c>
      <c r="O427" s="92" t="s">
        <v>392</v>
      </c>
      <c r="P427" s="5"/>
      <c r="Q427" s="197">
        <f aca="true" t="shared" si="47" ref="Q427:S428">Q428</f>
        <v>140</v>
      </c>
      <c r="R427" s="197">
        <f t="shared" si="47"/>
        <v>155</v>
      </c>
      <c r="S427" s="197">
        <f t="shared" si="47"/>
        <v>155</v>
      </c>
    </row>
    <row r="428" spans="1:19" ht="36.75" customHeight="1">
      <c r="A428" s="95"/>
      <c r="B428" s="94"/>
      <c r="C428" s="99"/>
      <c r="D428" s="97"/>
      <c r="E428" s="109"/>
      <c r="F428" s="109"/>
      <c r="G428" s="101">
        <v>240</v>
      </c>
      <c r="H428" s="17" t="s">
        <v>11</v>
      </c>
      <c r="I428" s="7">
        <v>28</v>
      </c>
      <c r="J428" s="6">
        <v>1</v>
      </c>
      <c r="K428" s="15">
        <v>13</v>
      </c>
      <c r="L428" s="91" t="s">
        <v>618</v>
      </c>
      <c r="M428" s="92" t="s">
        <v>347</v>
      </c>
      <c r="N428" s="92" t="s">
        <v>348</v>
      </c>
      <c r="O428" s="92" t="s">
        <v>12</v>
      </c>
      <c r="P428" s="5"/>
      <c r="Q428" s="197">
        <f t="shared" si="47"/>
        <v>140</v>
      </c>
      <c r="R428" s="197">
        <f t="shared" si="47"/>
        <v>155</v>
      </c>
      <c r="S428" s="197">
        <f t="shared" si="47"/>
        <v>155</v>
      </c>
    </row>
    <row r="429" spans="1:19" ht="24.75" customHeight="1">
      <c r="A429" s="106"/>
      <c r="B429" s="107"/>
      <c r="C429" s="102"/>
      <c r="D429" s="103"/>
      <c r="E429" s="100"/>
      <c r="F429" s="100"/>
      <c r="G429" s="101"/>
      <c r="H429" s="4" t="s">
        <v>386</v>
      </c>
      <c r="I429" s="5">
        <v>28</v>
      </c>
      <c r="J429" s="6">
        <v>1</v>
      </c>
      <c r="K429" s="15">
        <v>13</v>
      </c>
      <c r="L429" s="91" t="s">
        <v>618</v>
      </c>
      <c r="M429" s="92" t="s">
        <v>347</v>
      </c>
      <c r="N429" s="92" t="s">
        <v>348</v>
      </c>
      <c r="O429" s="92" t="s">
        <v>12</v>
      </c>
      <c r="P429" s="5">
        <v>340</v>
      </c>
      <c r="Q429" s="195">
        <f>180-25+25-40</f>
        <v>140</v>
      </c>
      <c r="R429" s="195">
        <f>180-25</f>
        <v>155</v>
      </c>
      <c r="S429" s="195">
        <f>180-25</f>
        <v>155</v>
      </c>
    </row>
    <row r="430" spans="1:19" ht="24.75" customHeight="1">
      <c r="A430" s="106"/>
      <c r="B430" s="107"/>
      <c r="C430" s="102"/>
      <c r="D430" s="103"/>
      <c r="E430" s="100"/>
      <c r="F430" s="100"/>
      <c r="G430" s="101"/>
      <c r="H430" s="4" t="s">
        <v>576</v>
      </c>
      <c r="I430" s="5">
        <v>28</v>
      </c>
      <c r="J430" s="6">
        <v>1</v>
      </c>
      <c r="K430" s="15">
        <v>13</v>
      </c>
      <c r="L430" s="91" t="s">
        <v>618</v>
      </c>
      <c r="M430" s="92" t="s">
        <v>347</v>
      </c>
      <c r="N430" s="92" t="s">
        <v>365</v>
      </c>
      <c r="O430" s="92" t="s">
        <v>392</v>
      </c>
      <c r="P430" s="5"/>
      <c r="Q430" s="195">
        <f>Q431</f>
        <v>68</v>
      </c>
      <c r="R430" s="195">
        <f>R431</f>
        <v>68</v>
      </c>
      <c r="S430" s="195">
        <f>S431</f>
        <v>68</v>
      </c>
    </row>
    <row r="431" spans="1:19" ht="36.75" customHeight="1">
      <c r="A431" s="106"/>
      <c r="B431" s="107"/>
      <c r="C431" s="102"/>
      <c r="D431" s="103"/>
      <c r="E431" s="100"/>
      <c r="F431" s="100"/>
      <c r="G431" s="101"/>
      <c r="H431" s="4" t="s">
        <v>11</v>
      </c>
      <c r="I431" s="5">
        <v>28</v>
      </c>
      <c r="J431" s="6">
        <v>1</v>
      </c>
      <c r="K431" s="15">
        <v>13</v>
      </c>
      <c r="L431" s="91" t="s">
        <v>618</v>
      </c>
      <c r="M431" s="92" t="s">
        <v>347</v>
      </c>
      <c r="N431" s="92" t="s">
        <v>365</v>
      </c>
      <c r="O431" s="92" t="s">
        <v>12</v>
      </c>
      <c r="P431" s="5"/>
      <c r="Q431" s="195">
        <f>Q433+Q432</f>
        <v>68</v>
      </c>
      <c r="R431" s="195">
        <f>R433</f>
        <v>68</v>
      </c>
      <c r="S431" s="195">
        <f>S433</f>
        <v>68</v>
      </c>
    </row>
    <row r="432" spans="1:19" ht="36.75" customHeight="1">
      <c r="A432" s="106"/>
      <c r="B432" s="107"/>
      <c r="C432" s="102"/>
      <c r="D432" s="103"/>
      <c r="E432" s="100"/>
      <c r="F432" s="100"/>
      <c r="G432" s="101"/>
      <c r="H432" s="10" t="s">
        <v>319</v>
      </c>
      <c r="I432" s="5">
        <v>28</v>
      </c>
      <c r="J432" s="6">
        <v>1</v>
      </c>
      <c r="K432" s="15">
        <v>13</v>
      </c>
      <c r="L432" s="91" t="s">
        <v>618</v>
      </c>
      <c r="M432" s="92" t="s">
        <v>347</v>
      </c>
      <c r="N432" s="92" t="s">
        <v>365</v>
      </c>
      <c r="O432" s="92" t="s">
        <v>12</v>
      </c>
      <c r="P432" s="5">
        <v>120</v>
      </c>
      <c r="Q432" s="195">
        <v>20.3</v>
      </c>
      <c r="R432" s="195">
        <v>0</v>
      </c>
      <c r="S432" s="195">
        <v>0</v>
      </c>
    </row>
    <row r="433" spans="1:19" ht="24.75" customHeight="1">
      <c r="A433" s="106"/>
      <c r="B433" s="107"/>
      <c r="C433" s="102"/>
      <c r="D433" s="103"/>
      <c r="E433" s="100"/>
      <c r="F433" s="100"/>
      <c r="G433" s="101"/>
      <c r="H433" s="4" t="s">
        <v>454</v>
      </c>
      <c r="I433" s="5">
        <v>28</v>
      </c>
      <c r="J433" s="6">
        <v>1</v>
      </c>
      <c r="K433" s="15">
        <v>13</v>
      </c>
      <c r="L433" s="91" t="s">
        <v>618</v>
      </c>
      <c r="M433" s="92" t="s">
        <v>347</v>
      </c>
      <c r="N433" s="92" t="s">
        <v>365</v>
      </c>
      <c r="O433" s="92" t="s">
        <v>12</v>
      </c>
      <c r="P433" s="5">
        <v>240</v>
      </c>
      <c r="Q433" s="195">
        <f>68-20.3</f>
        <v>47.7</v>
      </c>
      <c r="R433" s="195">
        <v>68</v>
      </c>
      <c r="S433" s="195">
        <v>68</v>
      </c>
    </row>
    <row r="434" spans="1:19" ht="24.75" customHeight="1">
      <c r="A434" s="106"/>
      <c r="B434" s="107"/>
      <c r="C434" s="102"/>
      <c r="D434" s="103"/>
      <c r="E434" s="100"/>
      <c r="F434" s="100"/>
      <c r="G434" s="101"/>
      <c r="H434" s="4" t="s">
        <v>846</v>
      </c>
      <c r="I434" s="5">
        <v>28</v>
      </c>
      <c r="J434" s="6">
        <v>1</v>
      </c>
      <c r="K434" s="15">
        <v>13</v>
      </c>
      <c r="L434" s="91" t="s">
        <v>618</v>
      </c>
      <c r="M434" s="92" t="s">
        <v>347</v>
      </c>
      <c r="N434" s="92" t="s">
        <v>366</v>
      </c>
      <c r="O434" s="92" t="s">
        <v>392</v>
      </c>
      <c r="P434" s="5"/>
      <c r="Q434" s="195">
        <f aca="true" t="shared" si="48" ref="Q434:S435">Q435</f>
        <v>25</v>
      </c>
      <c r="R434" s="195">
        <f t="shared" si="48"/>
        <v>25</v>
      </c>
      <c r="S434" s="195">
        <f t="shared" si="48"/>
        <v>25</v>
      </c>
    </row>
    <row r="435" spans="1:19" ht="36.75" customHeight="1">
      <c r="A435" s="106"/>
      <c r="B435" s="107"/>
      <c r="C435" s="102"/>
      <c r="D435" s="103"/>
      <c r="E435" s="100"/>
      <c r="F435" s="100"/>
      <c r="G435" s="101"/>
      <c r="H435" s="4" t="s">
        <v>11</v>
      </c>
      <c r="I435" s="5">
        <v>28</v>
      </c>
      <c r="J435" s="6">
        <v>1</v>
      </c>
      <c r="K435" s="15">
        <v>13</v>
      </c>
      <c r="L435" s="91" t="s">
        <v>618</v>
      </c>
      <c r="M435" s="92" t="s">
        <v>347</v>
      </c>
      <c r="N435" s="92" t="s">
        <v>366</v>
      </c>
      <c r="O435" s="92" t="s">
        <v>12</v>
      </c>
      <c r="P435" s="5"/>
      <c r="Q435" s="195">
        <f t="shared" si="48"/>
        <v>25</v>
      </c>
      <c r="R435" s="195">
        <f t="shared" si="48"/>
        <v>25</v>
      </c>
      <c r="S435" s="195">
        <f t="shared" si="48"/>
        <v>25</v>
      </c>
    </row>
    <row r="436" spans="1:19" ht="24.75" customHeight="1">
      <c r="A436" s="106"/>
      <c r="B436" s="107"/>
      <c r="C436" s="102"/>
      <c r="D436" s="103"/>
      <c r="E436" s="100"/>
      <c r="F436" s="100"/>
      <c r="G436" s="101"/>
      <c r="H436" s="4" t="s">
        <v>454</v>
      </c>
      <c r="I436" s="7">
        <v>28</v>
      </c>
      <c r="J436" s="20">
        <v>1</v>
      </c>
      <c r="K436" s="15">
        <v>13</v>
      </c>
      <c r="L436" s="91" t="s">
        <v>618</v>
      </c>
      <c r="M436" s="92" t="s">
        <v>347</v>
      </c>
      <c r="N436" s="92" t="s">
        <v>366</v>
      </c>
      <c r="O436" s="92" t="s">
        <v>12</v>
      </c>
      <c r="P436" s="5">
        <v>240</v>
      </c>
      <c r="Q436" s="195">
        <f>25</f>
        <v>25</v>
      </c>
      <c r="R436" s="195">
        <v>25</v>
      </c>
      <c r="S436" s="195">
        <v>25</v>
      </c>
    </row>
    <row r="437" spans="1:19" s="171" customFormat="1" ht="24.75" customHeight="1">
      <c r="A437" s="158"/>
      <c r="B437" s="207"/>
      <c r="C437" s="150"/>
      <c r="D437" s="162"/>
      <c r="E437" s="138"/>
      <c r="F437" s="138"/>
      <c r="G437" s="148"/>
      <c r="H437" s="286" t="s">
        <v>327</v>
      </c>
      <c r="I437" s="287">
        <v>28</v>
      </c>
      <c r="J437" s="288">
        <v>10</v>
      </c>
      <c r="K437" s="132"/>
      <c r="L437" s="133"/>
      <c r="M437" s="134"/>
      <c r="N437" s="134"/>
      <c r="O437" s="134"/>
      <c r="P437" s="139"/>
      <c r="Q437" s="194">
        <f>Q438</f>
        <v>119</v>
      </c>
      <c r="R437" s="194">
        <f aca="true" t="shared" si="49" ref="R437:S441">R438</f>
        <v>144</v>
      </c>
      <c r="S437" s="194">
        <f t="shared" si="49"/>
        <v>144</v>
      </c>
    </row>
    <row r="438" spans="1:19" s="124" customFormat="1" ht="24.75" customHeight="1">
      <c r="A438" s="106"/>
      <c r="B438" s="189"/>
      <c r="C438" s="203"/>
      <c r="D438" s="204"/>
      <c r="E438" s="205"/>
      <c r="F438" s="205"/>
      <c r="G438" s="206"/>
      <c r="H438" s="286" t="s">
        <v>326</v>
      </c>
      <c r="I438" s="289">
        <v>28</v>
      </c>
      <c r="J438" s="290">
        <v>10</v>
      </c>
      <c r="K438" s="291">
        <v>3</v>
      </c>
      <c r="L438" s="292"/>
      <c r="M438" s="293"/>
      <c r="N438" s="293"/>
      <c r="O438" s="293"/>
      <c r="P438" s="289"/>
      <c r="Q438" s="294">
        <f>Q440</f>
        <v>119</v>
      </c>
      <c r="R438" s="294">
        <f>R440</f>
        <v>144</v>
      </c>
      <c r="S438" s="294">
        <f>S440</f>
        <v>144</v>
      </c>
    </row>
    <row r="439" spans="1:19" ht="33.75" customHeight="1">
      <c r="A439" s="95"/>
      <c r="B439" s="94"/>
      <c r="C439" s="99"/>
      <c r="D439" s="97"/>
      <c r="E439" s="109"/>
      <c r="F439" s="109"/>
      <c r="G439" s="101"/>
      <c r="H439" s="2" t="s">
        <v>619</v>
      </c>
      <c r="I439" s="5">
        <v>28</v>
      </c>
      <c r="J439" s="6">
        <v>10</v>
      </c>
      <c r="K439" s="15">
        <v>3</v>
      </c>
      <c r="L439" s="91" t="s">
        <v>618</v>
      </c>
      <c r="M439" s="92" t="s">
        <v>347</v>
      </c>
      <c r="N439" s="92" t="s">
        <v>357</v>
      </c>
      <c r="O439" s="92" t="s">
        <v>392</v>
      </c>
      <c r="P439" s="5"/>
      <c r="Q439" s="197">
        <f>Q440</f>
        <v>119</v>
      </c>
      <c r="R439" s="197">
        <f>R440</f>
        <v>144</v>
      </c>
      <c r="S439" s="197">
        <f>S440</f>
        <v>144</v>
      </c>
    </row>
    <row r="440" spans="1:19" ht="30" customHeight="1">
      <c r="A440" s="106"/>
      <c r="B440" s="107"/>
      <c r="C440" s="102"/>
      <c r="D440" s="103"/>
      <c r="E440" s="100"/>
      <c r="F440" s="100"/>
      <c r="G440" s="101"/>
      <c r="H440" s="4" t="s">
        <v>846</v>
      </c>
      <c r="I440" s="5">
        <v>28</v>
      </c>
      <c r="J440" s="6">
        <v>10</v>
      </c>
      <c r="K440" s="15">
        <v>3</v>
      </c>
      <c r="L440" s="91" t="s">
        <v>618</v>
      </c>
      <c r="M440" s="92" t="s">
        <v>347</v>
      </c>
      <c r="N440" s="92" t="s">
        <v>366</v>
      </c>
      <c r="O440" s="92" t="s">
        <v>392</v>
      </c>
      <c r="P440" s="5"/>
      <c r="Q440" s="195">
        <f>Q441</f>
        <v>119</v>
      </c>
      <c r="R440" s="195">
        <f t="shared" si="49"/>
        <v>144</v>
      </c>
      <c r="S440" s="195">
        <f t="shared" si="49"/>
        <v>144</v>
      </c>
    </row>
    <row r="441" spans="1:19" ht="34.5" customHeight="1">
      <c r="A441" s="106"/>
      <c r="B441" s="107"/>
      <c r="C441" s="102"/>
      <c r="D441" s="103"/>
      <c r="E441" s="100"/>
      <c r="F441" s="100"/>
      <c r="G441" s="101"/>
      <c r="H441" s="4" t="s">
        <v>11</v>
      </c>
      <c r="I441" s="5">
        <v>28</v>
      </c>
      <c r="J441" s="6">
        <v>10</v>
      </c>
      <c r="K441" s="15">
        <v>3</v>
      </c>
      <c r="L441" s="91" t="s">
        <v>618</v>
      </c>
      <c r="M441" s="92" t="s">
        <v>347</v>
      </c>
      <c r="N441" s="92" t="s">
        <v>366</v>
      </c>
      <c r="O441" s="92" t="s">
        <v>12</v>
      </c>
      <c r="P441" s="5"/>
      <c r="Q441" s="195">
        <f>Q442</f>
        <v>119</v>
      </c>
      <c r="R441" s="195">
        <f t="shared" si="49"/>
        <v>144</v>
      </c>
      <c r="S441" s="195">
        <f t="shared" si="49"/>
        <v>144</v>
      </c>
    </row>
    <row r="442" spans="1:19" ht="24.75" customHeight="1">
      <c r="A442" s="106"/>
      <c r="B442" s="107"/>
      <c r="C442" s="102"/>
      <c r="D442" s="103"/>
      <c r="E442" s="100"/>
      <c r="F442" s="100"/>
      <c r="G442" s="101"/>
      <c r="H442" s="4" t="s">
        <v>458</v>
      </c>
      <c r="I442" s="5">
        <v>28</v>
      </c>
      <c r="J442" s="6">
        <v>10</v>
      </c>
      <c r="K442" s="15">
        <v>3</v>
      </c>
      <c r="L442" s="91" t="s">
        <v>618</v>
      </c>
      <c r="M442" s="92" t="s">
        <v>347</v>
      </c>
      <c r="N442" s="92" t="s">
        <v>366</v>
      </c>
      <c r="O442" s="92" t="s">
        <v>12</v>
      </c>
      <c r="P442" s="5">
        <v>310</v>
      </c>
      <c r="Q442" s="195">
        <f>144-25</f>
        <v>119</v>
      </c>
      <c r="R442" s="195">
        <v>144</v>
      </c>
      <c r="S442" s="195">
        <v>144</v>
      </c>
    </row>
    <row r="443" spans="1:19" s="273" customFormat="1" ht="27.75" customHeight="1">
      <c r="A443" s="151"/>
      <c r="B443" s="152"/>
      <c r="C443" s="153"/>
      <c r="D443" s="154"/>
      <c r="E443" s="395">
        <v>5250300</v>
      </c>
      <c r="F443" s="395"/>
      <c r="G443" s="125">
        <v>530</v>
      </c>
      <c r="H443" s="31" t="s">
        <v>121</v>
      </c>
      <c r="I443" s="13">
        <v>660</v>
      </c>
      <c r="J443" s="14" t="s">
        <v>320</v>
      </c>
      <c r="K443" s="14" t="s">
        <v>320</v>
      </c>
      <c r="L443" s="126" t="s">
        <v>320</v>
      </c>
      <c r="M443" s="127" t="s">
        <v>320</v>
      </c>
      <c r="N443" s="127"/>
      <c r="O443" s="127" t="s">
        <v>320</v>
      </c>
      <c r="P443" s="13" t="s">
        <v>320</v>
      </c>
      <c r="Q443" s="193">
        <f>Q444</f>
        <v>1520.4</v>
      </c>
      <c r="R443" s="193">
        <f aca="true" t="shared" si="50" ref="R443:S445">R444</f>
        <v>1123.5</v>
      </c>
      <c r="S443" s="193">
        <f t="shared" si="50"/>
        <v>1123.5</v>
      </c>
    </row>
    <row r="444" spans="1:19" s="171" customFormat="1" ht="18.75" customHeight="1">
      <c r="A444" s="158"/>
      <c r="B444" s="159"/>
      <c r="C444" s="150"/>
      <c r="D444" s="137"/>
      <c r="E444" s="138"/>
      <c r="F444" s="138"/>
      <c r="G444" s="148">
        <v>530</v>
      </c>
      <c r="H444" s="130" t="s">
        <v>322</v>
      </c>
      <c r="I444" s="131">
        <v>660</v>
      </c>
      <c r="J444" s="132">
        <v>1</v>
      </c>
      <c r="K444" s="132" t="s">
        <v>393</v>
      </c>
      <c r="L444" s="133" t="s">
        <v>320</v>
      </c>
      <c r="M444" s="134" t="s">
        <v>320</v>
      </c>
      <c r="N444" s="134"/>
      <c r="O444" s="134" t="s">
        <v>320</v>
      </c>
      <c r="P444" s="139" t="s">
        <v>320</v>
      </c>
      <c r="Q444" s="198">
        <f>Q445</f>
        <v>1520.4</v>
      </c>
      <c r="R444" s="198">
        <f t="shared" si="50"/>
        <v>1123.5</v>
      </c>
      <c r="S444" s="198">
        <f t="shared" si="50"/>
        <v>1123.5</v>
      </c>
    </row>
    <row r="445" spans="1:19" s="171" customFormat="1" ht="18.75" customHeight="1">
      <c r="A445" s="365">
        <v>1000</v>
      </c>
      <c r="B445" s="365"/>
      <c r="C445" s="366"/>
      <c r="D445" s="366"/>
      <c r="E445" s="366"/>
      <c r="F445" s="366"/>
      <c r="G445" s="129">
        <v>530</v>
      </c>
      <c r="H445" s="130" t="s">
        <v>321</v>
      </c>
      <c r="I445" s="131">
        <v>660</v>
      </c>
      <c r="J445" s="132">
        <v>1</v>
      </c>
      <c r="K445" s="132">
        <v>13</v>
      </c>
      <c r="L445" s="133" t="s">
        <v>320</v>
      </c>
      <c r="M445" s="134" t="s">
        <v>320</v>
      </c>
      <c r="N445" s="134"/>
      <c r="O445" s="134" t="s">
        <v>320</v>
      </c>
      <c r="P445" s="131" t="s">
        <v>320</v>
      </c>
      <c r="Q445" s="194">
        <f>Q446</f>
        <v>1520.4</v>
      </c>
      <c r="R445" s="194">
        <f t="shared" si="50"/>
        <v>1123.5</v>
      </c>
      <c r="S445" s="194">
        <f t="shared" si="50"/>
        <v>1123.5</v>
      </c>
    </row>
    <row r="446" spans="1:19" s="171" customFormat="1" ht="18.75" customHeight="1">
      <c r="A446" s="135"/>
      <c r="B446" s="136"/>
      <c r="C446" s="158"/>
      <c r="D446" s="128"/>
      <c r="E446" s="128"/>
      <c r="F446" s="128"/>
      <c r="G446" s="129"/>
      <c r="H446" s="10" t="s">
        <v>62</v>
      </c>
      <c r="I446" s="9">
        <v>660</v>
      </c>
      <c r="J446" s="15">
        <v>1</v>
      </c>
      <c r="K446" s="15">
        <v>13</v>
      </c>
      <c r="L446" s="91" t="s">
        <v>354</v>
      </c>
      <c r="M446" s="92" t="s">
        <v>347</v>
      </c>
      <c r="N446" s="92" t="s">
        <v>357</v>
      </c>
      <c r="O446" s="92" t="s">
        <v>392</v>
      </c>
      <c r="P446" s="131"/>
      <c r="Q446" s="195">
        <f>Q447+Q455+Q453+Q451</f>
        <v>1520.4</v>
      </c>
      <c r="R446" s="195">
        <f>R447+R455+R453</f>
        <v>1123.5</v>
      </c>
      <c r="S446" s="195">
        <f>S447+S455+S453</f>
        <v>1123.5</v>
      </c>
    </row>
    <row r="447" spans="1:19" ht="18.75" customHeight="1">
      <c r="A447" s="95"/>
      <c r="B447" s="94"/>
      <c r="C447" s="93"/>
      <c r="D447" s="371">
        <v>5050000</v>
      </c>
      <c r="E447" s="372"/>
      <c r="F447" s="372"/>
      <c r="G447" s="85">
        <v>321</v>
      </c>
      <c r="H447" s="10" t="s">
        <v>100</v>
      </c>
      <c r="I447" s="9">
        <v>660</v>
      </c>
      <c r="J447" s="15">
        <v>1</v>
      </c>
      <c r="K447" s="15">
        <v>13</v>
      </c>
      <c r="L447" s="15" t="s">
        <v>354</v>
      </c>
      <c r="M447" s="92" t="s">
        <v>347</v>
      </c>
      <c r="N447" s="92" t="s">
        <v>357</v>
      </c>
      <c r="O447" s="92" t="s">
        <v>398</v>
      </c>
      <c r="P447" s="9" t="s">
        <v>320</v>
      </c>
      <c r="Q447" s="195">
        <f>SUM(Q448:Q450)</f>
        <v>1004.4</v>
      </c>
      <c r="R447" s="195">
        <f>SUM(R448:R449)</f>
        <v>994.7</v>
      </c>
      <c r="S447" s="195">
        <f>SUM(S448:S449)</f>
        <v>994.7</v>
      </c>
    </row>
    <row r="448" spans="1:19" ht="26.25" customHeight="1">
      <c r="A448" s="95"/>
      <c r="B448" s="94"/>
      <c r="C448" s="93"/>
      <c r="D448" s="97"/>
      <c r="E448" s="96"/>
      <c r="F448" s="96"/>
      <c r="G448" s="85"/>
      <c r="H448" s="10" t="s">
        <v>319</v>
      </c>
      <c r="I448" s="5">
        <v>660</v>
      </c>
      <c r="J448" s="18">
        <v>1</v>
      </c>
      <c r="K448" s="15">
        <v>13</v>
      </c>
      <c r="L448" s="15">
        <v>91</v>
      </c>
      <c r="M448" s="92" t="s">
        <v>347</v>
      </c>
      <c r="N448" s="92" t="s">
        <v>357</v>
      </c>
      <c r="O448" s="92" t="s">
        <v>398</v>
      </c>
      <c r="P448" s="9">
        <v>120</v>
      </c>
      <c r="Q448" s="195">
        <f>926.3+9.6</f>
        <v>935.9</v>
      </c>
      <c r="R448" s="195">
        <v>926.2</v>
      </c>
      <c r="S448" s="195">
        <v>926.2</v>
      </c>
    </row>
    <row r="449" spans="1:19" ht="27.75" customHeight="1">
      <c r="A449" s="95"/>
      <c r="B449" s="94"/>
      <c r="C449" s="99"/>
      <c r="D449" s="97"/>
      <c r="E449" s="109"/>
      <c r="F449" s="109"/>
      <c r="G449" s="85"/>
      <c r="H449" s="4" t="s">
        <v>454</v>
      </c>
      <c r="I449" s="5">
        <v>660</v>
      </c>
      <c r="J449" s="20">
        <v>1</v>
      </c>
      <c r="K449" s="15">
        <v>13</v>
      </c>
      <c r="L449" s="15">
        <v>91</v>
      </c>
      <c r="M449" s="92" t="s">
        <v>347</v>
      </c>
      <c r="N449" s="92" t="s">
        <v>357</v>
      </c>
      <c r="O449" s="92" t="s">
        <v>398</v>
      </c>
      <c r="P449" s="5">
        <v>240</v>
      </c>
      <c r="Q449" s="195">
        <f>68.5-0.1</f>
        <v>68.4</v>
      </c>
      <c r="R449" s="195">
        <v>68.5</v>
      </c>
      <c r="S449" s="195">
        <v>68.5</v>
      </c>
    </row>
    <row r="450" spans="1:19" ht="27.75" customHeight="1">
      <c r="A450" s="95"/>
      <c r="B450" s="94"/>
      <c r="C450" s="99"/>
      <c r="D450" s="103"/>
      <c r="E450" s="100"/>
      <c r="F450" s="100"/>
      <c r="G450" s="85"/>
      <c r="H450" s="10" t="s">
        <v>455</v>
      </c>
      <c r="I450" s="5">
        <v>660</v>
      </c>
      <c r="J450" s="20">
        <v>1</v>
      </c>
      <c r="K450" s="15">
        <v>13</v>
      </c>
      <c r="L450" s="15">
        <v>91</v>
      </c>
      <c r="M450" s="92" t="s">
        <v>347</v>
      </c>
      <c r="N450" s="92" t="s">
        <v>357</v>
      </c>
      <c r="O450" s="92" t="s">
        <v>398</v>
      </c>
      <c r="P450" s="5">
        <v>850</v>
      </c>
      <c r="Q450" s="197">
        <v>0.1</v>
      </c>
      <c r="R450" s="197">
        <v>0</v>
      </c>
      <c r="S450" s="197">
        <v>0</v>
      </c>
    </row>
    <row r="451" spans="1:19" ht="33" customHeight="1">
      <c r="A451" s="95"/>
      <c r="B451" s="94"/>
      <c r="C451" s="99"/>
      <c r="D451" s="103"/>
      <c r="E451" s="100"/>
      <c r="F451" s="100"/>
      <c r="G451" s="85"/>
      <c r="H451" s="104" t="s">
        <v>884</v>
      </c>
      <c r="I451" s="9">
        <v>660</v>
      </c>
      <c r="J451" s="6">
        <v>1</v>
      </c>
      <c r="K451" s="15">
        <v>13</v>
      </c>
      <c r="L451" s="15">
        <v>91</v>
      </c>
      <c r="M451" s="92" t="s">
        <v>347</v>
      </c>
      <c r="N451" s="92" t="s">
        <v>357</v>
      </c>
      <c r="O451" s="92" t="s">
        <v>883</v>
      </c>
      <c r="P451" s="5"/>
      <c r="Q451" s="197">
        <f>Q452</f>
        <v>19.7</v>
      </c>
      <c r="R451" s="197">
        <f>R452</f>
        <v>0</v>
      </c>
      <c r="S451" s="197">
        <f>S452</f>
        <v>0</v>
      </c>
    </row>
    <row r="452" spans="1:19" ht="27.75" customHeight="1">
      <c r="A452" s="95"/>
      <c r="B452" s="94"/>
      <c r="C452" s="99"/>
      <c r="D452" s="103"/>
      <c r="E452" s="100"/>
      <c r="F452" s="100"/>
      <c r="G452" s="85"/>
      <c r="H452" s="10" t="s">
        <v>319</v>
      </c>
      <c r="I452" s="9">
        <v>660</v>
      </c>
      <c r="J452" s="6">
        <v>1</v>
      </c>
      <c r="K452" s="15">
        <v>13</v>
      </c>
      <c r="L452" s="15">
        <v>91</v>
      </c>
      <c r="M452" s="92" t="s">
        <v>347</v>
      </c>
      <c r="N452" s="92" t="s">
        <v>357</v>
      </c>
      <c r="O452" s="92" t="s">
        <v>883</v>
      </c>
      <c r="P452" s="5">
        <v>120</v>
      </c>
      <c r="Q452" s="197">
        <v>19.7</v>
      </c>
      <c r="R452" s="197">
        <v>0</v>
      </c>
      <c r="S452" s="197">
        <v>0</v>
      </c>
    </row>
    <row r="453" spans="1:19" ht="39" customHeight="1">
      <c r="A453" s="95"/>
      <c r="B453" s="94"/>
      <c r="C453" s="99"/>
      <c r="D453" s="103"/>
      <c r="E453" s="100"/>
      <c r="F453" s="100"/>
      <c r="G453" s="85"/>
      <c r="H453" s="10" t="s">
        <v>595</v>
      </c>
      <c r="I453" s="9">
        <v>660</v>
      </c>
      <c r="J453" s="6">
        <v>1</v>
      </c>
      <c r="K453" s="15">
        <v>13</v>
      </c>
      <c r="L453" s="15">
        <v>91</v>
      </c>
      <c r="M453" s="92" t="s">
        <v>347</v>
      </c>
      <c r="N453" s="92" t="s">
        <v>357</v>
      </c>
      <c r="O453" s="92" t="s">
        <v>594</v>
      </c>
      <c r="P453" s="5"/>
      <c r="Q453" s="197">
        <f>Q454</f>
        <v>161.4</v>
      </c>
      <c r="R453" s="197">
        <f>R454</f>
        <v>128.8</v>
      </c>
      <c r="S453" s="197">
        <f>S454</f>
        <v>128.8</v>
      </c>
    </row>
    <row r="454" spans="1:19" ht="27.75" customHeight="1">
      <c r="A454" s="95"/>
      <c r="B454" s="94"/>
      <c r="C454" s="99"/>
      <c r="D454" s="103"/>
      <c r="E454" s="100"/>
      <c r="F454" s="100"/>
      <c r="G454" s="85"/>
      <c r="H454" s="10" t="s">
        <v>319</v>
      </c>
      <c r="I454" s="9">
        <v>660</v>
      </c>
      <c r="J454" s="6">
        <v>1</v>
      </c>
      <c r="K454" s="15">
        <v>13</v>
      </c>
      <c r="L454" s="15">
        <v>91</v>
      </c>
      <c r="M454" s="92" t="s">
        <v>347</v>
      </c>
      <c r="N454" s="92" t="s">
        <v>357</v>
      </c>
      <c r="O454" s="92" t="s">
        <v>594</v>
      </c>
      <c r="P454" s="5">
        <v>120</v>
      </c>
      <c r="Q454" s="197">
        <f>128.8+32.6</f>
        <v>161.4</v>
      </c>
      <c r="R454" s="197">
        <v>128.8</v>
      </c>
      <c r="S454" s="197">
        <v>128.8</v>
      </c>
    </row>
    <row r="455" spans="1:19" ht="36.75" customHeight="1">
      <c r="A455" s="95"/>
      <c r="B455" s="94"/>
      <c r="C455" s="99"/>
      <c r="D455" s="103"/>
      <c r="E455" s="100"/>
      <c r="F455" s="100"/>
      <c r="G455" s="101"/>
      <c r="H455" s="10" t="s">
        <v>6</v>
      </c>
      <c r="I455" s="9">
        <v>660</v>
      </c>
      <c r="J455" s="6">
        <v>1</v>
      </c>
      <c r="K455" s="15">
        <v>13</v>
      </c>
      <c r="L455" s="15">
        <v>91</v>
      </c>
      <c r="M455" s="92" t="s">
        <v>347</v>
      </c>
      <c r="N455" s="92" t="s">
        <v>357</v>
      </c>
      <c r="O455" s="92" t="s">
        <v>5</v>
      </c>
      <c r="P455" s="5"/>
      <c r="Q455" s="197">
        <f>SUM(Q456:Q457)</f>
        <v>334.9</v>
      </c>
      <c r="R455" s="197">
        <f>SUM(R456:R457)</f>
        <v>0</v>
      </c>
      <c r="S455" s="197">
        <f>SUM(S456:S457)</f>
        <v>0</v>
      </c>
    </row>
    <row r="456" spans="1:19" ht="30.75" customHeight="1">
      <c r="A456" s="95"/>
      <c r="B456" s="94"/>
      <c r="C456" s="99"/>
      <c r="D456" s="103"/>
      <c r="E456" s="100"/>
      <c r="F456" s="100"/>
      <c r="G456" s="101"/>
      <c r="H456" s="10" t="s">
        <v>319</v>
      </c>
      <c r="I456" s="9">
        <v>660</v>
      </c>
      <c r="J456" s="6">
        <v>1</v>
      </c>
      <c r="K456" s="15">
        <v>13</v>
      </c>
      <c r="L456" s="15">
        <v>91</v>
      </c>
      <c r="M456" s="92" t="s">
        <v>347</v>
      </c>
      <c r="N456" s="92" t="s">
        <v>357</v>
      </c>
      <c r="O456" s="92" t="s">
        <v>5</v>
      </c>
      <c r="P456" s="5">
        <v>120</v>
      </c>
      <c r="Q456" s="197">
        <v>323.4</v>
      </c>
      <c r="R456" s="197">
        <v>0</v>
      </c>
      <c r="S456" s="197">
        <v>0</v>
      </c>
    </row>
    <row r="457" spans="1:19" ht="24.75" customHeight="1">
      <c r="A457" s="95"/>
      <c r="B457" s="94"/>
      <c r="C457" s="99"/>
      <c r="D457" s="103"/>
      <c r="E457" s="100"/>
      <c r="F457" s="100"/>
      <c r="G457" s="101"/>
      <c r="H457" s="10" t="s">
        <v>454</v>
      </c>
      <c r="I457" s="9">
        <v>660</v>
      </c>
      <c r="J457" s="6">
        <v>1</v>
      </c>
      <c r="K457" s="15">
        <v>13</v>
      </c>
      <c r="L457" s="15">
        <v>91</v>
      </c>
      <c r="M457" s="92" t="s">
        <v>347</v>
      </c>
      <c r="N457" s="92" t="s">
        <v>357</v>
      </c>
      <c r="O457" s="92" t="s">
        <v>5</v>
      </c>
      <c r="P457" s="5">
        <v>240</v>
      </c>
      <c r="Q457" s="195">
        <v>11.5</v>
      </c>
      <c r="R457" s="195">
        <v>0</v>
      </c>
      <c r="S457" s="195">
        <v>0</v>
      </c>
    </row>
    <row r="458" spans="1:19" s="273" customFormat="1" ht="26.25" customHeight="1">
      <c r="A458" s="151"/>
      <c r="B458" s="152"/>
      <c r="C458" s="153"/>
      <c r="D458" s="160"/>
      <c r="E458" s="161"/>
      <c r="F458" s="161"/>
      <c r="G458" s="155">
        <v>321</v>
      </c>
      <c r="H458" s="31" t="s">
        <v>122</v>
      </c>
      <c r="I458" s="13">
        <v>661</v>
      </c>
      <c r="J458" s="14" t="s">
        <v>320</v>
      </c>
      <c r="K458" s="14" t="s">
        <v>320</v>
      </c>
      <c r="L458" s="126" t="s">
        <v>320</v>
      </c>
      <c r="M458" s="127" t="s">
        <v>320</v>
      </c>
      <c r="N458" s="127"/>
      <c r="O458" s="127" t="s">
        <v>320</v>
      </c>
      <c r="P458" s="27" t="s">
        <v>320</v>
      </c>
      <c r="Q458" s="201">
        <f>Q459+Q500+Q507</f>
        <v>61139.7</v>
      </c>
      <c r="R458" s="201">
        <f>R459+R500+R507</f>
        <v>39673.100000000006</v>
      </c>
      <c r="S458" s="201">
        <f>S459+S500+S507</f>
        <v>41680.6</v>
      </c>
    </row>
    <row r="459" spans="1:19" s="171" customFormat="1" ht="18.75" customHeight="1">
      <c r="A459" s="135"/>
      <c r="B459" s="136"/>
      <c r="C459" s="135"/>
      <c r="D459" s="363">
        <v>5200000</v>
      </c>
      <c r="E459" s="364"/>
      <c r="F459" s="364"/>
      <c r="G459" s="129">
        <v>530</v>
      </c>
      <c r="H459" s="130" t="s">
        <v>322</v>
      </c>
      <c r="I459" s="131">
        <v>661</v>
      </c>
      <c r="J459" s="132">
        <v>1</v>
      </c>
      <c r="K459" s="132" t="s">
        <v>393</v>
      </c>
      <c r="L459" s="133" t="s">
        <v>320</v>
      </c>
      <c r="M459" s="134" t="s">
        <v>320</v>
      </c>
      <c r="N459" s="134"/>
      <c r="O459" s="134" t="s">
        <v>320</v>
      </c>
      <c r="P459" s="139" t="s">
        <v>320</v>
      </c>
      <c r="Q459" s="198">
        <f>Q460+Q487</f>
        <v>25778.3</v>
      </c>
      <c r="R459" s="198">
        <f>R460+R487</f>
        <v>20529.5</v>
      </c>
      <c r="S459" s="198">
        <f>S460+S487</f>
        <v>20529.5</v>
      </c>
    </row>
    <row r="460" spans="1:19" s="171" customFormat="1" ht="36.75" customHeight="1">
      <c r="A460" s="135"/>
      <c r="B460" s="136"/>
      <c r="C460" s="146"/>
      <c r="D460" s="143"/>
      <c r="E460" s="373">
        <v>5201000</v>
      </c>
      <c r="F460" s="373"/>
      <c r="G460" s="129">
        <v>530</v>
      </c>
      <c r="H460" s="130" t="s">
        <v>120</v>
      </c>
      <c r="I460" s="131">
        <v>661</v>
      </c>
      <c r="J460" s="132">
        <v>1</v>
      </c>
      <c r="K460" s="132">
        <v>6</v>
      </c>
      <c r="L460" s="133" t="s">
        <v>320</v>
      </c>
      <c r="M460" s="134" t="s">
        <v>320</v>
      </c>
      <c r="N460" s="134"/>
      <c r="O460" s="134" t="s">
        <v>320</v>
      </c>
      <c r="P460" s="139" t="s">
        <v>320</v>
      </c>
      <c r="Q460" s="198">
        <f>Q461</f>
        <v>8665</v>
      </c>
      <c r="R460" s="198">
        <f>R461</f>
        <v>5863</v>
      </c>
      <c r="S460" s="198">
        <f>S461</f>
        <v>5863</v>
      </c>
    </row>
    <row r="461" spans="1:19" ht="36.75" customHeight="1">
      <c r="A461" s="93"/>
      <c r="B461" s="94"/>
      <c r="C461" s="99"/>
      <c r="D461" s="97"/>
      <c r="E461" s="100"/>
      <c r="F461" s="100"/>
      <c r="G461" s="85"/>
      <c r="H461" s="10" t="s">
        <v>446</v>
      </c>
      <c r="I461" s="9">
        <v>661</v>
      </c>
      <c r="J461" s="15">
        <v>1</v>
      </c>
      <c r="K461" s="15">
        <v>6</v>
      </c>
      <c r="L461" s="91" t="s">
        <v>447</v>
      </c>
      <c r="M461" s="92" t="s">
        <v>347</v>
      </c>
      <c r="N461" s="92" t="s">
        <v>357</v>
      </c>
      <c r="O461" s="92" t="s">
        <v>392</v>
      </c>
      <c r="P461" s="5"/>
      <c r="Q461" s="197">
        <f>Q462+Q466+Q482</f>
        <v>8665</v>
      </c>
      <c r="R461" s="197">
        <f>R462+R466+R482</f>
        <v>5863</v>
      </c>
      <c r="S461" s="197">
        <f>S462+S466+S482</f>
        <v>5863</v>
      </c>
    </row>
    <row r="462" spans="1:19" ht="36.75" customHeight="1">
      <c r="A462" s="93"/>
      <c r="B462" s="94"/>
      <c r="C462" s="110"/>
      <c r="D462" s="103"/>
      <c r="E462" s="100"/>
      <c r="F462" s="100"/>
      <c r="G462" s="85"/>
      <c r="H462" s="10" t="s">
        <v>626</v>
      </c>
      <c r="I462" s="9">
        <v>661</v>
      </c>
      <c r="J462" s="15">
        <v>1</v>
      </c>
      <c r="K462" s="15">
        <v>6</v>
      </c>
      <c r="L462" s="91" t="s">
        <v>447</v>
      </c>
      <c r="M462" s="92" t="s">
        <v>349</v>
      </c>
      <c r="N462" s="92" t="s">
        <v>357</v>
      </c>
      <c r="O462" s="92" t="s">
        <v>392</v>
      </c>
      <c r="P462" s="5"/>
      <c r="Q462" s="197">
        <f>Q463</f>
        <v>50</v>
      </c>
      <c r="R462" s="197">
        <f aca="true" t="shared" si="51" ref="R462:S464">R463</f>
        <v>50</v>
      </c>
      <c r="S462" s="197">
        <f t="shared" si="51"/>
        <v>50</v>
      </c>
    </row>
    <row r="463" spans="1:19" ht="36.75" customHeight="1">
      <c r="A463" s="93"/>
      <c r="B463" s="94"/>
      <c r="C463" s="110"/>
      <c r="D463" s="103"/>
      <c r="E463" s="100"/>
      <c r="F463" s="100"/>
      <c r="G463" s="85"/>
      <c r="H463" s="10" t="s">
        <v>830</v>
      </c>
      <c r="I463" s="9">
        <v>661</v>
      </c>
      <c r="J463" s="15">
        <v>1</v>
      </c>
      <c r="K463" s="15">
        <v>6</v>
      </c>
      <c r="L463" s="91" t="s">
        <v>447</v>
      </c>
      <c r="M463" s="92" t="s">
        <v>349</v>
      </c>
      <c r="N463" s="92" t="s">
        <v>366</v>
      </c>
      <c r="O463" s="92" t="s">
        <v>392</v>
      </c>
      <c r="P463" s="5"/>
      <c r="Q463" s="197">
        <f>Q464</f>
        <v>50</v>
      </c>
      <c r="R463" s="197">
        <f t="shared" si="51"/>
        <v>50</v>
      </c>
      <c r="S463" s="197">
        <f t="shared" si="51"/>
        <v>50</v>
      </c>
    </row>
    <row r="464" spans="1:19" ht="21.75" customHeight="1">
      <c r="A464" s="93"/>
      <c r="B464" s="94"/>
      <c r="C464" s="110"/>
      <c r="D464" s="103"/>
      <c r="E464" s="100"/>
      <c r="F464" s="100"/>
      <c r="G464" s="85"/>
      <c r="H464" s="10" t="s">
        <v>100</v>
      </c>
      <c r="I464" s="9">
        <v>661</v>
      </c>
      <c r="J464" s="15">
        <v>1</v>
      </c>
      <c r="K464" s="15">
        <v>6</v>
      </c>
      <c r="L464" s="91" t="s">
        <v>447</v>
      </c>
      <c r="M464" s="92" t="s">
        <v>349</v>
      </c>
      <c r="N464" s="92" t="s">
        <v>366</v>
      </c>
      <c r="O464" s="92" t="s">
        <v>398</v>
      </c>
      <c r="P464" s="5"/>
      <c r="Q464" s="197">
        <f>Q465</f>
        <v>50</v>
      </c>
      <c r="R464" s="197">
        <f t="shared" si="51"/>
        <v>50</v>
      </c>
      <c r="S464" s="197">
        <f t="shared" si="51"/>
        <v>50</v>
      </c>
    </row>
    <row r="465" spans="1:19" ht="28.5" customHeight="1">
      <c r="A465" s="93"/>
      <c r="B465" s="94"/>
      <c r="C465" s="110"/>
      <c r="D465" s="103"/>
      <c r="E465" s="100"/>
      <c r="F465" s="100"/>
      <c r="G465" s="85"/>
      <c r="H465" s="10" t="s">
        <v>454</v>
      </c>
      <c r="I465" s="9">
        <v>661</v>
      </c>
      <c r="J465" s="15">
        <v>1</v>
      </c>
      <c r="K465" s="15">
        <v>6</v>
      </c>
      <c r="L465" s="91" t="s">
        <v>447</v>
      </c>
      <c r="M465" s="92" t="s">
        <v>349</v>
      </c>
      <c r="N465" s="92" t="s">
        <v>366</v>
      </c>
      <c r="O465" s="92" t="s">
        <v>398</v>
      </c>
      <c r="P465" s="5">
        <v>240</v>
      </c>
      <c r="Q465" s="197">
        <v>50</v>
      </c>
      <c r="R465" s="197">
        <v>50</v>
      </c>
      <c r="S465" s="197">
        <v>50</v>
      </c>
    </row>
    <row r="466" spans="1:19" ht="38.25" customHeight="1">
      <c r="A466" s="93"/>
      <c r="B466" s="94"/>
      <c r="C466" s="110"/>
      <c r="D466" s="90"/>
      <c r="E466" s="90"/>
      <c r="F466" s="90"/>
      <c r="G466" s="85"/>
      <c r="H466" s="10" t="s">
        <v>450</v>
      </c>
      <c r="I466" s="9">
        <v>661</v>
      </c>
      <c r="J466" s="15">
        <v>1</v>
      </c>
      <c r="K466" s="15">
        <v>6</v>
      </c>
      <c r="L466" s="91" t="s">
        <v>447</v>
      </c>
      <c r="M466" s="92" t="s">
        <v>344</v>
      </c>
      <c r="N466" s="92" t="s">
        <v>357</v>
      </c>
      <c r="O466" s="92" t="s">
        <v>392</v>
      </c>
      <c r="P466" s="9"/>
      <c r="Q466" s="195">
        <f>Q467</f>
        <v>8595</v>
      </c>
      <c r="R466" s="195">
        <f>R467</f>
        <v>5793</v>
      </c>
      <c r="S466" s="195">
        <f>S467</f>
        <v>5793</v>
      </c>
    </row>
    <row r="467" spans="1:19" ht="62.25" customHeight="1">
      <c r="A467" s="93"/>
      <c r="B467" s="94"/>
      <c r="C467" s="110"/>
      <c r="D467" s="107"/>
      <c r="E467" s="110"/>
      <c r="F467" s="110"/>
      <c r="G467" s="85"/>
      <c r="H467" s="10" t="s">
        <v>579</v>
      </c>
      <c r="I467" s="9">
        <v>661</v>
      </c>
      <c r="J467" s="15">
        <v>1</v>
      </c>
      <c r="K467" s="15">
        <v>6</v>
      </c>
      <c r="L467" s="91" t="s">
        <v>447</v>
      </c>
      <c r="M467" s="92" t="s">
        <v>344</v>
      </c>
      <c r="N467" s="92" t="s">
        <v>348</v>
      </c>
      <c r="O467" s="92" t="s">
        <v>392</v>
      </c>
      <c r="P467" s="5"/>
      <c r="Q467" s="197">
        <f>Q468+Q476+Q479+Q474+Q472</f>
        <v>8595</v>
      </c>
      <c r="R467" s="197">
        <f>R468+R476+R479+R474</f>
        <v>5793</v>
      </c>
      <c r="S467" s="197">
        <f>S468+S476+S479+S474</f>
        <v>5793</v>
      </c>
    </row>
    <row r="468" spans="1:19" ht="24" customHeight="1">
      <c r="A468" s="95"/>
      <c r="B468" s="94"/>
      <c r="C468" s="99"/>
      <c r="D468" s="97"/>
      <c r="E468" s="100"/>
      <c r="F468" s="100"/>
      <c r="G468" s="101">
        <v>530</v>
      </c>
      <c r="H468" s="10" t="s">
        <v>100</v>
      </c>
      <c r="I468" s="9">
        <v>661</v>
      </c>
      <c r="J468" s="15">
        <v>1</v>
      </c>
      <c r="K468" s="15">
        <v>6</v>
      </c>
      <c r="L468" s="15">
        <v>33</v>
      </c>
      <c r="M468" s="92" t="s">
        <v>344</v>
      </c>
      <c r="N468" s="92" t="s">
        <v>348</v>
      </c>
      <c r="O468" s="92" t="s">
        <v>398</v>
      </c>
      <c r="P468" s="5" t="s">
        <v>320</v>
      </c>
      <c r="Q468" s="197">
        <f>SUM(Q469:Q471)</f>
        <v>6244.1</v>
      </c>
      <c r="R468" s="197">
        <f>SUM(R469:R471)</f>
        <v>5229</v>
      </c>
      <c r="S468" s="197">
        <f>SUM(S469:S471)</f>
        <v>5229</v>
      </c>
    </row>
    <row r="469" spans="1:19" ht="22.5" customHeight="1">
      <c r="A469" s="106"/>
      <c r="B469" s="107"/>
      <c r="C469" s="102"/>
      <c r="D469" s="103"/>
      <c r="E469" s="100"/>
      <c r="F469" s="100"/>
      <c r="G469" s="85"/>
      <c r="H469" s="10" t="s">
        <v>319</v>
      </c>
      <c r="I469" s="5">
        <v>661</v>
      </c>
      <c r="J469" s="18">
        <v>1</v>
      </c>
      <c r="K469" s="15">
        <v>6</v>
      </c>
      <c r="L469" s="15">
        <v>33</v>
      </c>
      <c r="M469" s="92" t="s">
        <v>344</v>
      </c>
      <c r="N469" s="92" t="s">
        <v>348</v>
      </c>
      <c r="O469" s="92" t="s">
        <v>398</v>
      </c>
      <c r="P469" s="5">
        <v>120</v>
      </c>
      <c r="Q469" s="197">
        <f>4313.5+49.6</f>
        <v>4363.1</v>
      </c>
      <c r="R469" s="197">
        <v>4318.5</v>
      </c>
      <c r="S469" s="197">
        <v>4318.5</v>
      </c>
    </row>
    <row r="470" spans="1:19" ht="21.75" customHeight="1">
      <c r="A470" s="106"/>
      <c r="B470" s="108"/>
      <c r="C470" s="102"/>
      <c r="D470" s="105"/>
      <c r="E470" s="100"/>
      <c r="F470" s="100"/>
      <c r="G470" s="85"/>
      <c r="H470" s="4" t="s">
        <v>454</v>
      </c>
      <c r="I470" s="5">
        <v>661</v>
      </c>
      <c r="J470" s="20">
        <v>1</v>
      </c>
      <c r="K470" s="15">
        <v>6</v>
      </c>
      <c r="L470" s="15">
        <v>33</v>
      </c>
      <c r="M470" s="92" t="s">
        <v>344</v>
      </c>
      <c r="N470" s="92" t="s">
        <v>348</v>
      </c>
      <c r="O470" s="92" t="s">
        <v>398</v>
      </c>
      <c r="P470" s="5">
        <v>240</v>
      </c>
      <c r="Q470" s="195">
        <f>895.5+1000.5-35</f>
        <v>1861</v>
      </c>
      <c r="R470" s="195">
        <f>905.5-20</f>
        <v>885.5</v>
      </c>
      <c r="S470" s="195">
        <f>905.5-20</f>
        <v>885.5</v>
      </c>
    </row>
    <row r="471" spans="1:19" ht="21.75" customHeight="1">
      <c r="A471" s="93"/>
      <c r="B471" s="94"/>
      <c r="C471" s="90"/>
      <c r="D471" s="90"/>
      <c r="E471" s="90"/>
      <c r="F471" s="90"/>
      <c r="G471" s="85"/>
      <c r="H471" s="10" t="s">
        <v>455</v>
      </c>
      <c r="I471" s="9">
        <v>661</v>
      </c>
      <c r="J471" s="15">
        <v>1</v>
      </c>
      <c r="K471" s="15">
        <v>6</v>
      </c>
      <c r="L471" s="91" t="s">
        <v>447</v>
      </c>
      <c r="M471" s="92" t="s">
        <v>344</v>
      </c>
      <c r="N471" s="92" t="s">
        <v>348</v>
      </c>
      <c r="O471" s="92" t="s">
        <v>398</v>
      </c>
      <c r="P471" s="9">
        <v>850</v>
      </c>
      <c r="Q471" s="195">
        <v>20</v>
      </c>
      <c r="R471" s="195">
        <v>25</v>
      </c>
      <c r="S471" s="195">
        <v>25</v>
      </c>
    </row>
    <row r="472" spans="1:19" ht="31.5" customHeight="1">
      <c r="A472" s="93"/>
      <c r="B472" s="94"/>
      <c r="C472" s="90"/>
      <c r="D472" s="90"/>
      <c r="E472" s="90"/>
      <c r="F472" s="90"/>
      <c r="G472" s="85"/>
      <c r="H472" s="104" t="s">
        <v>884</v>
      </c>
      <c r="I472" s="9">
        <v>661</v>
      </c>
      <c r="J472" s="15">
        <v>1</v>
      </c>
      <c r="K472" s="15">
        <v>6</v>
      </c>
      <c r="L472" s="91" t="s">
        <v>447</v>
      </c>
      <c r="M472" s="92" t="s">
        <v>344</v>
      </c>
      <c r="N472" s="92" t="s">
        <v>348</v>
      </c>
      <c r="O472" s="92" t="s">
        <v>883</v>
      </c>
      <c r="P472" s="9"/>
      <c r="Q472" s="195">
        <f>Q473</f>
        <v>163</v>
      </c>
      <c r="R472" s="195">
        <f>R473</f>
        <v>0</v>
      </c>
      <c r="S472" s="195">
        <f>S473</f>
        <v>0</v>
      </c>
    </row>
    <row r="473" spans="1:19" ht="21.75" customHeight="1">
      <c r="A473" s="93"/>
      <c r="B473" s="94"/>
      <c r="C473" s="90"/>
      <c r="D473" s="90"/>
      <c r="E473" s="90"/>
      <c r="F473" s="90"/>
      <c r="G473" s="85"/>
      <c r="H473" s="10" t="s">
        <v>319</v>
      </c>
      <c r="I473" s="9">
        <v>661</v>
      </c>
      <c r="J473" s="15">
        <v>1</v>
      </c>
      <c r="K473" s="15">
        <v>6</v>
      </c>
      <c r="L473" s="91" t="s">
        <v>447</v>
      </c>
      <c r="M473" s="92" t="s">
        <v>344</v>
      </c>
      <c r="N473" s="92" t="s">
        <v>348</v>
      </c>
      <c r="O473" s="92" t="s">
        <v>883</v>
      </c>
      <c r="P473" s="9">
        <v>120</v>
      </c>
      <c r="Q473" s="195">
        <v>163</v>
      </c>
      <c r="R473" s="195">
        <v>0</v>
      </c>
      <c r="S473" s="195">
        <v>0</v>
      </c>
    </row>
    <row r="474" spans="1:19" ht="31.5" customHeight="1">
      <c r="A474" s="93"/>
      <c r="B474" s="94"/>
      <c r="C474" s="90"/>
      <c r="D474" s="90"/>
      <c r="E474" s="90"/>
      <c r="F474" s="90"/>
      <c r="G474" s="85"/>
      <c r="H474" s="10" t="s">
        <v>595</v>
      </c>
      <c r="I474" s="9">
        <v>661</v>
      </c>
      <c r="J474" s="15">
        <v>1</v>
      </c>
      <c r="K474" s="15">
        <v>6</v>
      </c>
      <c r="L474" s="91" t="s">
        <v>447</v>
      </c>
      <c r="M474" s="92" t="s">
        <v>344</v>
      </c>
      <c r="N474" s="92" t="s">
        <v>348</v>
      </c>
      <c r="O474" s="92" t="s">
        <v>594</v>
      </c>
      <c r="P474" s="9"/>
      <c r="Q474" s="195">
        <f>Q475</f>
        <v>711</v>
      </c>
      <c r="R474" s="195">
        <f>R475</f>
        <v>564</v>
      </c>
      <c r="S474" s="195">
        <f>S475</f>
        <v>564</v>
      </c>
    </row>
    <row r="475" spans="1:19" ht="21.75" customHeight="1">
      <c r="A475" s="93"/>
      <c r="B475" s="94"/>
      <c r="C475" s="90"/>
      <c r="D475" s="90"/>
      <c r="E475" s="90"/>
      <c r="F475" s="90"/>
      <c r="G475" s="85"/>
      <c r="H475" s="10" t="s">
        <v>319</v>
      </c>
      <c r="I475" s="9">
        <v>661</v>
      </c>
      <c r="J475" s="15">
        <v>1</v>
      </c>
      <c r="K475" s="15">
        <v>6</v>
      </c>
      <c r="L475" s="91" t="s">
        <v>447</v>
      </c>
      <c r="M475" s="92" t="s">
        <v>344</v>
      </c>
      <c r="N475" s="92" t="s">
        <v>348</v>
      </c>
      <c r="O475" s="92" t="s">
        <v>594</v>
      </c>
      <c r="P475" s="9">
        <v>120</v>
      </c>
      <c r="Q475" s="195">
        <f>564+147</f>
        <v>711</v>
      </c>
      <c r="R475" s="195">
        <v>564</v>
      </c>
      <c r="S475" s="195">
        <v>564</v>
      </c>
    </row>
    <row r="476" spans="1:19" ht="24" customHeight="1">
      <c r="A476" s="93"/>
      <c r="B476" s="94"/>
      <c r="C476" s="90"/>
      <c r="D476" s="90"/>
      <c r="E476" s="90"/>
      <c r="F476" s="90"/>
      <c r="G476" s="85"/>
      <c r="H476" s="10" t="s">
        <v>9</v>
      </c>
      <c r="I476" s="9">
        <v>661</v>
      </c>
      <c r="J476" s="15">
        <v>1</v>
      </c>
      <c r="K476" s="15">
        <v>6</v>
      </c>
      <c r="L476" s="91" t="s">
        <v>447</v>
      </c>
      <c r="M476" s="92" t="s">
        <v>344</v>
      </c>
      <c r="N476" s="92" t="s">
        <v>348</v>
      </c>
      <c r="O476" s="92" t="s">
        <v>7</v>
      </c>
      <c r="P476" s="9"/>
      <c r="Q476" s="202">
        <f>SUM(Q477:Q478)</f>
        <v>372.9</v>
      </c>
      <c r="R476" s="202">
        <f>SUM(R477:R478)</f>
        <v>0</v>
      </c>
      <c r="S476" s="202">
        <f>SUM(S477:S478)</f>
        <v>0</v>
      </c>
    </row>
    <row r="477" spans="1:19" ht="24" customHeight="1">
      <c r="A477" s="93"/>
      <c r="B477" s="94"/>
      <c r="C477" s="90"/>
      <c r="D477" s="90"/>
      <c r="E477" s="90"/>
      <c r="F477" s="90"/>
      <c r="G477" s="85"/>
      <c r="H477" s="10" t="s">
        <v>319</v>
      </c>
      <c r="I477" s="9">
        <v>661</v>
      </c>
      <c r="J477" s="15">
        <v>1</v>
      </c>
      <c r="K477" s="15">
        <v>6</v>
      </c>
      <c r="L477" s="91" t="s">
        <v>447</v>
      </c>
      <c r="M477" s="92" t="s">
        <v>344</v>
      </c>
      <c r="N477" s="92" t="s">
        <v>348</v>
      </c>
      <c r="O477" s="92" t="s">
        <v>7</v>
      </c>
      <c r="P477" s="9">
        <v>120</v>
      </c>
      <c r="Q477" s="202">
        <v>371.9</v>
      </c>
      <c r="R477" s="202">
        <v>0</v>
      </c>
      <c r="S477" s="202">
        <v>0</v>
      </c>
    </row>
    <row r="478" spans="1:19" ht="29.25" customHeight="1">
      <c r="A478" s="93"/>
      <c r="B478" s="94"/>
      <c r="C478" s="90"/>
      <c r="D478" s="90"/>
      <c r="E478" s="90"/>
      <c r="F478" s="90"/>
      <c r="G478" s="85"/>
      <c r="H478" s="10" t="s">
        <v>454</v>
      </c>
      <c r="I478" s="9">
        <v>661</v>
      </c>
      <c r="J478" s="15">
        <v>1</v>
      </c>
      <c r="K478" s="15">
        <v>6</v>
      </c>
      <c r="L478" s="91" t="s">
        <v>447</v>
      </c>
      <c r="M478" s="92" t="s">
        <v>344</v>
      </c>
      <c r="N478" s="92" t="s">
        <v>348</v>
      </c>
      <c r="O478" s="92" t="s">
        <v>7</v>
      </c>
      <c r="P478" s="9">
        <v>240</v>
      </c>
      <c r="Q478" s="195">
        <v>1</v>
      </c>
      <c r="R478" s="195">
        <v>0</v>
      </c>
      <c r="S478" s="195">
        <v>0</v>
      </c>
    </row>
    <row r="479" spans="1:19" ht="31.5" customHeight="1">
      <c r="A479" s="93"/>
      <c r="B479" s="94"/>
      <c r="C479" s="90"/>
      <c r="D479" s="90"/>
      <c r="E479" s="90"/>
      <c r="F479" s="90"/>
      <c r="G479" s="85"/>
      <c r="H479" s="10" t="s">
        <v>10</v>
      </c>
      <c r="I479" s="9">
        <v>661</v>
      </c>
      <c r="J479" s="15">
        <v>1</v>
      </c>
      <c r="K479" s="15">
        <v>6</v>
      </c>
      <c r="L479" s="91" t="s">
        <v>447</v>
      </c>
      <c r="M479" s="92" t="s">
        <v>344</v>
      </c>
      <c r="N479" s="92" t="s">
        <v>348</v>
      </c>
      <c r="O479" s="92" t="s">
        <v>8</v>
      </c>
      <c r="P479" s="9"/>
      <c r="Q479" s="202">
        <f>SUM(Q480:Q481)</f>
        <v>1104</v>
      </c>
      <c r="R479" s="202">
        <f>SUM(R480:R481)</f>
        <v>0</v>
      </c>
      <c r="S479" s="202">
        <f>SUM(S480:S481)</f>
        <v>0</v>
      </c>
    </row>
    <row r="480" spans="1:19" ht="22.5" customHeight="1">
      <c r="A480" s="93"/>
      <c r="B480" s="94"/>
      <c r="C480" s="90"/>
      <c r="D480" s="90"/>
      <c r="E480" s="90"/>
      <c r="F480" s="90"/>
      <c r="G480" s="85"/>
      <c r="H480" s="10" t="s">
        <v>319</v>
      </c>
      <c r="I480" s="9">
        <v>661</v>
      </c>
      <c r="J480" s="15">
        <v>1</v>
      </c>
      <c r="K480" s="15">
        <v>6</v>
      </c>
      <c r="L480" s="91" t="s">
        <v>447</v>
      </c>
      <c r="M480" s="92" t="s">
        <v>344</v>
      </c>
      <c r="N480" s="92" t="s">
        <v>348</v>
      </c>
      <c r="O480" s="92" t="s">
        <v>8</v>
      </c>
      <c r="P480" s="9">
        <v>120</v>
      </c>
      <c r="Q480" s="202">
        <v>1042</v>
      </c>
      <c r="R480" s="202">
        <v>0</v>
      </c>
      <c r="S480" s="202">
        <v>0</v>
      </c>
    </row>
    <row r="481" spans="1:19" ht="24" customHeight="1">
      <c r="A481" s="93"/>
      <c r="B481" s="94"/>
      <c r="C481" s="102"/>
      <c r="D481" s="107"/>
      <c r="E481" s="110"/>
      <c r="F481" s="110"/>
      <c r="G481" s="85"/>
      <c r="H481" s="10" t="s">
        <v>454</v>
      </c>
      <c r="I481" s="5">
        <v>661</v>
      </c>
      <c r="J481" s="15">
        <v>1</v>
      </c>
      <c r="K481" s="15">
        <v>6</v>
      </c>
      <c r="L481" s="91" t="s">
        <v>447</v>
      </c>
      <c r="M481" s="92" t="s">
        <v>344</v>
      </c>
      <c r="N481" s="92" t="s">
        <v>348</v>
      </c>
      <c r="O481" s="92" t="s">
        <v>8</v>
      </c>
      <c r="P481" s="9">
        <v>240</v>
      </c>
      <c r="Q481" s="195">
        <v>62</v>
      </c>
      <c r="R481" s="195">
        <v>0</v>
      </c>
      <c r="S481" s="195">
        <v>0</v>
      </c>
    </row>
    <row r="482" spans="1:19" ht="24" customHeight="1">
      <c r="A482" s="93"/>
      <c r="B482" s="94"/>
      <c r="C482" s="102"/>
      <c r="D482" s="107"/>
      <c r="E482" s="110"/>
      <c r="F482" s="110"/>
      <c r="G482" s="85"/>
      <c r="H482" s="10" t="s">
        <v>834</v>
      </c>
      <c r="I482" s="9">
        <v>661</v>
      </c>
      <c r="J482" s="15">
        <v>1</v>
      </c>
      <c r="K482" s="15">
        <v>6</v>
      </c>
      <c r="L482" s="91" t="s">
        <v>447</v>
      </c>
      <c r="M482" s="92" t="s">
        <v>359</v>
      </c>
      <c r="N482" s="92" t="s">
        <v>357</v>
      </c>
      <c r="O482" s="92" t="s">
        <v>392</v>
      </c>
      <c r="P482" s="9"/>
      <c r="Q482" s="195">
        <f>Q483</f>
        <v>20</v>
      </c>
      <c r="R482" s="195">
        <f aca="true" t="shared" si="52" ref="R482:S484">R483</f>
        <v>20</v>
      </c>
      <c r="S482" s="195">
        <f t="shared" si="52"/>
        <v>20</v>
      </c>
    </row>
    <row r="483" spans="1:19" ht="32.25" customHeight="1">
      <c r="A483" s="93"/>
      <c r="B483" s="94"/>
      <c r="C483" s="102"/>
      <c r="D483" s="107"/>
      <c r="E483" s="110"/>
      <c r="F483" s="110"/>
      <c r="G483" s="85"/>
      <c r="H483" s="10" t="s">
        <v>835</v>
      </c>
      <c r="I483" s="9">
        <v>661</v>
      </c>
      <c r="J483" s="15">
        <v>1</v>
      </c>
      <c r="K483" s="15">
        <v>6</v>
      </c>
      <c r="L483" s="91" t="s">
        <v>447</v>
      </c>
      <c r="M483" s="92" t="s">
        <v>359</v>
      </c>
      <c r="N483" s="92" t="s">
        <v>348</v>
      </c>
      <c r="O483" s="92" t="s">
        <v>392</v>
      </c>
      <c r="P483" s="9"/>
      <c r="Q483" s="195">
        <f>Q484</f>
        <v>20</v>
      </c>
      <c r="R483" s="195">
        <f t="shared" si="52"/>
        <v>20</v>
      </c>
      <c r="S483" s="195">
        <f t="shared" si="52"/>
        <v>20</v>
      </c>
    </row>
    <row r="484" spans="1:19" ht="24" customHeight="1">
      <c r="A484" s="93"/>
      <c r="B484" s="94"/>
      <c r="C484" s="102"/>
      <c r="D484" s="107"/>
      <c r="E484" s="110"/>
      <c r="F484" s="110"/>
      <c r="G484" s="85"/>
      <c r="H484" s="10" t="s">
        <v>836</v>
      </c>
      <c r="I484" s="9">
        <v>661</v>
      </c>
      <c r="J484" s="15">
        <v>1</v>
      </c>
      <c r="K484" s="15">
        <v>6</v>
      </c>
      <c r="L484" s="91" t="s">
        <v>447</v>
      </c>
      <c r="M484" s="92" t="s">
        <v>359</v>
      </c>
      <c r="N484" s="92" t="s">
        <v>348</v>
      </c>
      <c r="O484" s="92" t="s">
        <v>833</v>
      </c>
      <c r="P484" s="9"/>
      <c r="Q484" s="195">
        <f>Q485</f>
        <v>20</v>
      </c>
      <c r="R484" s="195">
        <f t="shared" si="52"/>
        <v>20</v>
      </c>
      <c r="S484" s="195">
        <f t="shared" si="52"/>
        <v>20</v>
      </c>
    </row>
    <row r="485" spans="1:19" ht="24" customHeight="1">
      <c r="A485" s="93"/>
      <c r="B485" s="94"/>
      <c r="C485" s="102"/>
      <c r="D485" s="107"/>
      <c r="E485" s="110"/>
      <c r="F485" s="110"/>
      <c r="G485" s="85"/>
      <c r="H485" s="10" t="s">
        <v>454</v>
      </c>
      <c r="I485" s="9">
        <v>661</v>
      </c>
      <c r="J485" s="15">
        <v>1</v>
      </c>
      <c r="K485" s="15">
        <v>6</v>
      </c>
      <c r="L485" s="91" t="s">
        <v>447</v>
      </c>
      <c r="M485" s="92" t="s">
        <v>359</v>
      </c>
      <c r="N485" s="92" t="s">
        <v>348</v>
      </c>
      <c r="O485" s="92" t="s">
        <v>833</v>
      </c>
      <c r="P485" s="9">
        <v>240</v>
      </c>
      <c r="Q485" s="195">
        <v>20</v>
      </c>
      <c r="R485" s="195">
        <v>20</v>
      </c>
      <c r="S485" s="195">
        <v>20</v>
      </c>
    </row>
    <row r="486" spans="1:19" ht="24" customHeight="1">
      <c r="A486" s="93"/>
      <c r="B486" s="94"/>
      <c r="C486" s="102"/>
      <c r="D486" s="107"/>
      <c r="E486" s="110"/>
      <c r="F486" s="110"/>
      <c r="G486" s="85"/>
      <c r="H486" s="10"/>
      <c r="I486" s="9"/>
      <c r="J486" s="15"/>
      <c r="K486" s="15"/>
      <c r="L486" s="91"/>
      <c r="M486" s="92"/>
      <c r="N486" s="92"/>
      <c r="O486" s="92"/>
      <c r="P486" s="9"/>
      <c r="Q486" s="195"/>
      <c r="R486" s="195"/>
      <c r="S486" s="195"/>
    </row>
    <row r="487" spans="1:19" s="171" customFormat="1" ht="18.75" customHeight="1">
      <c r="A487" s="135"/>
      <c r="B487" s="136"/>
      <c r="C487" s="128"/>
      <c r="D487" s="128"/>
      <c r="E487" s="128"/>
      <c r="F487" s="128"/>
      <c r="G487" s="129"/>
      <c r="H487" s="130" t="s">
        <v>321</v>
      </c>
      <c r="I487" s="131">
        <v>661</v>
      </c>
      <c r="J487" s="132">
        <v>1</v>
      </c>
      <c r="K487" s="132">
        <v>13</v>
      </c>
      <c r="L487" s="91" t="s">
        <v>393</v>
      </c>
      <c r="M487" s="134"/>
      <c r="N487" s="134"/>
      <c r="O487" s="134"/>
      <c r="P487" s="131"/>
      <c r="Q487" s="194">
        <f>Q488</f>
        <v>17113.3</v>
      </c>
      <c r="R487" s="194">
        <f aca="true" t="shared" si="53" ref="R487:S489">R488</f>
        <v>14666.5</v>
      </c>
      <c r="S487" s="194">
        <f t="shared" si="53"/>
        <v>14666.5</v>
      </c>
    </row>
    <row r="488" spans="1:19" ht="36.75" customHeight="1">
      <c r="A488" s="93"/>
      <c r="B488" s="94"/>
      <c r="C488" s="99"/>
      <c r="D488" s="97"/>
      <c r="E488" s="100"/>
      <c r="F488" s="100"/>
      <c r="G488" s="85"/>
      <c r="H488" s="10" t="s">
        <v>446</v>
      </c>
      <c r="I488" s="9">
        <v>661</v>
      </c>
      <c r="J488" s="15">
        <v>1</v>
      </c>
      <c r="K488" s="15">
        <v>13</v>
      </c>
      <c r="L488" s="91" t="s">
        <v>447</v>
      </c>
      <c r="M488" s="92" t="s">
        <v>347</v>
      </c>
      <c r="N488" s="92" t="s">
        <v>357</v>
      </c>
      <c r="O488" s="92" t="s">
        <v>392</v>
      </c>
      <c r="P488" s="5"/>
      <c r="Q488" s="197">
        <f>Q489</f>
        <v>17113.3</v>
      </c>
      <c r="R488" s="197">
        <f t="shared" si="53"/>
        <v>14666.5</v>
      </c>
      <c r="S488" s="197">
        <f t="shared" si="53"/>
        <v>14666.5</v>
      </c>
    </row>
    <row r="489" spans="1:19" ht="38.25" customHeight="1">
      <c r="A489" s="93"/>
      <c r="B489" s="94"/>
      <c r="C489" s="110"/>
      <c r="D489" s="90"/>
      <c r="E489" s="90"/>
      <c r="F489" s="90"/>
      <c r="G489" s="85"/>
      <c r="H489" s="10" t="s">
        <v>450</v>
      </c>
      <c r="I489" s="9">
        <v>661</v>
      </c>
      <c r="J489" s="15">
        <v>1</v>
      </c>
      <c r="K489" s="15">
        <v>13</v>
      </c>
      <c r="L489" s="91" t="s">
        <v>447</v>
      </c>
      <c r="M489" s="92" t="s">
        <v>344</v>
      </c>
      <c r="N489" s="92" t="s">
        <v>357</v>
      </c>
      <c r="O489" s="92" t="s">
        <v>392</v>
      </c>
      <c r="P489" s="9"/>
      <c r="Q489" s="195">
        <f>Q490</f>
        <v>17113.3</v>
      </c>
      <c r="R489" s="195">
        <f t="shared" si="53"/>
        <v>14666.5</v>
      </c>
      <c r="S489" s="195">
        <f t="shared" si="53"/>
        <v>14666.5</v>
      </c>
    </row>
    <row r="490" spans="1:19" ht="36" customHeight="1">
      <c r="A490" s="93"/>
      <c r="B490" s="94"/>
      <c r="C490" s="102"/>
      <c r="D490" s="107"/>
      <c r="E490" s="110"/>
      <c r="F490" s="110"/>
      <c r="G490" s="85"/>
      <c r="H490" s="10" t="s">
        <v>451</v>
      </c>
      <c r="I490" s="9">
        <v>661</v>
      </c>
      <c r="J490" s="15">
        <v>1</v>
      </c>
      <c r="K490" s="15">
        <v>13</v>
      </c>
      <c r="L490" s="91" t="s">
        <v>447</v>
      </c>
      <c r="M490" s="92" t="s">
        <v>344</v>
      </c>
      <c r="N490" s="92" t="s">
        <v>365</v>
      </c>
      <c r="O490" s="92" t="s">
        <v>392</v>
      </c>
      <c r="P490" s="9"/>
      <c r="Q490" s="195">
        <f>Q491+Q497+Q495</f>
        <v>17113.3</v>
      </c>
      <c r="R490" s="195">
        <f>R491+R497+R495</f>
        <v>14666.5</v>
      </c>
      <c r="S490" s="195">
        <f>S491+S497+S495</f>
        <v>14666.5</v>
      </c>
    </row>
    <row r="491" spans="1:19" ht="33.75" customHeight="1">
      <c r="A491" s="93"/>
      <c r="B491" s="94"/>
      <c r="C491" s="102"/>
      <c r="D491" s="107"/>
      <c r="E491" s="110"/>
      <c r="F491" s="110"/>
      <c r="G491" s="85"/>
      <c r="H491" s="10" t="s">
        <v>102</v>
      </c>
      <c r="I491" s="9">
        <v>661</v>
      </c>
      <c r="J491" s="15">
        <v>1</v>
      </c>
      <c r="K491" s="15">
        <v>13</v>
      </c>
      <c r="L491" s="91" t="s">
        <v>447</v>
      </c>
      <c r="M491" s="92" t="s">
        <v>344</v>
      </c>
      <c r="N491" s="92" t="s">
        <v>365</v>
      </c>
      <c r="O491" s="92" t="s">
        <v>103</v>
      </c>
      <c r="P491" s="9"/>
      <c r="Q491" s="202">
        <f>SUM(Q492:Q494)</f>
        <v>12009.199999999999</v>
      </c>
      <c r="R491" s="202">
        <f>SUM(R492:R494)</f>
        <v>12431.199999999999</v>
      </c>
      <c r="S491" s="202">
        <f>SUM(S492:S494)</f>
        <v>12431.199999999999</v>
      </c>
    </row>
    <row r="492" spans="1:19" ht="30" customHeight="1">
      <c r="A492" s="93"/>
      <c r="B492" s="94"/>
      <c r="C492" s="102"/>
      <c r="D492" s="107"/>
      <c r="E492" s="110"/>
      <c r="F492" s="110"/>
      <c r="G492" s="85"/>
      <c r="H492" s="10" t="s">
        <v>517</v>
      </c>
      <c r="I492" s="9">
        <v>661</v>
      </c>
      <c r="J492" s="15">
        <v>1</v>
      </c>
      <c r="K492" s="15">
        <v>13</v>
      </c>
      <c r="L492" s="91" t="s">
        <v>447</v>
      </c>
      <c r="M492" s="92" t="s">
        <v>344</v>
      </c>
      <c r="N492" s="92" t="s">
        <v>365</v>
      </c>
      <c r="O492" s="92" t="s">
        <v>103</v>
      </c>
      <c r="P492" s="9">
        <v>110</v>
      </c>
      <c r="Q492" s="195">
        <v>10890.4</v>
      </c>
      <c r="R492" s="212">
        <v>10890.4</v>
      </c>
      <c r="S492" s="212">
        <v>10890.4</v>
      </c>
    </row>
    <row r="493" spans="1:19" ht="30" customHeight="1">
      <c r="A493" s="93"/>
      <c r="B493" s="94"/>
      <c r="C493" s="102"/>
      <c r="D493" s="107"/>
      <c r="E493" s="110"/>
      <c r="F493" s="110"/>
      <c r="G493" s="85"/>
      <c r="H493" s="10" t="s">
        <v>454</v>
      </c>
      <c r="I493" s="9">
        <v>661</v>
      </c>
      <c r="J493" s="15">
        <v>1</v>
      </c>
      <c r="K493" s="15">
        <v>13</v>
      </c>
      <c r="L493" s="91" t="s">
        <v>447</v>
      </c>
      <c r="M493" s="92" t="s">
        <v>344</v>
      </c>
      <c r="N493" s="92" t="s">
        <v>365</v>
      </c>
      <c r="O493" s="92" t="s">
        <v>103</v>
      </c>
      <c r="P493" s="9">
        <v>240</v>
      </c>
      <c r="Q493" s="195">
        <f>1540.4-422</f>
        <v>1118.4</v>
      </c>
      <c r="R493" s="212">
        <v>1540.4</v>
      </c>
      <c r="S493" s="212">
        <v>1540.4</v>
      </c>
    </row>
    <row r="494" spans="1:19" ht="30" customHeight="1">
      <c r="A494" s="93"/>
      <c r="B494" s="94"/>
      <c r="C494" s="102"/>
      <c r="D494" s="107"/>
      <c r="E494" s="110"/>
      <c r="F494" s="110"/>
      <c r="G494" s="85"/>
      <c r="H494" s="10" t="s">
        <v>455</v>
      </c>
      <c r="I494" s="9">
        <v>661</v>
      </c>
      <c r="J494" s="15">
        <v>1</v>
      </c>
      <c r="K494" s="15">
        <v>13</v>
      </c>
      <c r="L494" s="91" t="s">
        <v>447</v>
      </c>
      <c r="M494" s="92" t="s">
        <v>344</v>
      </c>
      <c r="N494" s="92" t="s">
        <v>365</v>
      </c>
      <c r="O494" s="92" t="s">
        <v>103</v>
      </c>
      <c r="P494" s="9">
        <v>850</v>
      </c>
      <c r="Q494" s="195">
        <v>0.4</v>
      </c>
      <c r="R494" s="212">
        <v>0.4</v>
      </c>
      <c r="S494" s="212">
        <v>0.4</v>
      </c>
    </row>
    <row r="495" spans="1:19" ht="30" customHeight="1">
      <c r="A495" s="93"/>
      <c r="B495" s="94"/>
      <c r="C495" s="102"/>
      <c r="D495" s="107"/>
      <c r="E495" s="110"/>
      <c r="F495" s="110"/>
      <c r="G495" s="85"/>
      <c r="H495" s="10" t="s">
        <v>595</v>
      </c>
      <c r="I495" s="9">
        <v>661</v>
      </c>
      <c r="J495" s="15">
        <v>1</v>
      </c>
      <c r="K495" s="15">
        <v>13</v>
      </c>
      <c r="L495" s="91" t="s">
        <v>447</v>
      </c>
      <c r="M495" s="92" t="s">
        <v>344</v>
      </c>
      <c r="N495" s="92" t="s">
        <v>365</v>
      </c>
      <c r="O495" s="92" t="s">
        <v>594</v>
      </c>
      <c r="P495" s="9"/>
      <c r="Q495" s="195">
        <f>Q496</f>
        <v>2628.4</v>
      </c>
      <c r="R495" s="195">
        <f>R496</f>
        <v>2235.3</v>
      </c>
      <c r="S495" s="195">
        <f>S496</f>
        <v>2235.3</v>
      </c>
    </row>
    <row r="496" spans="1:19" ht="30" customHeight="1">
      <c r="A496" s="93"/>
      <c r="B496" s="94"/>
      <c r="C496" s="102"/>
      <c r="D496" s="107"/>
      <c r="E496" s="110"/>
      <c r="F496" s="110"/>
      <c r="G496" s="85"/>
      <c r="H496" s="10" t="s">
        <v>517</v>
      </c>
      <c r="I496" s="9">
        <v>661</v>
      </c>
      <c r="J496" s="15">
        <v>1</v>
      </c>
      <c r="K496" s="15">
        <v>13</v>
      </c>
      <c r="L496" s="91" t="s">
        <v>447</v>
      </c>
      <c r="M496" s="92" t="s">
        <v>344</v>
      </c>
      <c r="N496" s="92" t="s">
        <v>365</v>
      </c>
      <c r="O496" s="92" t="s">
        <v>594</v>
      </c>
      <c r="P496" s="9">
        <v>110</v>
      </c>
      <c r="Q496" s="195">
        <f>2235.3+393.1</f>
        <v>2628.4</v>
      </c>
      <c r="R496" s="212">
        <v>2235.3</v>
      </c>
      <c r="S496" s="212">
        <v>2235.3</v>
      </c>
    </row>
    <row r="497" spans="1:19" ht="33.75" customHeight="1">
      <c r="A497" s="93"/>
      <c r="B497" s="94"/>
      <c r="C497" s="102"/>
      <c r="D497" s="107"/>
      <c r="E497" s="110"/>
      <c r="F497" s="110"/>
      <c r="G497" s="85"/>
      <c r="H497" s="10" t="s">
        <v>495</v>
      </c>
      <c r="I497" s="9">
        <v>661</v>
      </c>
      <c r="J497" s="15">
        <v>1</v>
      </c>
      <c r="K497" s="15">
        <v>13</v>
      </c>
      <c r="L497" s="91" t="s">
        <v>447</v>
      </c>
      <c r="M497" s="92" t="s">
        <v>344</v>
      </c>
      <c r="N497" s="92" t="s">
        <v>365</v>
      </c>
      <c r="O497" s="92" t="s">
        <v>494</v>
      </c>
      <c r="P497" s="9"/>
      <c r="Q497" s="195">
        <f>SUM(Q498:Q499)</f>
        <v>2475.7</v>
      </c>
      <c r="R497" s="195">
        <f>SUM(R498:R499)</f>
        <v>0</v>
      </c>
      <c r="S497" s="195">
        <f>SUM(S498:S499)</f>
        <v>0</v>
      </c>
    </row>
    <row r="498" spans="1:19" ht="33.75" customHeight="1">
      <c r="A498" s="93"/>
      <c r="B498" s="94"/>
      <c r="C498" s="102"/>
      <c r="D498" s="107"/>
      <c r="E498" s="110"/>
      <c r="F498" s="110"/>
      <c r="G498" s="85"/>
      <c r="H498" s="10" t="s">
        <v>457</v>
      </c>
      <c r="I498" s="9">
        <v>661</v>
      </c>
      <c r="J498" s="15">
        <v>1</v>
      </c>
      <c r="K498" s="15">
        <v>13</v>
      </c>
      <c r="L498" s="91" t="s">
        <v>447</v>
      </c>
      <c r="M498" s="92" t="s">
        <v>344</v>
      </c>
      <c r="N498" s="92" t="s">
        <v>365</v>
      </c>
      <c r="O498" s="92" t="s">
        <v>494</v>
      </c>
      <c r="P498" s="9">
        <v>110</v>
      </c>
      <c r="Q498" s="195">
        <v>2410.7</v>
      </c>
      <c r="R498" s="195">
        <v>0</v>
      </c>
      <c r="S498" s="195">
        <v>0</v>
      </c>
    </row>
    <row r="499" spans="1:19" ht="33.75" customHeight="1">
      <c r="A499" s="93"/>
      <c r="B499" s="94"/>
      <c r="C499" s="102"/>
      <c r="D499" s="107"/>
      <c r="E499" s="110"/>
      <c r="F499" s="110"/>
      <c r="G499" s="85"/>
      <c r="H499" s="10" t="s">
        <v>454</v>
      </c>
      <c r="I499" s="9">
        <v>661</v>
      </c>
      <c r="J499" s="15">
        <v>1</v>
      </c>
      <c r="K499" s="15">
        <v>13</v>
      </c>
      <c r="L499" s="91" t="s">
        <v>447</v>
      </c>
      <c r="M499" s="92" t="s">
        <v>344</v>
      </c>
      <c r="N499" s="92" t="s">
        <v>365</v>
      </c>
      <c r="O499" s="92" t="s">
        <v>494</v>
      </c>
      <c r="P499" s="9">
        <v>240</v>
      </c>
      <c r="Q499" s="195">
        <v>65</v>
      </c>
      <c r="R499" s="195">
        <v>0</v>
      </c>
      <c r="S499" s="195">
        <v>0</v>
      </c>
    </row>
    <row r="500" spans="1:19" s="171" customFormat="1" ht="24" customHeight="1">
      <c r="A500" s="135"/>
      <c r="B500" s="136"/>
      <c r="C500" s="150"/>
      <c r="D500" s="162"/>
      <c r="E500" s="138"/>
      <c r="F500" s="138"/>
      <c r="G500" s="148"/>
      <c r="H500" s="130" t="s">
        <v>339</v>
      </c>
      <c r="I500" s="131">
        <v>661</v>
      </c>
      <c r="J500" s="132">
        <v>13</v>
      </c>
      <c r="K500" s="132" t="s">
        <v>393</v>
      </c>
      <c r="L500" s="133" t="s">
        <v>320</v>
      </c>
      <c r="M500" s="134" t="s">
        <v>320</v>
      </c>
      <c r="N500" s="134"/>
      <c r="O500" s="134" t="s">
        <v>320</v>
      </c>
      <c r="P500" s="139" t="s">
        <v>320</v>
      </c>
      <c r="Q500" s="198">
        <f aca="true" t="shared" si="54" ref="Q500:S505">Q501</f>
        <v>10</v>
      </c>
      <c r="R500" s="198">
        <f t="shared" si="54"/>
        <v>0</v>
      </c>
      <c r="S500" s="198">
        <f t="shared" si="54"/>
        <v>0</v>
      </c>
    </row>
    <row r="501" spans="1:19" s="171" customFormat="1" ht="24" customHeight="1">
      <c r="A501" s="135"/>
      <c r="B501" s="136"/>
      <c r="C501" s="150"/>
      <c r="D501" s="162"/>
      <c r="E501" s="138"/>
      <c r="F501" s="138"/>
      <c r="G501" s="148"/>
      <c r="H501" s="130" t="s">
        <v>809</v>
      </c>
      <c r="I501" s="131">
        <v>661</v>
      </c>
      <c r="J501" s="132">
        <v>13</v>
      </c>
      <c r="K501" s="132">
        <v>1</v>
      </c>
      <c r="L501" s="133" t="s">
        <v>320</v>
      </c>
      <c r="M501" s="134" t="s">
        <v>320</v>
      </c>
      <c r="N501" s="134"/>
      <c r="O501" s="134" t="s">
        <v>320</v>
      </c>
      <c r="P501" s="139" t="s">
        <v>320</v>
      </c>
      <c r="Q501" s="198">
        <f t="shared" si="54"/>
        <v>10</v>
      </c>
      <c r="R501" s="198">
        <f t="shared" si="54"/>
        <v>0</v>
      </c>
      <c r="S501" s="198">
        <f t="shared" si="54"/>
        <v>0</v>
      </c>
    </row>
    <row r="502" spans="1:19" ht="36.75" customHeight="1">
      <c r="A502" s="93"/>
      <c r="B502" s="94"/>
      <c r="C502" s="99"/>
      <c r="D502" s="97"/>
      <c r="E502" s="100"/>
      <c r="F502" s="100"/>
      <c r="G502" s="85"/>
      <c r="H502" s="10" t="s">
        <v>446</v>
      </c>
      <c r="I502" s="9">
        <v>661</v>
      </c>
      <c r="J502" s="15">
        <v>13</v>
      </c>
      <c r="K502" s="15">
        <v>1</v>
      </c>
      <c r="L502" s="91" t="s">
        <v>447</v>
      </c>
      <c r="M502" s="92" t="s">
        <v>347</v>
      </c>
      <c r="N502" s="92" t="s">
        <v>357</v>
      </c>
      <c r="O502" s="92" t="s">
        <v>392</v>
      </c>
      <c r="P502" s="5"/>
      <c r="Q502" s="197">
        <f t="shared" si="54"/>
        <v>10</v>
      </c>
      <c r="R502" s="197">
        <f t="shared" si="54"/>
        <v>0</v>
      </c>
      <c r="S502" s="197">
        <f t="shared" si="54"/>
        <v>0</v>
      </c>
    </row>
    <row r="503" spans="1:19" ht="24" customHeight="1">
      <c r="A503" s="93"/>
      <c r="B503" s="94"/>
      <c r="C503" s="102"/>
      <c r="D503" s="103"/>
      <c r="E503" s="100"/>
      <c r="F503" s="100"/>
      <c r="G503" s="101"/>
      <c r="H503" s="10" t="s">
        <v>627</v>
      </c>
      <c r="I503" s="9">
        <v>661</v>
      </c>
      <c r="J503" s="15">
        <v>13</v>
      </c>
      <c r="K503" s="15">
        <v>1</v>
      </c>
      <c r="L503" s="91" t="s">
        <v>447</v>
      </c>
      <c r="M503" s="92" t="s">
        <v>581</v>
      </c>
      <c r="N503" s="92" t="s">
        <v>357</v>
      </c>
      <c r="O503" s="92" t="s">
        <v>392</v>
      </c>
      <c r="P503" s="5"/>
      <c r="Q503" s="197">
        <f t="shared" si="54"/>
        <v>10</v>
      </c>
      <c r="R503" s="197">
        <f t="shared" si="54"/>
        <v>0</v>
      </c>
      <c r="S503" s="197">
        <f t="shared" si="54"/>
        <v>0</v>
      </c>
    </row>
    <row r="504" spans="1:19" ht="24" customHeight="1">
      <c r="A504" s="93"/>
      <c r="B504" s="94"/>
      <c r="C504" s="102"/>
      <c r="D504" s="103"/>
      <c r="E504" s="100"/>
      <c r="F504" s="100"/>
      <c r="G504" s="101"/>
      <c r="H504" s="10" t="s">
        <v>582</v>
      </c>
      <c r="I504" s="9">
        <v>661</v>
      </c>
      <c r="J504" s="15">
        <v>13</v>
      </c>
      <c r="K504" s="15">
        <v>1</v>
      </c>
      <c r="L504" s="91" t="s">
        <v>447</v>
      </c>
      <c r="M504" s="92" t="s">
        <v>581</v>
      </c>
      <c r="N504" s="92" t="s">
        <v>348</v>
      </c>
      <c r="O504" s="92" t="s">
        <v>392</v>
      </c>
      <c r="P504" s="5"/>
      <c r="Q504" s="197">
        <f t="shared" si="54"/>
        <v>10</v>
      </c>
      <c r="R504" s="197">
        <f t="shared" si="54"/>
        <v>0</v>
      </c>
      <c r="S504" s="197">
        <f t="shared" si="54"/>
        <v>0</v>
      </c>
    </row>
    <row r="505" spans="1:19" ht="27" customHeight="1">
      <c r="A505" s="95"/>
      <c r="B505" s="94"/>
      <c r="C505" s="102"/>
      <c r="D505" s="103"/>
      <c r="E505" s="100"/>
      <c r="F505" s="100"/>
      <c r="G505" s="101"/>
      <c r="H505" s="10" t="s">
        <v>77</v>
      </c>
      <c r="I505" s="9">
        <v>661</v>
      </c>
      <c r="J505" s="15">
        <v>13</v>
      </c>
      <c r="K505" s="15">
        <v>1</v>
      </c>
      <c r="L505" s="91" t="s">
        <v>447</v>
      </c>
      <c r="M505" s="92" t="s">
        <v>581</v>
      </c>
      <c r="N505" s="92" t="s">
        <v>348</v>
      </c>
      <c r="O505" s="92" t="s">
        <v>76</v>
      </c>
      <c r="P505" s="5" t="s">
        <v>320</v>
      </c>
      <c r="Q505" s="197">
        <f t="shared" si="54"/>
        <v>10</v>
      </c>
      <c r="R505" s="197">
        <f t="shared" si="54"/>
        <v>0</v>
      </c>
      <c r="S505" s="197">
        <f t="shared" si="54"/>
        <v>0</v>
      </c>
    </row>
    <row r="506" spans="1:19" ht="28.5" customHeight="1">
      <c r="A506" s="95"/>
      <c r="B506" s="94"/>
      <c r="C506" s="102"/>
      <c r="D506" s="103"/>
      <c r="E506" s="100"/>
      <c r="F506" s="100"/>
      <c r="G506" s="101"/>
      <c r="H506" s="4" t="s">
        <v>387</v>
      </c>
      <c r="I506" s="7">
        <v>661</v>
      </c>
      <c r="J506" s="20">
        <v>13</v>
      </c>
      <c r="K506" s="15">
        <v>1</v>
      </c>
      <c r="L506" s="91" t="s">
        <v>447</v>
      </c>
      <c r="M506" s="92" t="s">
        <v>581</v>
      </c>
      <c r="N506" s="92" t="s">
        <v>348</v>
      </c>
      <c r="O506" s="92" t="s">
        <v>76</v>
      </c>
      <c r="P506" s="5">
        <v>730</v>
      </c>
      <c r="Q506" s="195">
        <v>10</v>
      </c>
      <c r="R506" s="197">
        <v>0</v>
      </c>
      <c r="S506" s="197">
        <v>0</v>
      </c>
    </row>
    <row r="507" spans="1:19" s="171" customFormat="1" ht="30.75" customHeight="1">
      <c r="A507" s="135"/>
      <c r="B507" s="136"/>
      <c r="C507" s="150"/>
      <c r="D507" s="162"/>
      <c r="E507" s="138"/>
      <c r="F507" s="138"/>
      <c r="G507" s="148"/>
      <c r="H507" s="130" t="s">
        <v>99</v>
      </c>
      <c r="I507" s="139">
        <v>661</v>
      </c>
      <c r="J507" s="132">
        <v>14</v>
      </c>
      <c r="K507" s="132" t="s">
        <v>320</v>
      </c>
      <c r="L507" s="132" t="s">
        <v>320</v>
      </c>
      <c r="M507" s="134" t="s">
        <v>320</v>
      </c>
      <c r="N507" s="134"/>
      <c r="O507" s="134" t="s">
        <v>320</v>
      </c>
      <c r="P507" s="139" t="s">
        <v>320</v>
      </c>
      <c r="Q507" s="198">
        <f>Q508+Q516</f>
        <v>35351.4</v>
      </c>
      <c r="R507" s="198">
        <f>R508+R516</f>
        <v>19143.600000000002</v>
      </c>
      <c r="S507" s="198">
        <f>S508+S516</f>
        <v>21151.1</v>
      </c>
    </row>
    <row r="508" spans="1:19" s="171" customFormat="1" ht="30.75" customHeight="1">
      <c r="A508" s="135"/>
      <c r="B508" s="136"/>
      <c r="C508" s="150"/>
      <c r="D508" s="162"/>
      <c r="E508" s="138"/>
      <c r="F508" s="138"/>
      <c r="G508" s="148"/>
      <c r="H508" s="130" t="s">
        <v>360</v>
      </c>
      <c r="I508" s="139">
        <v>661</v>
      </c>
      <c r="J508" s="132">
        <v>14</v>
      </c>
      <c r="K508" s="132">
        <v>1</v>
      </c>
      <c r="L508" s="132" t="s">
        <v>320</v>
      </c>
      <c r="M508" s="134" t="s">
        <v>320</v>
      </c>
      <c r="N508" s="134"/>
      <c r="O508" s="134" t="s">
        <v>320</v>
      </c>
      <c r="P508" s="139" t="s">
        <v>320</v>
      </c>
      <c r="Q508" s="198">
        <f>Q509</f>
        <v>5126</v>
      </c>
      <c r="R508" s="198">
        <f aca="true" t="shared" si="55" ref="R508:S510">R509</f>
        <v>5225.3</v>
      </c>
      <c r="S508" s="198">
        <f t="shared" si="55"/>
        <v>5640.5</v>
      </c>
    </row>
    <row r="509" spans="1:19" ht="36.75" customHeight="1">
      <c r="A509" s="93"/>
      <c r="B509" s="94"/>
      <c r="C509" s="99"/>
      <c r="D509" s="97"/>
      <c r="E509" s="100"/>
      <c r="F509" s="100"/>
      <c r="G509" s="85"/>
      <c r="H509" s="10" t="s">
        <v>446</v>
      </c>
      <c r="I509" s="9">
        <v>661</v>
      </c>
      <c r="J509" s="15">
        <v>14</v>
      </c>
      <c r="K509" s="15">
        <v>1</v>
      </c>
      <c r="L509" s="91" t="s">
        <v>447</v>
      </c>
      <c r="M509" s="92" t="s">
        <v>347</v>
      </c>
      <c r="N509" s="92" t="s">
        <v>357</v>
      </c>
      <c r="O509" s="92" t="s">
        <v>392</v>
      </c>
      <c r="P509" s="5"/>
      <c r="Q509" s="197">
        <f>Q510</f>
        <v>5126</v>
      </c>
      <c r="R509" s="197">
        <f t="shared" si="55"/>
        <v>5225.3</v>
      </c>
      <c r="S509" s="197">
        <f t="shared" si="55"/>
        <v>5640.5</v>
      </c>
    </row>
    <row r="510" spans="1:19" ht="36.75" customHeight="1">
      <c r="A510" s="93"/>
      <c r="B510" s="94"/>
      <c r="C510" s="102"/>
      <c r="D510" s="103"/>
      <c r="E510" s="100"/>
      <c r="F510" s="100"/>
      <c r="G510" s="85"/>
      <c r="H510" s="10" t="s">
        <v>449</v>
      </c>
      <c r="I510" s="9">
        <v>661</v>
      </c>
      <c r="J510" s="15">
        <v>14</v>
      </c>
      <c r="K510" s="15">
        <v>1</v>
      </c>
      <c r="L510" s="91" t="s">
        <v>447</v>
      </c>
      <c r="M510" s="92" t="s">
        <v>343</v>
      </c>
      <c r="N510" s="92" t="s">
        <v>357</v>
      </c>
      <c r="O510" s="92" t="s">
        <v>392</v>
      </c>
      <c r="P510" s="5"/>
      <c r="Q510" s="197">
        <f>Q511</f>
        <v>5126</v>
      </c>
      <c r="R510" s="197">
        <f t="shared" si="55"/>
        <v>5225.3</v>
      </c>
      <c r="S510" s="197">
        <f t="shared" si="55"/>
        <v>5640.5</v>
      </c>
    </row>
    <row r="511" spans="1:19" ht="22.5" customHeight="1">
      <c r="A511" s="95"/>
      <c r="B511" s="94"/>
      <c r="C511" s="102"/>
      <c r="D511" s="103"/>
      <c r="E511" s="100"/>
      <c r="F511" s="100"/>
      <c r="G511" s="101"/>
      <c r="H511" s="10" t="s">
        <v>584</v>
      </c>
      <c r="I511" s="5">
        <v>661</v>
      </c>
      <c r="J511" s="15">
        <v>14</v>
      </c>
      <c r="K511" s="15">
        <v>1</v>
      </c>
      <c r="L511" s="91" t="s">
        <v>447</v>
      </c>
      <c r="M511" s="92" t="s">
        <v>343</v>
      </c>
      <c r="N511" s="92" t="s">
        <v>348</v>
      </c>
      <c r="O511" s="92" t="s">
        <v>392</v>
      </c>
      <c r="P511" s="5" t="s">
        <v>320</v>
      </c>
      <c r="Q511" s="197">
        <f>Q514+Q512</f>
        <v>5126</v>
      </c>
      <c r="R511" s="197">
        <f>R514+R512</f>
        <v>5225.3</v>
      </c>
      <c r="S511" s="197">
        <f>S514+S512</f>
        <v>5640.5</v>
      </c>
    </row>
    <row r="512" spans="1:19" ht="21" customHeight="1">
      <c r="A512" s="95"/>
      <c r="B512" s="94"/>
      <c r="C512" s="102"/>
      <c r="D512" s="103"/>
      <c r="E512" s="100"/>
      <c r="F512" s="100"/>
      <c r="G512" s="101"/>
      <c r="H512" s="10" t="s">
        <v>590</v>
      </c>
      <c r="I512" s="5">
        <v>661</v>
      </c>
      <c r="J512" s="15">
        <v>14</v>
      </c>
      <c r="K512" s="15">
        <v>1</v>
      </c>
      <c r="L512" s="91" t="s">
        <v>447</v>
      </c>
      <c r="M512" s="92" t="s">
        <v>343</v>
      </c>
      <c r="N512" s="92" t="s">
        <v>348</v>
      </c>
      <c r="O512" s="92" t="s">
        <v>608</v>
      </c>
      <c r="P512" s="5" t="s">
        <v>320</v>
      </c>
      <c r="Q512" s="197">
        <f>Q513</f>
        <v>1994.5</v>
      </c>
      <c r="R512" s="197">
        <f>R513</f>
        <v>2232.3</v>
      </c>
      <c r="S512" s="197">
        <f>S513</f>
        <v>2429</v>
      </c>
    </row>
    <row r="513" spans="1:19" ht="23.25" customHeight="1">
      <c r="A513" s="95"/>
      <c r="B513" s="94"/>
      <c r="C513" s="102"/>
      <c r="D513" s="103"/>
      <c r="E513" s="100"/>
      <c r="F513" s="100"/>
      <c r="G513" s="101"/>
      <c r="H513" s="10" t="s">
        <v>460</v>
      </c>
      <c r="I513" s="5">
        <v>661</v>
      </c>
      <c r="J513" s="18">
        <v>14</v>
      </c>
      <c r="K513" s="15">
        <v>1</v>
      </c>
      <c r="L513" s="91" t="s">
        <v>447</v>
      </c>
      <c r="M513" s="92" t="s">
        <v>343</v>
      </c>
      <c r="N513" s="92" t="s">
        <v>348</v>
      </c>
      <c r="O513" s="92" t="s">
        <v>608</v>
      </c>
      <c r="P513" s="5">
        <v>510</v>
      </c>
      <c r="Q513" s="197">
        <v>1994.5</v>
      </c>
      <c r="R513" s="197">
        <v>2232.3</v>
      </c>
      <c r="S513" s="197">
        <v>2429</v>
      </c>
    </row>
    <row r="514" spans="1:19" ht="67.5" customHeight="1">
      <c r="A514" s="95"/>
      <c r="B514" s="94"/>
      <c r="C514" s="102"/>
      <c r="D514" s="103"/>
      <c r="E514" s="100"/>
      <c r="F514" s="100"/>
      <c r="G514" s="101"/>
      <c r="H514" s="10" t="s">
        <v>589</v>
      </c>
      <c r="I514" s="5">
        <v>661</v>
      </c>
      <c r="J514" s="18">
        <v>14</v>
      </c>
      <c r="K514" s="15">
        <v>1</v>
      </c>
      <c r="L514" s="91" t="s">
        <v>447</v>
      </c>
      <c r="M514" s="92" t="s">
        <v>343</v>
      </c>
      <c r="N514" s="92" t="s">
        <v>348</v>
      </c>
      <c r="O514" s="92" t="s">
        <v>403</v>
      </c>
      <c r="P514" s="5"/>
      <c r="Q514" s="195">
        <f>Q515</f>
        <v>3131.5</v>
      </c>
      <c r="R514" s="195">
        <f>R515</f>
        <v>2993</v>
      </c>
      <c r="S514" s="195">
        <f>S515</f>
        <v>3211.5</v>
      </c>
    </row>
    <row r="515" spans="1:19" ht="24.75" customHeight="1">
      <c r="A515" s="95"/>
      <c r="B515" s="94"/>
      <c r="C515" s="102"/>
      <c r="D515" s="103"/>
      <c r="E515" s="100"/>
      <c r="F515" s="100"/>
      <c r="G515" s="101"/>
      <c r="H515" s="10" t="s">
        <v>460</v>
      </c>
      <c r="I515" s="5">
        <v>661</v>
      </c>
      <c r="J515" s="18">
        <v>14</v>
      </c>
      <c r="K515" s="15">
        <v>1</v>
      </c>
      <c r="L515" s="91" t="s">
        <v>447</v>
      </c>
      <c r="M515" s="92" t="s">
        <v>343</v>
      </c>
      <c r="N515" s="92" t="s">
        <v>348</v>
      </c>
      <c r="O515" s="92" t="s">
        <v>403</v>
      </c>
      <c r="P515" s="5">
        <v>510</v>
      </c>
      <c r="Q515" s="195">
        <v>3131.5</v>
      </c>
      <c r="R515" s="195">
        <v>2993</v>
      </c>
      <c r="S515" s="195">
        <v>3211.5</v>
      </c>
    </row>
    <row r="516" spans="1:19" s="171" customFormat="1" ht="22.5" customHeight="1">
      <c r="A516" s="135"/>
      <c r="B516" s="136"/>
      <c r="C516" s="150"/>
      <c r="D516" s="162"/>
      <c r="E516" s="138"/>
      <c r="F516" s="138"/>
      <c r="G516" s="148"/>
      <c r="H516" s="130" t="s">
        <v>395</v>
      </c>
      <c r="I516" s="139">
        <v>661</v>
      </c>
      <c r="J516" s="132">
        <v>14</v>
      </c>
      <c r="K516" s="132">
        <v>2</v>
      </c>
      <c r="L516" s="91" t="s">
        <v>393</v>
      </c>
      <c r="M516" s="134" t="s">
        <v>320</v>
      </c>
      <c r="N516" s="134"/>
      <c r="O516" s="134" t="s">
        <v>320</v>
      </c>
      <c r="P516" s="139" t="s">
        <v>320</v>
      </c>
      <c r="Q516" s="198">
        <f>Q517</f>
        <v>30225.4</v>
      </c>
      <c r="R516" s="198">
        <f aca="true" t="shared" si="56" ref="R516:S518">R517</f>
        <v>13918.300000000001</v>
      </c>
      <c r="S516" s="198">
        <f t="shared" si="56"/>
        <v>15510.6</v>
      </c>
    </row>
    <row r="517" spans="1:19" ht="36.75" customHeight="1">
      <c r="A517" s="93"/>
      <c r="B517" s="94"/>
      <c r="C517" s="99"/>
      <c r="D517" s="97"/>
      <c r="E517" s="100"/>
      <c r="F517" s="100"/>
      <c r="G517" s="85"/>
      <c r="H517" s="10" t="s">
        <v>446</v>
      </c>
      <c r="I517" s="9">
        <v>661</v>
      </c>
      <c r="J517" s="15">
        <v>14</v>
      </c>
      <c r="K517" s="15">
        <v>2</v>
      </c>
      <c r="L517" s="91" t="s">
        <v>447</v>
      </c>
      <c r="M517" s="92" t="s">
        <v>347</v>
      </c>
      <c r="N517" s="92" t="s">
        <v>357</v>
      </c>
      <c r="O517" s="92" t="s">
        <v>392</v>
      </c>
      <c r="P517" s="5"/>
      <c r="Q517" s="197">
        <f>Q518</f>
        <v>30225.4</v>
      </c>
      <c r="R517" s="197">
        <f t="shared" si="56"/>
        <v>13918.300000000001</v>
      </c>
      <c r="S517" s="197">
        <f t="shared" si="56"/>
        <v>15510.6</v>
      </c>
    </row>
    <row r="518" spans="1:19" ht="36.75" customHeight="1">
      <c r="A518" s="93"/>
      <c r="B518" s="94"/>
      <c r="C518" s="102"/>
      <c r="D518" s="103"/>
      <c r="E518" s="100"/>
      <c r="F518" s="100"/>
      <c r="G518" s="85"/>
      <c r="H518" s="10" t="s">
        <v>449</v>
      </c>
      <c r="I518" s="9">
        <v>661</v>
      </c>
      <c r="J518" s="15">
        <v>14</v>
      </c>
      <c r="K518" s="15">
        <v>2</v>
      </c>
      <c r="L518" s="91" t="s">
        <v>447</v>
      </c>
      <c r="M518" s="92" t="s">
        <v>343</v>
      </c>
      <c r="N518" s="92" t="s">
        <v>357</v>
      </c>
      <c r="O518" s="92" t="s">
        <v>392</v>
      </c>
      <c r="P518" s="5"/>
      <c r="Q518" s="197">
        <f>Q519</f>
        <v>30225.4</v>
      </c>
      <c r="R518" s="197">
        <f t="shared" si="56"/>
        <v>13918.300000000001</v>
      </c>
      <c r="S518" s="197">
        <f t="shared" si="56"/>
        <v>15510.6</v>
      </c>
    </row>
    <row r="519" spans="1:19" ht="18.75" customHeight="1">
      <c r="A519" s="93"/>
      <c r="B519" s="94"/>
      <c r="C519" s="102"/>
      <c r="D519" s="103"/>
      <c r="E519" s="100"/>
      <c r="F519" s="100"/>
      <c r="G519" s="101"/>
      <c r="H519" s="10" t="s">
        <v>586</v>
      </c>
      <c r="I519" s="5">
        <v>661</v>
      </c>
      <c r="J519" s="15">
        <v>14</v>
      </c>
      <c r="K519" s="15">
        <v>2</v>
      </c>
      <c r="L519" s="91" t="s">
        <v>447</v>
      </c>
      <c r="M519" s="92" t="s">
        <v>343</v>
      </c>
      <c r="N519" s="92" t="s">
        <v>365</v>
      </c>
      <c r="O519" s="92" t="s">
        <v>392</v>
      </c>
      <c r="P519" s="5"/>
      <c r="Q519" s="197">
        <f>Q520+Q522</f>
        <v>30225.4</v>
      </c>
      <c r="R519" s="197">
        <f>R520+R522</f>
        <v>13918.300000000001</v>
      </c>
      <c r="S519" s="197">
        <f>S520+S522</f>
        <v>15510.6</v>
      </c>
    </row>
    <row r="520" spans="1:19" ht="23.25" customHeight="1">
      <c r="A520" s="95"/>
      <c r="B520" s="94"/>
      <c r="C520" s="102"/>
      <c r="D520" s="103"/>
      <c r="E520" s="100"/>
      <c r="F520" s="100"/>
      <c r="G520" s="101"/>
      <c r="H520" s="10" t="s">
        <v>585</v>
      </c>
      <c r="I520" s="5">
        <v>661</v>
      </c>
      <c r="J520" s="15">
        <v>14</v>
      </c>
      <c r="K520" s="15">
        <v>2</v>
      </c>
      <c r="L520" s="91" t="s">
        <v>447</v>
      </c>
      <c r="M520" s="92" t="s">
        <v>343</v>
      </c>
      <c r="N520" s="92" t="s">
        <v>365</v>
      </c>
      <c r="O520" s="92" t="s">
        <v>609</v>
      </c>
      <c r="P520" s="5" t="s">
        <v>320</v>
      </c>
      <c r="Q520" s="197">
        <f>Q521</f>
        <v>26266.5</v>
      </c>
      <c r="R520" s="197">
        <f>R521</f>
        <v>10798.2</v>
      </c>
      <c r="S520" s="197">
        <f>S521</f>
        <v>12390.5</v>
      </c>
    </row>
    <row r="521" spans="1:19" ht="20.25" customHeight="1">
      <c r="A521" s="95"/>
      <c r="B521" s="94"/>
      <c r="C521" s="102"/>
      <c r="D521" s="103"/>
      <c r="E521" s="100"/>
      <c r="F521" s="100"/>
      <c r="G521" s="101"/>
      <c r="H521" s="10" t="s">
        <v>460</v>
      </c>
      <c r="I521" s="5">
        <v>661</v>
      </c>
      <c r="J521" s="18">
        <v>14</v>
      </c>
      <c r="K521" s="15">
        <v>2</v>
      </c>
      <c r="L521" s="91" t="s">
        <v>447</v>
      </c>
      <c r="M521" s="92" t="s">
        <v>343</v>
      </c>
      <c r="N521" s="92" t="s">
        <v>365</v>
      </c>
      <c r="O521" s="92" t="s">
        <v>609</v>
      </c>
      <c r="P521" s="5">
        <v>510</v>
      </c>
      <c r="Q521" s="197">
        <f>8965.7+800+7063.1+141.1+100.5+65.2+8870.9+75+150+35</f>
        <v>26266.5</v>
      </c>
      <c r="R521" s="197">
        <v>10798.2</v>
      </c>
      <c r="S521" s="197">
        <v>12390.5</v>
      </c>
    </row>
    <row r="522" spans="1:19" ht="32.25" customHeight="1">
      <c r="A522" s="95"/>
      <c r="B522" s="94"/>
      <c r="C522" s="102"/>
      <c r="D522" s="103"/>
      <c r="E522" s="100"/>
      <c r="F522" s="100"/>
      <c r="G522" s="101"/>
      <c r="H522" s="10" t="s">
        <v>595</v>
      </c>
      <c r="I522" s="9">
        <v>661</v>
      </c>
      <c r="J522" s="6">
        <v>14</v>
      </c>
      <c r="K522" s="15">
        <v>2</v>
      </c>
      <c r="L522" s="91" t="s">
        <v>447</v>
      </c>
      <c r="M522" s="92" t="s">
        <v>343</v>
      </c>
      <c r="N522" s="92" t="s">
        <v>365</v>
      </c>
      <c r="O522" s="92" t="s">
        <v>594</v>
      </c>
      <c r="P522" s="5"/>
      <c r="Q522" s="197">
        <f>Q523</f>
        <v>3958.8999999999996</v>
      </c>
      <c r="R522" s="197">
        <f>R523</f>
        <v>3120.1</v>
      </c>
      <c r="S522" s="197">
        <f>S523</f>
        <v>3120.1</v>
      </c>
    </row>
    <row r="523" spans="1:19" ht="20.25" customHeight="1">
      <c r="A523" s="95"/>
      <c r="B523" s="94"/>
      <c r="C523" s="102"/>
      <c r="D523" s="103"/>
      <c r="E523" s="100"/>
      <c r="F523" s="100"/>
      <c r="G523" s="101"/>
      <c r="H523" s="10" t="s">
        <v>460</v>
      </c>
      <c r="I523" s="9">
        <v>661</v>
      </c>
      <c r="J523" s="6">
        <v>14</v>
      </c>
      <c r="K523" s="15">
        <v>2</v>
      </c>
      <c r="L523" s="91" t="s">
        <v>447</v>
      </c>
      <c r="M523" s="92" t="s">
        <v>343</v>
      </c>
      <c r="N523" s="92" t="s">
        <v>365</v>
      </c>
      <c r="O523" s="92" t="s">
        <v>594</v>
      </c>
      <c r="P523" s="5">
        <v>510</v>
      </c>
      <c r="Q523" s="197">
        <f>3120.1+838.8</f>
        <v>3958.8999999999996</v>
      </c>
      <c r="R523" s="197">
        <v>3120.1</v>
      </c>
      <c r="S523" s="197">
        <v>3120.1</v>
      </c>
    </row>
    <row r="524" spans="1:19" s="273" customFormat="1" ht="28.5" customHeight="1">
      <c r="A524" s="151"/>
      <c r="B524" s="152"/>
      <c r="C524" s="153"/>
      <c r="D524" s="160"/>
      <c r="E524" s="161"/>
      <c r="F524" s="161"/>
      <c r="G524" s="155">
        <v>521</v>
      </c>
      <c r="H524" s="31" t="s">
        <v>123</v>
      </c>
      <c r="I524" s="13">
        <v>663</v>
      </c>
      <c r="J524" s="14" t="s">
        <v>320</v>
      </c>
      <c r="K524" s="14" t="s">
        <v>320</v>
      </c>
      <c r="L524" s="126" t="s">
        <v>320</v>
      </c>
      <c r="M524" s="127" t="s">
        <v>320</v>
      </c>
      <c r="N524" s="127"/>
      <c r="O524" s="127" t="s">
        <v>320</v>
      </c>
      <c r="P524" s="163"/>
      <c r="Q524" s="201">
        <f>Q525+Q670</f>
        <v>283178.6000000001</v>
      </c>
      <c r="R524" s="201">
        <f>R525+R670</f>
        <v>275166.7</v>
      </c>
      <c r="S524" s="201">
        <f>S525+S670</f>
        <v>278447.2</v>
      </c>
    </row>
    <row r="525" spans="1:19" s="171" customFormat="1" ht="18" customHeight="1">
      <c r="A525" s="135"/>
      <c r="B525" s="136"/>
      <c r="C525" s="135"/>
      <c r="D525" s="363">
        <v>5550000</v>
      </c>
      <c r="E525" s="364"/>
      <c r="F525" s="364"/>
      <c r="G525" s="129">
        <v>314</v>
      </c>
      <c r="H525" s="130" t="s">
        <v>331</v>
      </c>
      <c r="I525" s="131">
        <v>663</v>
      </c>
      <c r="J525" s="132">
        <v>7</v>
      </c>
      <c r="K525" s="132" t="s">
        <v>393</v>
      </c>
      <c r="L525" s="133" t="s">
        <v>320</v>
      </c>
      <c r="M525" s="134" t="s">
        <v>320</v>
      </c>
      <c r="N525" s="134"/>
      <c r="O525" s="134" t="s">
        <v>320</v>
      </c>
      <c r="P525" s="131"/>
      <c r="Q525" s="194">
        <f>Q526+Q548+Q596+Q608</f>
        <v>279723.20000000007</v>
      </c>
      <c r="R525" s="194">
        <f>R526+R548+R596+R608</f>
        <v>271711.3</v>
      </c>
      <c r="S525" s="194">
        <f>S526+S548+S596+S608</f>
        <v>274991.8</v>
      </c>
    </row>
    <row r="526" spans="1:19" s="171" customFormat="1" ht="18.75" customHeight="1">
      <c r="A526" s="135"/>
      <c r="B526" s="136"/>
      <c r="C526" s="146"/>
      <c r="D526" s="143"/>
      <c r="E526" s="373">
        <v>5551700</v>
      </c>
      <c r="F526" s="373"/>
      <c r="G526" s="129">
        <v>314</v>
      </c>
      <c r="H526" s="130" t="s">
        <v>124</v>
      </c>
      <c r="I526" s="131">
        <v>663</v>
      </c>
      <c r="J526" s="132">
        <v>7</v>
      </c>
      <c r="K526" s="132">
        <v>1</v>
      </c>
      <c r="L526" s="133" t="s">
        <v>320</v>
      </c>
      <c r="M526" s="134" t="s">
        <v>320</v>
      </c>
      <c r="N526" s="134"/>
      <c r="O526" s="134" t="s">
        <v>320</v>
      </c>
      <c r="P526" s="131"/>
      <c r="Q526" s="194">
        <f>Q537+Q527</f>
        <v>79538.7</v>
      </c>
      <c r="R526" s="194">
        <f>R537+R527</f>
        <v>78895.9</v>
      </c>
      <c r="S526" s="194">
        <f>S537+S527</f>
        <v>78895.79999999999</v>
      </c>
    </row>
    <row r="527" spans="1:19" ht="33" customHeight="1">
      <c r="A527" s="95"/>
      <c r="B527" s="94"/>
      <c r="C527" s="99"/>
      <c r="D527" s="97"/>
      <c r="E527" s="100"/>
      <c r="F527" s="100"/>
      <c r="G527" s="85"/>
      <c r="H527" s="4" t="s">
        <v>865</v>
      </c>
      <c r="I527" s="9">
        <v>663</v>
      </c>
      <c r="J527" s="15">
        <v>7</v>
      </c>
      <c r="K527" s="15">
        <v>1</v>
      </c>
      <c r="L527" s="91" t="s">
        <v>442</v>
      </c>
      <c r="M527" s="92" t="s">
        <v>347</v>
      </c>
      <c r="N527" s="92" t="s">
        <v>357</v>
      </c>
      <c r="O527" s="92" t="s">
        <v>392</v>
      </c>
      <c r="P527" s="9"/>
      <c r="Q527" s="195">
        <f>Q528+Q531+Q534</f>
        <v>90.1</v>
      </c>
      <c r="R527" s="195">
        <f>R528+R531+R534</f>
        <v>143.5</v>
      </c>
      <c r="S527" s="195">
        <f>S528+S531+S534</f>
        <v>143.5</v>
      </c>
    </row>
    <row r="528" spans="1:19" ht="33" customHeight="1">
      <c r="A528" s="95"/>
      <c r="B528" s="94"/>
      <c r="C528" s="99"/>
      <c r="D528" s="97"/>
      <c r="E528" s="100"/>
      <c r="F528" s="100"/>
      <c r="G528" s="85"/>
      <c r="H528" s="4" t="s">
        <v>84</v>
      </c>
      <c r="I528" s="9">
        <v>663</v>
      </c>
      <c r="J528" s="15">
        <v>7</v>
      </c>
      <c r="K528" s="15">
        <v>1</v>
      </c>
      <c r="L528" s="91" t="s">
        <v>442</v>
      </c>
      <c r="M528" s="92" t="s">
        <v>347</v>
      </c>
      <c r="N528" s="92" t="s">
        <v>365</v>
      </c>
      <c r="O528" s="92" t="s">
        <v>392</v>
      </c>
      <c r="P528" s="9"/>
      <c r="Q528" s="195">
        <f aca="true" t="shared" si="57" ref="Q528:S529">Q529</f>
        <v>82.6</v>
      </c>
      <c r="R528" s="195">
        <f t="shared" si="57"/>
        <v>130</v>
      </c>
      <c r="S528" s="195">
        <f t="shared" si="57"/>
        <v>130</v>
      </c>
    </row>
    <row r="529" spans="1:19" ht="24" customHeight="1">
      <c r="A529" s="95"/>
      <c r="B529" s="94"/>
      <c r="C529" s="99"/>
      <c r="D529" s="97"/>
      <c r="E529" s="100"/>
      <c r="F529" s="100"/>
      <c r="G529" s="85"/>
      <c r="H529" s="4" t="s">
        <v>90</v>
      </c>
      <c r="I529" s="9">
        <v>663</v>
      </c>
      <c r="J529" s="15">
        <v>7</v>
      </c>
      <c r="K529" s="15">
        <v>1</v>
      </c>
      <c r="L529" s="91" t="s">
        <v>442</v>
      </c>
      <c r="M529" s="92" t="s">
        <v>347</v>
      </c>
      <c r="N529" s="92" t="s">
        <v>365</v>
      </c>
      <c r="O529" s="92" t="s">
        <v>81</v>
      </c>
      <c r="P529" s="9"/>
      <c r="Q529" s="195">
        <f t="shared" si="57"/>
        <v>82.6</v>
      </c>
      <c r="R529" s="195">
        <f t="shared" si="57"/>
        <v>130</v>
      </c>
      <c r="S529" s="195">
        <f t="shared" si="57"/>
        <v>130</v>
      </c>
    </row>
    <row r="530" spans="1:19" ht="24" customHeight="1">
      <c r="A530" s="95"/>
      <c r="B530" s="94"/>
      <c r="C530" s="99"/>
      <c r="D530" s="97"/>
      <c r="E530" s="100"/>
      <c r="F530" s="100"/>
      <c r="G530" s="85"/>
      <c r="H530" s="4" t="s">
        <v>456</v>
      </c>
      <c r="I530" s="9">
        <v>663</v>
      </c>
      <c r="J530" s="15">
        <v>7</v>
      </c>
      <c r="K530" s="15">
        <v>1</v>
      </c>
      <c r="L530" s="91" t="s">
        <v>442</v>
      </c>
      <c r="M530" s="92" t="s">
        <v>347</v>
      </c>
      <c r="N530" s="92" t="s">
        <v>365</v>
      </c>
      <c r="O530" s="92" t="s">
        <v>81</v>
      </c>
      <c r="P530" s="9">
        <v>610</v>
      </c>
      <c r="Q530" s="195">
        <f>130-47.4</f>
        <v>82.6</v>
      </c>
      <c r="R530" s="195">
        <v>130</v>
      </c>
      <c r="S530" s="195">
        <v>130</v>
      </c>
    </row>
    <row r="531" spans="1:19" ht="26.25" customHeight="1">
      <c r="A531" s="95"/>
      <c r="B531" s="94"/>
      <c r="C531" s="99"/>
      <c r="D531" s="97"/>
      <c r="E531" s="100"/>
      <c r="F531" s="100"/>
      <c r="G531" s="85"/>
      <c r="H531" s="188" t="s">
        <v>80</v>
      </c>
      <c r="I531" s="9">
        <v>663</v>
      </c>
      <c r="J531" s="15">
        <v>7</v>
      </c>
      <c r="K531" s="15">
        <v>1</v>
      </c>
      <c r="L531" s="91" t="s">
        <v>442</v>
      </c>
      <c r="M531" s="92" t="s">
        <v>347</v>
      </c>
      <c r="N531" s="92" t="s">
        <v>366</v>
      </c>
      <c r="O531" s="92" t="s">
        <v>392</v>
      </c>
      <c r="P531" s="9"/>
      <c r="Q531" s="195">
        <f aca="true" t="shared" si="58" ref="Q531:S532">Q532</f>
        <v>6.1</v>
      </c>
      <c r="R531" s="195">
        <f t="shared" si="58"/>
        <v>4.5</v>
      </c>
      <c r="S531" s="195">
        <f t="shared" si="58"/>
        <v>4.5</v>
      </c>
    </row>
    <row r="532" spans="1:19" ht="22.5" customHeight="1">
      <c r="A532" s="95"/>
      <c r="B532" s="94"/>
      <c r="C532" s="99"/>
      <c r="D532" s="97"/>
      <c r="E532" s="100"/>
      <c r="F532" s="100"/>
      <c r="G532" s="85"/>
      <c r="H532" s="17" t="s">
        <v>82</v>
      </c>
      <c r="I532" s="9">
        <v>663</v>
      </c>
      <c r="J532" s="15">
        <v>7</v>
      </c>
      <c r="K532" s="15">
        <v>1</v>
      </c>
      <c r="L532" s="91" t="s">
        <v>442</v>
      </c>
      <c r="M532" s="92" t="s">
        <v>347</v>
      </c>
      <c r="N532" s="92" t="s">
        <v>366</v>
      </c>
      <c r="O532" s="92" t="s">
        <v>81</v>
      </c>
      <c r="P532" s="9"/>
      <c r="Q532" s="195">
        <f t="shared" si="58"/>
        <v>6.1</v>
      </c>
      <c r="R532" s="195">
        <f t="shared" si="58"/>
        <v>4.5</v>
      </c>
      <c r="S532" s="195">
        <f t="shared" si="58"/>
        <v>4.5</v>
      </c>
    </row>
    <row r="533" spans="1:19" ht="22.5" customHeight="1">
      <c r="A533" s="95"/>
      <c r="B533" s="94"/>
      <c r="C533" s="99"/>
      <c r="D533" s="97"/>
      <c r="E533" s="100"/>
      <c r="F533" s="100"/>
      <c r="G533" s="85"/>
      <c r="H533" s="17" t="s">
        <v>456</v>
      </c>
      <c r="I533" s="9">
        <v>663</v>
      </c>
      <c r="J533" s="15">
        <v>7</v>
      </c>
      <c r="K533" s="15">
        <v>1</v>
      </c>
      <c r="L533" s="91" t="s">
        <v>442</v>
      </c>
      <c r="M533" s="92" t="s">
        <v>347</v>
      </c>
      <c r="N533" s="92" t="s">
        <v>366</v>
      </c>
      <c r="O533" s="92" t="s">
        <v>81</v>
      </c>
      <c r="P533" s="9">
        <v>610</v>
      </c>
      <c r="Q533" s="195">
        <f>4.5+1.6</f>
        <v>6.1</v>
      </c>
      <c r="R533" s="195">
        <v>4.5</v>
      </c>
      <c r="S533" s="195">
        <v>4.5</v>
      </c>
    </row>
    <row r="534" spans="1:19" ht="44.25" customHeight="1">
      <c r="A534" s="95"/>
      <c r="B534" s="94"/>
      <c r="C534" s="99"/>
      <c r="D534" s="97"/>
      <c r="E534" s="100"/>
      <c r="F534" s="100"/>
      <c r="G534" s="85"/>
      <c r="H534" s="17" t="s">
        <v>440</v>
      </c>
      <c r="I534" s="9">
        <v>663</v>
      </c>
      <c r="J534" s="15">
        <v>7</v>
      </c>
      <c r="K534" s="15">
        <v>1</v>
      </c>
      <c r="L534" s="91" t="s">
        <v>442</v>
      </c>
      <c r="M534" s="92" t="s">
        <v>347</v>
      </c>
      <c r="N534" s="92" t="s">
        <v>361</v>
      </c>
      <c r="O534" s="92" t="s">
        <v>392</v>
      </c>
      <c r="P534" s="9"/>
      <c r="Q534" s="195">
        <f aca="true" t="shared" si="59" ref="Q534:S535">Q535</f>
        <v>1.4000000000000004</v>
      </c>
      <c r="R534" s="195">
        <f t="shared" si="59"/>
        <v>9</v>
      </c>
      <c r="S534" s="195">
        <f t="shared" si="59"/>
        <v>9</v>
      </c>
    </row>
    <row r="535" spans="1:19" ht="29.25" customHeight="1">
      <c r="A535" s="95"/>
      <c r="B535" s="94"/>
      <c r="C535" s="99"/>
      <c r="D535" s="97"/>
      <c r="E535" s="100"/>
      <c r="F535" s="100"/>
      <c r="G535" s="85"/>
      <c r="H535" s="17" t="s">
        <v>90</v>
      </c>
      <c r="I535" s="9">
        <v>663</v>
      </c>
      <c r="J535" s="15">
        <v>7</v>
      </c>
      <c r="K535" s="15">
        <v>1</v>
      </c>
      <c r="L535" s="91" t="s">
        <v>442</v>
      </c>
      <c r="M535" s="92" t="s">
        <v>347</v>
      </c>
      <c r="N535" s="92" t="s">
        <v>361</v>
      </c>
      <c r="O535" s="92" t="s">
        <v>81</v>
      </c>
      <c r="P535" s="9"/>
      <c r="Q535" s="195">
        <f t="shared" si="59"/>
        <v>1.4000000000000004</v>
      </c>
      <c r="R535" s="195">
        <f t="shared" si="59"/>
        <v>9</v>
      </c>
      <c r="S535" s="195">
        <f t="shared" si="59"/>
        <v>9</v>
      </c>
    </row>
    <row r="536" spans="1:19" ht="32.25" customHeight="1">
      <c r="A536" s="95"/>
      <c r="B536" s="94"/>
      <c r="C536" s="99"/>
      <c r="D536" s="97"/>
      <c r="E536" s="100"/>
      <c r="F536" s="100"/>
      <c r="G536" s="85"/>
      <c r="H536" s="17" t="s">
        <v>456</v>
      </c>
      <c r="I536" s="9">
        <v>663</v>
      </c>
      <c r="J536" s="15">
        <v>7</v>
      </c>
      <c r="K536" s="15">
        <v>1</v>
      </c>
      <c r="L536" s="91" t="s">
        <v>442</v>
      </c>
      <c r="M536" s="92" t="s">
        <v>347</v>
      </c>
      <c r="N536" s="92" t="s">
        <v>361</v>
      </c>
      <c r="O536" s="92" t="s">
        <v>81</v>
      </c>
      <c r="P536" s="9">
        <v>610</v>
      </c>
      <c r="Q536" s="195">
        <f>9-7.6</f>
        <v>1.4000000000000004</v>
      </c>
      <c r="R536" s="195">
        <v>9</v>
      </c>
      <c r="S536" s="195">
        <v>9</v>
      </c>
    </row>
    <row r="537" spans="1:19" ht="41.25" customHeight="1">
      <c r="A537" s="95"/>
      <c r="B537" s="94"/>
      <c r="C537" s="99"/>
      <c r="D537" s="97"/>
      <c r="E537" s="100"/>
      <c r="F537" s="100"/>
      <c r="G537" s="85"/>
      <c r="H537" s="223" t="s">
        <v>649</v>
      </c>
      <c r="I537" s="9">
        <v>663</v>
      </c>
      <c r="J537" s="15">
        <v>7</v>
      </c>
      <c r="K537" s="15">
        <v>1</v>
      </c>
      <c r="L537" s="91" t="s">
        <v>60</v>
      </c>
      <c r="M537" s="92" t="s">
        <v>347</v>
      </c>
      <c r="N537" s="92" t="s">
        <v>357</v>
      </c>
      <c r="O537" s="92" t="s">
        <v>392</v>
      </c>
      <c r="P537" s="9"/>
      <c r="Q537" s="195">
        <f>Q538+Q545</f>
        <v>79448.59999999999</v>
      </c>
      <c r="R537" s="195">
        <f>R538+R545</f>
        <v>78752.4</v>
      </c>
      <c r="S537" s="195">
        <f>S538+S545</f>
        <v>78752.29999999999</v>
      </c>
    </row>
    <row r="538" spans="1:19" ht="27" customHeight="1">
      <c r="A538" s="95"/>
      <c r="B538" s="94"/>
      <c r="C538" s="99"/>
      <c r="D538" s="97"/>
      <c r="E538" s="100"/>
      <c r="F538" s="100"/>
      <c r="G538" s="85"/>
      <c r="H538" s="224" t="s">
        <v>406</v>
      </c>
      <c r="I538" s="9">
        <v>663</v>
      </c>
      <c r="J538" s="15">
        <v>7</v>
      </c>
      <c r="K538" s="15">
        <v>1</v>
      </c>
      <c r="L538" s="91" t="s">
        <v>60</v>
      </c>
      <c r="M538" s="92" t="s">
        <v>347</v>
      </c>
      <c r="N538" s="92" t="s">
        <v>348</v>
      </c>
      <c r="O538" s="92" t="s">
        <v>392</v>
      </c>
      <c r="P538" s="9"/>
      <c r="Q538" s="195">
        <f>Q539+Q543+Q541</f>
        <v>78752.2</v>
      </c>
      <c r="R538" s="195">
        <f>R539+R543+R541</f>
        <v>78752.4</v>
      </c>
      <c r="S538" s="195">
        <f>S539+S543+S541</f>
        <v>78752.29999999999</v>
      </c>
    </row>
    <row r="539" spans="1:19" ht="24.75" customHeight="1">
      <c r="A539" s="95"/>
      <c r="B539" s="94"/>
      <c r="C539" s="99"/>
      <c r="D539" s="97"/>
      <c r="E539" s="100"/>
      <c r="F539" s="100"/>
      <c r="G539" s="85"/>
      <c r="H539" s="2" t="s">
        <v>90</v>
      </c>
      <c r="I539" s="9">
        <v>663</v>
      </c>
      <c r="J539" s="15">
        <v>7</v>
      </c>
      <c r="K539" s="15">
        <v>1</v>
      </c>
      <c r="L539" s="91" t="s">
        <v>60</v>
      </c>
      <c r="M539" s="92" t="s">
        <v>347</v>
      </c>
      <c r="N539" s="92" t="s">
        <v>348</v>
      </c>
      <c r="O539" s="92" t="s">
        <v>81</v>
      </c>
      <c r="P539" s="9"/>
      <c r="Q539" s="195">
        <f>Q540</f>
        <v>16216.5</v>
      </c>
      <c r="R539" s="195">
        <f>R540</f>
        <v>17764.6</v>
      </c>
      <c r="S539" s="195">
        <f>S540</f>
        <v>17764.5</v>
      </c>
    </row>
    <row r="540" spans="1:19" ht="25.5" customHeight="1">
      <c r="A540" s="95"/>
      <c r="B540" s="94"/>
      <c r="C540" s="99"/>
      <c r="D540" s="97"/>
      <c r="E540" s="100"/>
      <c r="F540" s="100"/>
      <c r="G540" s="85"/>
      <c r="H540" s="2" t="s">
        <v>456</v>
      </c>
      <c r="I540" s="9">
        <v>663</v>
      </c>
      <c r="J540" s="15">
        <v>7</v>
      </c>
      <c r="K540" s="15">
        <v>1</v>
      </c>
      <c r="L540" s="91" t="s">
        <v>60</v>
      </c>
      <c r="M540" s="92" t="s">
        <v>347</v>
      </c>
      <c r="N540" s="92" t="s">
        <v>348</v>
      </c>
      <c r="O540" s="92" t="s">
        <v>81</v>
      </c>
      <c r="P540" s="9">
        <v>610</v>
      </c>
      <c r="Q540" s="195">
        <f>12764.6+315.9+984.5+83.3+50.2-33.6+982.2+1095.9-200+57+116.5</f>
        <v>16216.5</v>
      </c>
      <c r="R540" s="195">
        <v>17764.6</v>
      </c>
      <c r="S540" s="195">
        <v>17764.5</v>
      </c>
    </row>
    <row r="541" spans="1:19" ht="36.75" customHeight="1">
      <c r="A541" s="95"/>
      <c r="B541" s="94"/>
      <c r="C541" s="99"/>
      <c r="D541" s="97"/>
      <c r="E541" s="100"/>
      <c r="F541" s="100"/>
      <c r="G541" s="85"/>
      <c r="H541" s="263" t="s">
        <v>595</v>
      </c>
      <c r="I541" s="9">
        <v>663</v>
      </c>
      <c r="J541" s="15">
        <v>7</v>
      </c>
      <c r="K541" s="15">
        <v>1</v>
      </c>
      <c r="L541" s="91" t="s">
        <v>60</v>
      </c>
      <c r="M541" s="92" t="s">
        <v>347</v>
      </c>
      <c r="N541" s="92" t="s">
        <v>348</v>
      </c>
      <c r="O541" s="92" t="s">
        <v>594</v>
      </c>
      <c r="P541" s="9"/>
      <c r="Q541" s="195">
        <f>Q542</f>
        <v>4887.799999999999</v>
      </c>
      <c r="R541" s="195">
        <f>R542</f>
        <v>4477.9</v>
      </c>
      <c r="S541" s="195">
        <f>S542</f>
        <v>4477.9</v>
      </c>
    </row>
    <row r="542" spans="1:19" ht="25.5" customHeight="1">
      <c r="A542" s="95"/>
      <c r="B542" s="94"/>
      <c r="C542" s="99"/>
      <c r="D542" s="97"/>
      <c r="E542" s="100"/>
      <c r="F542" s="100"/>
      <c r="G542" s="85"/>
      <c r="H542" s="2" t="s">
        <v>456</v>
      </c>
      <c r="I542" s="9">
        <v>663</v>
      </c>
      <c r="J542" s="15">
        <v>7</v>
      </c>
      <c r="K542" s="15">
        <v>1</v>
      </c>
      <c r="L542" s="91" t="s">
        <v>60</v>
      </c>
      <c r="M542" s="92" t="s">
        <v>347</v>
      </c>
      <c r="N542" s="92" t="s">
        <v>348</v>
      </c>
      <c r="O542" s="92" t="s">
        <v>594</v>
      </c>
      <c r="P542" s="9">
        <v>610</v>
      </c>
      <c r="Q542" s="195">
        <f>4477.9+409.9</f>
        <v>4887.799999999999</v>
      </c>
      <c r="R542" s="195">
        <v>4477.9</v>
      </c>
      <c r="S542" s="195">
        <v>4477.9</v>
      </c>
    </row>
    <row r="543" spans="1:19" ht="39" customHeight="1">
      <c r="A543" s="95"/>
      <c r="B543" s="94"/>
      <c r="C543" s="99"/>
      <c r="D543" s="97"/>
      <c r="E543" s="100"/>
      <c r="F543" s="100"/>
      <c r="G543" s="85"/>
      <c r="H543" s="225" t="s">
        <v>92</v>
      </c>
      <c r="I543" s="9">
        <v>663</v>
      </c>
      <c r="J543" s="15">
        <v>7</v>
      </c>
      <c r="K543" s="15">
        <v>1</v>
      </c>
      <c r="L543" s="91" t="s">
        <v>60</v>
      </c>
      <c r="M543" s="92" t="s">
        <v>347</v>
      </c>
      <c r="N543" s="92" t="s">
        <v>348</v>
      </c>
      <c r="O543" s="92" t="s">
        <v>91</v>
      </c>
      <c r="P543" s="9"/>
      <c r="Q543" s="195">
        <f>Q544</f>
        <v>57647.9</v>
      </c>
      <c r="R543" s="195">
        <f>R544</f>
        <v>56509.9</v>
      </c>
      <c r="S543" s="195">
        <f>S544</f>
        <v>56509.9</v>
      </c>
    </row>
    <row r="544" spans="1:19" ht="23.25" customHeight="1">
      <c r="A544" s="95"/>
      <c r="B544" s="94"/>
      <c r="C544" s="99"/>
      <c r="D544" s="97"/>
      <c r="E544" s="100"/>
      <c r="F544" s="100"/>
      <c r="G544" s="85"/>
      <c r="H544" s="225" t="s">
        <v>456</v>
      </c>
      <c r="I544" s="9">
        <v>663</v>
      </c>
      <c r="J544" s="15">
        <v>7</v>
      </c>
      <c r="K544" s="15">
        <v>1</v>
      </c>
      <c r="L544" s="91" t="s">
        <v>60</v>
      </c>
      <c r="M544" s="92" t="s">
        <v>347</v>
      </c>
      <c r="N544" s="92" t="s">
        <v>348</v>
      </c>
      <c r="O544" s="92" t="s">
        <v>91</v>
      </c>
      <c r="P544" s="9">
        <v>610</v>
      </c>
      <c r="Q544" s="195">
        <f>56509.9+569+569</f>
        <v>57647.9</v>
      </c>
      <c r="R544" s="195">
        <v>56509.9</v>
      </c>
      <c r="S544" s="195">
        <v>56509.9</v>
      </c>
    </row>
    <row r="545" spans="1:19" ht="23.25" customHeight="1">
      <c r="A545" s="95"/>
      <c r="B545" s="94"/>
      <c r="C545" s="99"/>
      <c r="D545" s="97"/>
      <c r="E545" s="100"/>
      <c r="F545" s="100"/>
      <c r="G545" s="85"/>
      <c r="H545" s="2" t="s">
        <v>520</v>
      </c>
      <c r="I545" s="9">
        <v>663</v>
      </c>
      <c r="J545" s="15">
        <v>7</v>
      </c>
      <c r="K545" s="15">
        <v>1</v>
      </c>
      <c r="L545" s="91" t="s">
        <v>60</v>
      </c>
      <c r="M545" s="92" t="s">
        <v>347</v>
      </c>
      <c r="N545" s="92" t="s">
        <v>350</v>
      </c>
      <c r="O545" s="92" t="s">
        <v>392</v>
      </c>
      <c r="P545" s="9"/>
      <c r="Q545" s="195">
        <f aca="true" t="shared" si="60" ref="Q545:S546">Q546</f>
        <v>696.4</v>
      </c>
      <c r="R545" s="195">
        <f t="shared" si="60"/>
        <v>0</v>
      </c>
      <c r="S545" s="195">
        <f t="shared" si="60"/>
        <v>0</v>
      </c>
    </row>
    <row r="546" spans="1:19" ht="30.75" customHeight="1">
      <c r="A546" s="95"/>
      <c r="B546" s="94"/>
      <c r="C546" s="99"/>
      <c r="D546" s="97"/>
      <c r="E546" s="100"/>
      <c r="F546" s="100"/>
      <c r="G546" s="85"/>
      <c r="H546" s="2" t="s">
        <v>90</v>
      </c>
      <c r="I546" s="9">
        <v>663</v>
      </c>
      <c r="J546" s="15">
        <v>7</v>
      </c>
      <c r="K546" s="15">
        <v>1</v>
      </c>
      <c r="L546" s="91" t="s">
        <v>60</v>
      </c>
      <c r="M546" s="92" t="s">
        <v>347</v>
      </c>
      <c r="N546" s="92" t="s">
        <v>350</v>
      </c>
      <c r="O546" s="92" t="s">
        <v>81</v>
      </c>
      <c r="P546" s="9"/>
      <c r="Q546" s="195">
        <f t="shared" si="60"/>
        <v>696.4</v>
      </c>
      <c r="R546" s="195">
        <f t="shared" si="60"/>
        <v>0</v>
      </c>
      <c r="S546" s="195">
        <f t="shared" si="60"/>
        <v>0</v>
      </c>
    </row>
    <row r="547" spans="1:19" ht="27.75" customHeight="1">
      <c r="A547" s="95"/>
      <c r="B547" s="94"/>
      <c r="C547" s="99"/>
      <c r="D547" s="97"/>
      <c r="E547" s="100"/>
      <c r="F547" s="100"/>
      <c r="G547" s="85"/>
      <c r="H547" s="2" t="s">
        <v>456</v>
      </c>
      <c r="I547" s="9">
        <v>663</v>
      </c>
      <c r="J547" s="15">
        <v>7</v>
      </c>
      <c r="K547" s="15">
        <v>1</v>
      </c>
      <c r="L547" s="91" t="s">
        <v>60</v>
      </c>
      <c r="M547" s="92" t="s">
        <v>347</v>
      </c>
      <c r="N547" s="92" t="s">
        <v>350</v>
      </c>
      <c r="O547" s="92" t="s">
        <v>81</v>
      </c>
      <c r="P547" s="9">
        <v>610</v>
      </c>
      <c r="Q547" s="195">
        <f>300+540-540+540-350+6.4+200</f>
        <v>696.4</v>
      </c>
      <c r="R547" s="195">
        <v>0</v>
      </c>
      <c r="S547" s="195">
        <v>0</v>
      </c>
    </row>
    <row r="548" spans="1:19" s="171" customFormat="1" ht="27" customHeight="1">
      <c r="A548" s="135"/>
      <c r="B548" s="136"/>
      <c r="C548" s="146"/>
      <c r="D548" s="143"/>
      <c r="E548" s="138"/>
      <c r="F548" s="138"/>
      <c r="G548" s="129"/>
      <c r="H548" s="142" t="s">
        <v>330</v>
      </c>
      <c r="I548" s="131">
        <v>663</v>
      </c>
      <c r="J548" s="132">
        <v>7</v>
      </c>
      <c r="K548" s="132">
        <v>2</v>
      </c>
      <c r="L548" s="132"/>
      <c r="M548" s="134" t="s">
        <v>393</v>
      </c>
      <c r="N548" s="134"/>
      <c r="O548" s="134"/>
      <c r="P548" s="131"/>
      <c r="Q548" s="226">
        <f>Q562+Q549</f>
        <v>180227.80000000005</v>
      </c>
      <c r="R548" s="226">
        <f>R562+R549</f>
        <v>170979.40000000002</v>
      </c>
      <c r="S548" s="226">
        <f>S562+S549</f>
        <v>174259.8</v>
      </c>
    </row>
    <row r="549" spans="1:19" ht="30.75" customHeight="1">
      <c r="A549" s="95"/>
      <c r="B549" s="94"/>
      <c r="C549" s="99"/>
      <c r="D549" s="97"/>
      <c r="E549" s="100"/>
      <c r="F549" s="100"/>
      <c r="G549" s="85"/>
      <c r="H549" s="4" t="s">
        <v>865</v>
      </c>
      <c r="I549" s="9">
        <v>663</v>
      </c>
      <c r="J549" s="15">
        <v>7</v>
      </c>
      <c r="K549" s="15">
        <v>2</v>
      </c>
      <c r="L549" s="91" t="s">
        <v>442</v>
      </c>
      <c r="M549" s="92" t="s">
        <v>347</v>
      </c>
      <c r="N549" s="92" t="s">
        <v>357</v>
      </c>
      <c r="O549" s="92" t="s">
        <v>392</v>
      </c>
      <c r="P549" s="9"/>
      <c r="Q549" s="195">
        <f>Q550+Q553+Q556+Q559</f>
        <v>155.2</v>
      </c>
      <c r="R549" s="195">
        <f>R550+R553+R556+R559</f>
        <v>205.5</v>
      </c>
      <c r="S549" s="195">
        <f>S550+S553+S556+S559</f>
        <v>205.5</v>
      </c>
    </row>
    <row r="550" spans="1:19" ht="34.5" customHeight="1" hidden="1">
      <c r="A550" s="95"/>
      <c r="B550" s="94"/>
      <c r="C550" s="99"/>
      <c r="D550" s="97"/>
      <c r="E550" s="100"/>
      <c r="F550" s="100"/>
      <c r="G550" s="85"/>
      <c r="H550" s="17" t="s">
        <v>84</v>
      </c>
      <c r="I550" s="9">
        <v>663</v>
      </c>
      <c r="J550" s="15">
        <v>7</v>
      </c>
      <c r="K550" s="15">
        <v>2</v>
      </c>
      <c r="L550" s="91" t="s">
        <v>442</v>
      </c>
      <c r="M550" s="92" t="s">
        <v>347</v>
      </c>
      <c r="N550" s="92" t="s">
        <v>365</v>
      </c>
      <c r="O550" s="92" t="s">
        <v>392</v>
      </c>
      <c r="P550" s="9"/>
      <c r="Q550" s="195">
        <f aca="true" t="shared" si="61" ref="Q550:S551">Q551</f>
        <v>0</v>
      </c>
      <c r="R550" s="195">
        <f t="shared" si="61"/>
        <v>0</v>
      </c>
      <c r="S550" s="195">
        <f t="shared" si="61"/>
        <v>0</v>
      </c>
    </row>
    <row r="551" spans="1:19" ht="24.75" customHeight="1" hidden="1">
      <c r="A551" s="95"/>
      <c r="B551" s="94"/>
      <c r="C551" s="99"/>
      <c r="D551" s="97"/>
      <c r="E551" s="100"/>
      <c r="F551" s="100"/>
      <c r="G551" s="85"/>
      <c r="H551" s="17" t="s">
        <v>85</v>
      </c>
      <c r="I551" s="9">
        <v>663</v>
      </c>
      <c r="J551" s="15">
        <v>7</v>
      </c>
      <c r="K551" s="15">
        <v>2</v>
      </c>
      <c r="L551" s="91" t="s">
        <v>442</v>
      </c>
      <c r="M551" s="92" t="s">
        <v>347</v>
      </c>
      <c r="N551" s="92" t="s">
        <v>365</v>
      </c>
      <c r="O551" s="92" t="s">
        <v>83</v>
      </c>
      <c r="P551" s="9"/>
      <c r="Q551" s="195">
        <f t="shared" si="61"/>
        <v>0</v>
      </c>
      <c r="R551" s="195">
        <f t="shared" si="61"/>
        <v>0</v>
      </c>
      <c r="S551" s="195">
        <f t="shared" si="61"/>
        <v>0</v>
      </c>
    </row>
    <row r="552" spans="1:19" ht="24.75" customHeight="1" hidden="1">
      <c r="A552" s="95"/>
      <c r="B552" s="94"/>
      <c r="C552" s="99"/>
      <c r="D552" s="97"/>
      <c r="E552" s="100"/>
      <c r="F552" s="100"/>
      <c r="G552" s="85"/>
      <c r="H552" s="17" t="s">
        <v>456</v>
      </c>
      <c r="I552" s="9">
        <v>663</v>
      </c>
      <c r="J552" s="15">
        <v>7</v>
      </c>
      <c r="K552" s="15">
        <v>2</v>
      </c>
      <c r="L552" s="91" t="s">
        <v>442</v>
      </c>
      <c r="M552" s="92" t="s">
        <v>347</v>
      </c>
      <c r="N552" s="92" t="s">
        <v>365</v>
      </c>
      <c r="O552" s="92" t="s">
        <v>83</v>
      </c>
      <c r="P552" s="9">
        <v>610</v>
      </c>
      <c r="Q552" s="195">
        <f>9-9</f>
        <v>0</v>
      </c>
      <c r="R552" s="195">
        <v>0</v>
      </c>
      <c r="S552" s="195">
        <v>0</v>
      </c>
    </row>
    <row r="553" spans="1:19" ht="30" customHeight="1">
      <c r="A553" s="95"/>
      <c r="B553" s="94"/>
      <c r="C553" s="99"/>
      <c r="D553" s="97"/>
      <c r="E553" s="100"/>
      <c r="F553" s="100"/>
      <c r="G553" s="85"/>
      <c r="H553" s="4" t="s">
        <v>86</v>
      </c>
      <c r="I553" s="9">
        <v>663</v>
      </c>
      <c r="J553" s="15">
        <v>7</v>
      </c>
      <c r="K553" s="15">
        <v>2</v>
      </c>
      <c r="L553" s="91" t="s">
        <v>442</v>
      </c>
      <c r="M553" s="92" t="s">
        <v>347</v>
      </c>
      <c r="N553" s="92" t="s">
        <v>366</v>
      </c>
      <c r="O553" s="92" t="s">
        <v>392</v>
      </c>
      <c r="P553" s="9"/>
      <c r="Q553" s="195">
        <f aca="true" t="shared" si="62" ref="Q553:S554">Q554</f>
        <v>43.7</v>
      </c>
      <c r="R553" s="195">
        <f t="shared" si="62"/>
        <v>12.5</v>
      </c>
      <c r="S553" s="195">
        <f t="shared" si="62"/>
        <v>12.5</v>
      </c>
    </row>
    <row r="554" spans="1:19" ht="30" customHeight="1">
      <c r="A554" s="95"/>
      <c r="B554" s="94"/>
      <c r="C554" s="99"/>
      <c r="D554" s="97"/>
      <c r="E554" s="100"/>
      <c r="F554" s="100"/>
      <c r="G554" s="85"/>
      <c r="H554" s="4" t="s">
        <v>85</v>
      </c>
      <c r="I554" s="9">
        <v>663</v>
      </c>
      <c r="J554" s="15">
        <v>7</v>
      </c>
      <c r="K554" s="15">
        <v>2</v>
      </c>
      <c r="L554" s="91" t="s">
        <v>442</v>
      </c>
      <c r="M554" s="92" t="s">
        <v>347</v>
      </c>
      <c r="N554" s="92" t="s">
        <v>366</v>
      </c>
      <c r="O554" s="92" t="s">
        <v>83</v>
      </c>
      <c r="P554" s="9"/>
      <c r="Q554" s="195">
        <f t="shared" si="62"/>
        <v>43.7</v>
      </c>
      <c r="R554" s="195">
        <f t="shared" si="62"/>
        <v>12.5</v>
      </c>
      <c r="S554" s="195">
        <f t="shared" si="62"/>
        <v>12.5</v>
      </c>
    </row>
    <row r="555" spans="1:19" ht="30" customHeight="1">
      <c r="A555" s="95"/>
      <c r="B555" s="94"/>
      <c r="C555" s="99"/>
      <c r="D555" s="97"/>
      <c r="E555" s="100"/>
      <c r="F555" s="100"/>
      <c r="G555" s="85"/>
      <c r="H555" s="4" t="s">
        <v>456</v>
      </c>
      <c r="I555" s="9">
        <v>663</v>
      </c>
      <c r="J555" s="15">
        <v>7</v>
      </c>
      <c r="K555" s="15">
        <v>2</v>
      </c>
      <c r="L555" s="91" t="s">
        <v>442</v>
      </c>
      <c r="M555" s="92" t="s">
        <v>347</v>
      </c>
      <c r="N555" s="92" t="s">
        <v>366</v>
      </c>
      <c r="O555" s="92" t="s">
        <v>83</v>
      </c>
      <c r="P555" s="9">
        <v>610</v>
      </c>
      <c r="Q555" s="195">
        <f>12.5+31.2</f>
        <v>43.7</v>
      </c>
      <c r="R555" s="195">
        <v>12.5</v>
      </c>
      <c r="S555" s="195">
        <v>12.5</v>
      </c>
    </row>
    <row r="556" spans="1:19" ht="41.25" customHeight="1">
      <c r="A556" s="95"/>
      <c r="B556" s="94"/>
      <c r="C556" s="99"/>
      <c r="D556" s="97"/>
      <c r="E556" s="100"/>
      <c r="F556" s="100"/>
      <c r="G556" s="85"/>
      <c r="H556" s="4" t="s">
        <v>440</v>
      </c>
      <c r="I556" s="9">
        <v>663</v>
      </c>
      <c r="J556" s="15">
        <v>7</v>
      </c>
      <c r="K556" s="15">
        <v>2</v>
      </c>
      <c r="L556" s="91" t="s">
        <v>442</v>
      </c>
      <c r="M556" s="92" t="s">
        <v>347</v>
      </c>
      <c r="N556" s="92" t="s">
        <v>361</v>
      </c>
      <c r="O556" s="92" t="s">
        <v>392</v>
      </c>
      <c r="P556" s="9"/>
      <c r="Q556" s="195">
        <f aca="true" t="shared" si="63" ref="Q556:S557">Q557</f>
        <v>34.3</v>
      </c>
      <c r="R556" s="195">
        <f t="shared" si="63"/>
        <v>68</v>
      </c>
      <c r="S556" s="195">
        <f t="shared" si="63"/>
        <v>68</v>
      </c>
    </row>
    <row r="557" spans="1:19" ht="28.5" customHeight="1">
      <c r="A557" s="95"/>
      <c r="B557" s="94"/>
      <c r="C557" s="99"/>
      <c r="D557" s="97"/>
      <c r="E557" s="100"/>
      <c r="F557" s="100"/>
      <c r="G557" s="85"/>
      <c r="H557" s="4" t="s">
        <v>85</v>
      </c>
      <c r="I557" s="9">
        <v>663</v>
      </c>
      <c r="J557" s="15">
        <v>7</v>
      </c>
      <c r="K557" s="15">
        <v>2</v>
      </c>
      <c r="L557" s="91" t="s">
        <v>442</v>
      </c>
      <c r="M557" s="92" t="s">
        <v>347</v>
      </c>
      <c r="N557" s="92" t="s">
        <v>361</v>
      </c>
      <c r="O557" s="92" t="s">
        <v>83</v>
      </c>
      <c r="P557" s="9"/>
      <c r="Q557" s="195">
        <f t="shared" si="63"/>
        <v>34.3</v>
      </c>
      <c r="R557" s="195">
        <f t="shared" si="63"/>
        <v>68</v>
      </c>
      <c r="S557" s="195">
        <f t="shared" si="63"/>
        <v>68</v>
      </c>
    </row>
    <row r="558" spans="1:19" ht="30" customHeight="1">
      <c r="A558" s="95"/>
      <c r="B558" s="94"/>
      <c r="C558" s="99"/>
      <c r="D558" s="97"/>
      <c r="E558" s="100"/>
      <c r="F558" s="100"/>
      <c r="G558" s="85"/>
      <c r="H558" s="4" t="s">
        <v>456</v>
      </c>
      <c r="I558" s="9">
        <v>663</v>
      </c>
      <c r="J558" s="15">
        <v>7</v>
      </c>
      <c r="K558" s="15">
        <v>2</v>
      </c>
      <c r="L558" s="91" t="s">
        <v>442</v>
      </c>
      <c r="M558" s="92" t="s">
        <v>347</v>
      </c>
      <c r="N558" s="92" t="s">
        <v>361</v>
      </c>
      <c r="O558" s="92" t="s">
        <v>83</v>
      </c>
      <c r="P558" s="9">
        <v>610</v>
      </c>
      <c r="Q558" s="195">
        <f>68-1.3-42.1+19-9.3</f>
        <v>34.3</v>
      </c>
      <c r="R558" s="195">
        <v>68</v>
      </c>
      <c r="S558" s="195">
        <v>68</v>
      </c>
    </row>
    <row r="559" spans="1:19" ht="41.25" customHeight="1">
      <c r="A559" s="95"/>
      <c r="B559" s="94"/>
      <c r="C559" s="99"/>
      <c r="D559" s="97"/>
      <c r="E559" s="100"/>
      <c r="F559" s="100"/>
      <c r="G559" s="85"/>
      <c r="H559" s="113" t="s">
        <v>13</v>
      </c>
      <c r="I559" s="9">
        <v>663</v>
      </c>
      <c r="J559" s="15">
        <v>7</v>
      </c>
      <c r="K559" s="15">
        <v>2</v>
      </c>
      <c r="L559" s="91" t="s">
        <v>442</v>
      </c>
      <c r="M559" s="92" t="s">
        <v>347</v>
      </c>
      <c r="N559" s="92" t="s">
        <v>350</v>
      </c>
      <c r="O559" s="92" t="s">
        <v>392</v>
      </c>
      <c r="P559" s="9"/>
      <c r="Q559" s="195">
        <f aca="true" t="shared" si="64" ref="Q559:S560">Q560</f>
        <v>77.2</v>
      </c>
      <c r="R559" s="195">
        <f t="shared" si="64"/>
        <v>125</v>
      </c>
      <c r="S559" s="195">
        <f t="shared" si="64"/>
        <v>125</v>
      </c>
    </row>
    <row r="560" spans="1:19" ht="25.5" customHeight="1">
      <c r="A560" s="95"/>
      <c r="B560" s="94"/>
      <c r="C560" s="99"/>
      <c r="D560" s="97"/>
      <c r="E560" s="100"/>
      <c r="F560" s="100"/>
      <c r="G560" s="85"/>
      <c r="H560" s="4" t="s">
        <v>85</v>
      </c>
      <c r="I560" s="9">
        <v>663</v>
      </c>
      <c r="J560" s="15">
        <v>7</v>
      </c>
      <c r="K560" s="15">
        <v>2</v>
      </c>
      <c r="L560" s="91" t="s">
        <v>442</v>
      </c>
      <c r="M560" s="92" t="s">
        <v>347</v>
      </c>
      <c r="N560" s="92" t="s">
        <v>350</v>
      </c>
      <c r="O560" s="92" t="s">
        <v>83</v>
      </c>
      <c r="P560" s="9"/>
      <c r="Q560" s="195">
        <f t="shared" si="64"/>
        <v>77.2</v>
      </c>
      <c r="R560" s="195">
        <f t="shared" si="64"/>
        <v>125</v>
      </c>
      <c r="S560" s="195">
        <f t="shared" si="64"/>
        <v>125</v>
      </c>
    </row>
    <row r="561" spans="1:19" ht="27" customHeight="1">
      <c r="A561" s="95"/>
      <c r="B561" s="94"/>
      <c r="C561" s="99"/>
      <c r="D561" s="97"/>
      <c r="E561" s="100"/>
      <c r="F561" s="100"/>
      <c r="G561" s="85"/>
      <c r="H561" s="4" t="s">
        <v>456</v>
      </c>
      <c r="I561" s="9">
        <v>663</v>
      </c>
      <c r="J561" s="15">
        <v>7</v>
      </c>
      <c r="K561" s="15">
        <v>2</v>
      </c>
      <c r="L561" s="91" t="s">
        <v>442</v>
      </c>
      <c r="M561" s="92" t="s">
        <v>347</v>
      </c>
      <c r="N561" s="92" t="s">
        <v>350</v>
      </c>
      <c r="O561" s="92" t="s">
        <v>83</v>
      </c>
      <c r="P561" s="9">
        <v>610</v>
      </c>
      <c r="Q561" s="195">
        <f>125-40+1-8.8</f>
        <v>77.2</v>
      </c>
      <c r="R561" s="195">
        <v>125</v>
      </c>
      <c r="S561" s="195">
        <v>125</v>
      </c>
    </row>
    <row r="562" spans="1:19" ht="30" customHeight="1">
      <c r="A562" s="95"/>
      <c r="B562" s="94"/>
      <c r="C562" s="99"/>
      <c r="D562" s="97"/>
      <c r="E562" s="100"/>
      <c r="F562" s="100"/>
      <c r="G562" s="85"/>
      <c r="H562" s="223" t="s">
        <v>649</v>
      </c>
      <c r="I562" s="9">
        <v>663</v>
      </c>
      <c r="J562" s="15">
        <v>7</v>
      </c>
      <c r="K562" s="15">
        <v>2</v>
      </c>
      <c r="L562" s="91" t="s">
        <v>60</v>
      </c>
      <c r="M562" s="92" t="s">
        <v>347</v>
      </c>
      <c r="N562" s="92" t="s">
        <v>357</v>
      </c>
      <c r="O562" s="92" t="s">
        <v>392</v>
      </c>
      <c r="P562" s="9"/>
      <c r="Q562" s="195">
        <f>Q563+Q566+Q580+Q583+Q590+Q593</f>
        <v>180072.60000000003</v>
      </c>
      <c r="R562" s="195">
        <f>R563+R566+R580+R583+R590+R593</f>
        <v>170773.90000000002</v>
      </c>
      <c r="S562" s="195">
        <f>S563+S566+S580+S583+S590+S593</f>
        <v>174054.3</v>
      </c>
    </row>
    <row r="563" spans="1:19" ht="30" customHeight="1">
      <c r="A563" s="95"/>
      <c r="B563" s="94"/>
      <c r="C563" s="99"/>
      <c r="D563" s="97"/>
      <c r="E563" s="100"/>
      <c r="F563" s="100"/>
      <c r="G563" s="85"/>
      <c r="H563" s="53" t="s">
        <v>406</v>
      </c>
      <c r="I563" s="9">
        <v>663</v>
      </c>
      <c r="J563" s="15">
        <v>7</v>
      </c>
      <c r="K563" s="15">
        <v>2</v>
      </c>
      <c r="L563" s="91" t="s">
        <v>60</v>
      </c>
      <c r="M563" s="92" t="s">
        <v>347</v>
      </c>
      <c r="N563" s="92" t="s">
        <v>348</v>
      </c>
      <c r="O563" s="92" t="s">
        <v>392</v>
      </c>
      <c r="P563" s="9"/>
      <c r="Q563" s="195">
        <f aca="true" t="shared" si="65" ref="Q563:S564">Q564</f>
        <v>172.5</v>
      </c>
      <c r="R563" s="195">
        <f t="shared" si="65"/>
        <v>172.5</v>
      </c>
      <c r="S563" s="195">
        <f t="shared" si="65"/>
        <v>172.5</v>
      </c>
    </row>
    <row r="564" spans="1:19" ht="24.75" customHeight="1">
      <c r="A564" s="95"/>
      <c r="B564" s="94"/>
      <c r="C564" s="99"/>
      <c r="D564" s="97"/>
      <c r="E564" s="100"/>
      <c r="F564" s="100"/>
      <c r="G564" s="85"/>
      <c r="H564" s="224" t="s">
        <v>93</v>
      </c>
      <c r="I564" s="9">
        <v>663</v>
      </c>
      <c r="J564" s="15">
        <v>7</v>
      </c>
      <c r="K564" s="15">
        <v>2</v>
      </c>
      <c r="L564" s="91" t="s">
        <v>60</v>
      </c>
      <c r="M564" s="92" t="s">
        <v>347</v>
      </c>
      <c r="N564" s="92" t="s">
        <v>348</v>
      </c>
      <c r="O564" s="92" t="s">
        <v>83</v>
      </c>
      <c r="P564" s="9"/>
      <c r="Q564" s="195">
        <f t="shared" si="65"/>
        <v>172.5</v>
      </c>
      <c r="R564" s="195">
        <f t="shared" si="65"/>
        <v>172.5</v>
      </c>
      <c r="S564" s="195">
        <f t="shared" si="65"/>
        <v>172.5</v>
      </c>
    </row>
    <row r="565" spans="1:19" ht="24.75" customHeight="1">
      <c r="A565" s="95"/>
      <c r="B565" s="94"/>
      <c r="C565" s="99"/>
      <c r="D565" s="97"/>
      <c r="E565" s="100"/>
      <c r="F565" s="100"/>
      <c r="G565" s="85"/>
      <c r="H565" s="224" t="s">
        <v>456</v>
      </c>
      <c r="I565" s="9">
        <v>663</v>
      </c>
      <c r="J565" s="15">
        <v>7</v>
      </c>
      <c r="K565" s="15">
        <v>2</v>
      </c>
      <c r="L565" s="91" t="s">
        <v>60</v>
      </c>
      <c r="M565" s="92" t="s">
        <v>347</v>
      </c>
      <c r="N565" s="92" t="s">
        <v>348</v>
      </c>
      <c r="O565" s="92" t="s">
        <v>83</v>
      </c>
      <c r="P565" s="9">
        <v>610</v>
      </c>
      <c r="Q565" s="195">
        <v>172.5</v>
      </c>
      <c r="R565" s="195">
        <v>172.5</v>
      </c>
      <c r="S565" s="195">
        <v>172.5</v>
      </c>
    </row>
    <row r="566" spans="1:19" ht="27" customHeight="1">
      <c r="A566" s="95"/>
      <c r="B566" s="94"/>
      <c r="C566" s="99"/>
      <c r="D566" s="97"/>
      <c r="E566" s="100"/>
      <c r="F566" s="100"/>
      <c r="G566" s="85"/>
      <c r="H566" s="17" t="s">
        <v>407</v>
      </c>
      <c r="I566" s="5">
        <v>663</v>
      </c>
      <c r="J566" s="18">
        <v>7</v>
      </c>
      <c r="K566" s="15">
        <v>2</v>
      </c>
      <c r="L566" s="91" t="s">
        <v>60</v>
      </c>
      <c r="M566" s="92" t="s">
        <v>347</v>
      </c>
      <c r="N566" s="92" t="s">
        <v>365</v>
      </c>
      <c r="O566" s="92" t="s">
        <v>392</v>
      </c>
      <c r="P566" s="5"/>
      <c r="Q566" s="197">
        <f>Q567+Q574+Q572+Q570+Q576+Q578</f>
        <v>177296.30000000002</v>
      </c>
      <c r="R566" s="197">
        <f>R567+R574+R572+R570+R576+R578</f>
        <v>167169.2</v>
      </c>
      <c r="S566" s="197">
        <f>S567+S574+S572+S570+S576+S578</f>
        <v>165740.1</v>
      </c>
    </row>
    <row r="567" spans="1:19" ht="27" customHeight="1">
      <c r="A567" s="95"/>
      <c r="B567" s="94"/>
      <c r="C567" s="99"/>
      <c r="D567" s="97"/>
      <c r="E567" s="100"/>
      <c r="F567" s="100"/>
      <c r="G567" s="85"/>
      <c r="H567" s="19" t="s">
        <v>93</v>
      </c>
      <c r="I567" s="5">
        <v>663</v>
      </c>
      <c r="J567" s="18">
        <v>7</v>
      </c>
      <c r="K567" s="15">
        <v>2</v>
      </c>
      <c r="L567" s="91" t="s">
        <v>60</v>
      </c>
      <c r="M567" s="92" t="s">
        <v>347</v>
      </c>
      <c r="N567" s="92" t="s">
        <v>365</v>
      </c>
      <c r="O567" s="92" t="s">
        <v>83</v>
      </c>
      <c r="P567" s="5"/>
      <c r="Q567" s="197">
        <f>SUM(Q568:Q569)</f>
        <v>44414.8</v>
      </c>
      <c r="R567" s="197">
        <f>SUM(R568:R569)</f>
        <v>36210.1</v>
      </c>
      <c r="S567" s="197">
        <f>SUM(S568:S569)</f>
        <v>36210.1</v>
      </c>
    </row>
    <row r="568" spans="1:19" ht="27" customHeight="1" hidden="1">
      <c r="A568" s="95"/>
      <c r="B568" s="94"/>
      <c r="C568" s="99"/>
      <c r="D568" s="97"/>
      <c r="E568" s="100"/>
      <c r="F568" s="100"/>
      <c r="G568" s="85"/>
      <c r="H568" s="4" t="s">
        <v>454</v>
      </c>
      <c r="I568" s="5">
        <v>663</v>
      </c>
      <c r="J568" s="18">
        <v>7</v>
      </c>
      <c r="K568" s="15">
        <v>2</v>
      </c>
      <c r="L568" s="91" t="s">
        <v>60</v>
      </c>
      <c r="M568" s="92" t="s">
        <v>347</v>
      </c>
      <c r="N568" s="92" t="s">
        <v>365</v>
      </c>
      <c r="O568" s="92" t="s">
        <v>83</v>
      </c>
      <c r="P568" s="5">
        <v>240</v>
      </c>
      <c r="Q568" s="197">
        <f>13.5-13.5</f>
        <v>0</v>
      </c>
      <c r="R568" s="197">
        <f>13.5-13.5</f>
        <v>0</v>
      </c>
      <c r="S568" s="197">
        <f>13.5-13.5</f>
        <v>0</v>
      </c>
    </row>
    <row r="569" spans="1:19" ht="27" customHeight="1">
      <c r="A569" s="95"/>
      <c r="B569" s="94"/>
      <c r="C569" s="99"/>
      <c r="D569" s="97"/>
      <c r="E569" s="100"/>
      <c r="F569" s="100"/>
      <c r="G569" s="85"/>
      <c r="H569" s="19" t="s">
        <v>456</v>
      </c>
      <c r="I569" s="5">
        <v>663</v>
      </c>
      <c r="J569" s="18">
        <v>7</v>
      </c>
      <c r="K569" s="15">
        <v>2</v>
      </c>
      <c r="L569" s="91" t="s">
        <v>60</v>
      </c>
      <c r="M569" s="92" t="s">
        <v>347</v>
      </c>
      <c r="N569" s="92" t="s">
        <v>365</v>
      </c>
      <c r="O569" s="92" t="s">
        <v>83</v>
      </c>
      <c r="P569" s="5">
        <v>610</v>
      </c>
      <c r="Q569" s="197">
        <f>41659-10448.9+2198.3+3949.1+499.2+706-410.4-16.5+1808.4+3654.3-97.1-57+970.4</f>
        <v>44414.8</v>
      </c>
      <c r="R569" s="197">
        <f>41659-10448.9+5000</f>
        <v>36210.1</v>
      </c>
      <c r="S569" s="197">
        <f>41659-10448.9+5000</f>
        <v>36210.1</v>
      </c>
    </row>
    <row r="570" spans="1:19" ht="81" customHeight="1">
      <c r="A570" s="95"/>
      <c r="B570" s="94"/>
      <c r="C570" s="99"/>
      <c r="D570" s="97"/>
      <c r="E570" s="100"/>
      <c r="F570" s="100"/>
      <c r="G570" s="85"/>
      <c r="H570" s="19" t="s">
        <v>796</v>
      </c>
      <c r="I570" s="5">
        <v>663</v>
      </c>
      <c r="J570" s="18">
        <v>7</v>
      </c>
      <c r="K570" s="15">
        <v>2</v>
      </c>
      <c r="L570" s="91" t="s">
        <v>60</v>
      </c>
      <c r="M570" s="92" t="s">
        <v>347</v>
      </c>
      <c r="N570" s="92" t="s">
        <v>365</v>
      </c>
      <c r="O570" s="92" t="s">
        <v>795</v>
      </c>
      <c r="P570" s="5"/>
      <c r="Q570" s="197">
        <f>Q571</f>
        <v>9343.2</v>
      </c>
      <c r="R570" s="197">
        <f>R571</f>
        <v>9343.2</v>
      </c>
      <c r="S570" s="197">
        <f>S571</f>
        <v>9343.2</v>
      </c>
    </row>
    <row r="571" spans="1:19" ht="27" customHeight="1">
      <c r="A571" s="95"/>
      <c r="B571" s="94"/>
      <c r="C571" s="99"/>
      <c r="D571" s="97"/>
      <c r="E571" s="100"/>
      <c r="F571" s="100"/>
      <c r="G571" s="85"/>
      <c r="H571" s="19" t="s">
        <v>456</v>
      </c>
      <c r="I571" s="5">
        <v>663</v>
      </c>
      <c r="J571" s="18">
        <v>7</v>
      </c>
      <c r="K571" s="15">
        <v>2</v>
      </c>
      <c r="L571" s="91" t="s">
        <v>60</v>
      </c>
      <c r="M571" s="92" t="s">
        <v>347</v>
      </c>
      <c r="N571" s="92" t="s">
        <v>365</v>
      </c>
      <c r="O571" s="92" t="s">
        <v>795</v>
      </c>
      <c r="P571" s="5">
        <v>610</v>
      </c>
      <c r="Q571" s="197">
        <v>9343.2</v>
      </c>
      <c r="R571" s="197">
        <v>9343.2</v>
      </c>
      <c r="S571" s="197">
        <v>9343.2</v>
      </c>
    </row>
    <row r="572" spans="1:19" ht="33" customHeight="1">
      <c r="A572" s="95"/>
      <c r="B572" s="94"/>
      <c r="C572" s="99"/>
      <c r="D572" s="97"/>
      <c r="E572" s="100"/>
      <c r="F572" s="100"/>
      <c r="G572" s="85"/>
      <c r="H572" s="19" t="s">
        <v>595</v>
      </c>
      <c r="I572" s="5">
        <v>663</v>
      </c>
      <c r="J572" s="18">
        <v>7</v>
      </c>
      <c r="K572" s="15">
        <v>2</v>
      </c>
      <c r="L572" s="91" t="s">
        <v>60</v>
      </c>
      <c r="M572" s="92" t="s">
        <v>347</v>
      </c>
      <c r="N572" s="92" t="s">
        <v>365</v>
      </c>
      <c r="O572" s="92" t="s">
        <v>594</v>
      </c>
      <c r="P572" s="5"/>
      <c r="Q572" s="197">
        <f>Q573</f>
        <v>11776.6</v>
      </c>
      <c r="R572" s="197">
        <f>R573</f>
        <v>10448.9</v>
      </c>
      <c r="S572" s="197">
        <f>S573</f>
        <v>10448.9</v>
      </c>
    </row>
    <row r="573" spans="1:19" ht="27" customHeight="1">
      <c r="A573" s="95"/>
      <c r="B573" s="94"/>
      <c r="C573" s="99"/>
      <c r="D573" s="97"/>
      <c r="E573" s="100"/>
      <c r="F573" s="100"/>
      <c r="G573" s="85"/>
      <c r="H573" s="19" t="s">
        <v>456</v>
      </c>
      <c r="I573" s="5">
        <v>663</v>
      </c>
      <c r="J573" s="18">
        <v>7</v>
      </c>
      <c r="K573" s="15">
        <v>2</v>
      </c>
      <c r="L573" s="91" t="s">
        <v>60</v>
      </c>
      <c r="M573" s="92" t="s">
        <v>347</v>
      </c>
      <c r="N573" s="92" t="s">
        <v>365</v>
      </c>
      <c r="O573" s="92" t="s">
        <v>594</v>
      </c>
      <c r="P573" s="5">
        <v>610</v>
      </c>
      <c r="Q573" s="197">
        <f>10448.9+1327.7</f>
        <v>11776.6</v>
      </c>
      <c r="R573" s="197">
        <v>10448.9</v>
      </c>
      <c r="S573" s="197">
        <v>10448.9</v>
      </c>
    </row>
    <row r="574" spans="1:19" ht="40.5" customHeight="1">
      <c r="A574" s="95"/>
      <c r="B574" s="94"/>
      <c r="C574" s="99"/>
      <c r="D574" s="97"/>
      <c r="E574" s="100"/>
      <c r="F574" s="100"/>
      <c r="G574" s="85"/>
      <c r="H574" s="19" t="s">
        <v>92</v>
      </c>
      <c r="I574" s="5">
        <v>663</v>
      </c>
      <c r="J574" s="18">
        <v>7</v>
      </c>
      <c r="K574" s="15">
        <v>2</v>
      </c>
      <c r="L574" s="91" t="s">
        <v>60</v>
      </c>
      <c r="M574" s="92" t="s">
        <v>347</v>
      </c>
      <c r="N574" s="92" t="s">
        <v>365</v>
      </c>
      <c r="O574" s="92" t="s">
        <v>91</v>
      </c>
      <c r="P574" s="5"/>
      <c r="Q574" s="197">
        <f>Q575</f>
        <v>103678.3</v>
      </c>
      <c r="R574" s="197">
        <f>R575</f>
        <v>101501.3</v>
      </c>
      <c r="S574" s="197">
        <f>S575</f>
        <v>101501.3</v>
      </c>
    </row>
    <row r="575" spans="1:19" ht="27" customHeight="1">
      <c r="A575" s="95"/>
      <c r="B575" s="94"/>
      <c r="C575" s="99"/>
      <c r="D575" s="97"/>
      <c r="E575" s="100"/>
      <c r="F575" s="100"/>
      <c r="G575" s="85"/>
      <c r="H575" s="19" t="s">
        <v>456</v>
      </c>
      <c r="I575" s="5">
        <v>663</v>
      </c>
      <c r="J575" s="18">
        <v>7</v>
      </c>
      <c r="K575" s="15">
        <v>2</v>
      </c>
      <c r="L575" s="91" t="s">
        <v>60</v>
      </c>
      <c r="M575" s="92" t="s">
        <v>347</v>
      </c>
      <c r="N575" s="92" t="s">
        <v>365</v>
      </c>
      <c r="O575" s="92" t="s">
        <v>91</v>
      </c>
      <c r="P575" s="5">
        <v>610</v>
      </c>
      <c r="Q575" s="197">
        <f>101501.3+1088.5+1088.5</f>
        <v>103678.3</v>
      </c>
      <c r="R575" s="197">
        <v>101501.3</v>
      </c>
      <c r="S575" s="197">
        <v>101501.3</v>
      </c>
    </row>
    <row r="576" spans="1:19" ht="33" customHeight="1">
      <c r="A576" s="95"/>
      <c r="B576" s="94"/>
      <c r="C576" s="99"/>
      <c r="D576" s="97"/>
      <c r="E576" s="100"/>
      <c r="F576" s="100"/>
      <c r="G576" s="85"/>
      <c r="H576" s="19" t="s">
        <v>797</v>
      </c>
      <c r="I576" s="7">
        <v>663</v>
      </c>
      <c r="J576" s="18">
        <v>7</v>
      </c>
      <c r="K576" s="15">
        <v>2</v>
      </c>
      <c r="L576" s="91" t="s">
        <v>60</v>
      </c>
      <c r="M576" s="92" t="s">
        <v>347</v>
      </c>
      <c r="N576" s="92" t="s">
        <v>365</v>
      </c>
      <c r="O576" s="92" t="s">
        <v>553</v>
      </c>
      <c r="P576" s="5"/>
      <c r="Q576" s="197">
        <f>Q577</f>
        <v>8083.4</v>
      </c>
      <c r="R576" s="197">
        <f>R577</f>
        <v>8444.7</v>
      </c>
      <c r="S576" s="197">
        <f>S577</f>
        <v>8236.6</v>
      </c>
    </row>
    <row r="577" spans="1:19" ht="27" customHeight="1">
      <c r="A577" s="95"/>
      <c r="B577" s="94"/>
      <c r="C577" s="99"/>
      <c r="D577" s="97"/>
      <c r="E577" s="100"/>
      <c r="F577" s="100"/>
      <c r="G577" s="85"/>
      <c r="H577" s="19" t="s">
        <v>456</v>
      </c>
      <c r="I577" s="7">
        <v>663</v>
      </c>
      <c r="J577" s="18">
        <v>7</v>
      </c>
      <c r="K577" s="15">
        <v>2</v>
      </c>
      <c r="L577" s="91" t="s">
        <v>60</v>
      </c>
      <c r="M577" s="92" t="s">
        <v>347</v>
      </c>
      <c r="N577" s="92" t="s">
        <v>365</v>
      </c>
      <c r="O577" s="92" t="s">
        <v>553</v>
      </c>
      <c r="P577" s="5">
        <v>610</v>
      </c>
      <c r="Q577" s="197">
        <v>8083.4</v>
      </c>
      <c r="R577" s="197">
        <v>8444.7</v>
      </c>
      <c r="S577" s="197">
        <v>8236.6</v>
      </c>
    </row>
    <row r="578" spans="1:19" ht="39" customHeight="1">
      <c r="A578" s="95"/>
      <c r="B578" s="94"/>
      <c r="C578" s="99"/>
      <c r="D578" s="97"/>
      <c r="E578" s="100"/>
      <c r="F578" s="100"/>
      <c r="G578" s="85"/>
      <c r="H578" s="19" t="s">
        <v>489</v>
      </c>
      <c r="I578" s="7">
        <v>663</v>
      </c>
      <c r="J578" s="18">
        <v>7</v>
      </c>
      <c r="K578" s="15">
        <v>2</v>
      </c>
      <c r="L578" s="91" t="s">
        <v>60</v>
      </c>
      <c r="M578" s="92" t="s">
        <v>347</v>
      </c>
      <c r="N578" s="92" t="s">
        <v>365</v>
      </c>
      <c r="O578" s="92" t="s">
        <v>646</v>
      </c>
      <c r="P578" s="5"/>
      <c r="Q578" s="197">
        <f>Q579</f>
        <v>0</v>
      </c>
      <c r="R578" s="197">
        <f>R579</f>
        <v>1221</v>
      </c>
      <c r="S578" s="197">
        <f>S579</f>
        <v>0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19" t="s">
        <v>456</v>
      </c>
      <c r="I579" s="7">
        <v>663</v>
      </c>
      <c r="J579" s="18">
        <v>7</v>
      </c>
      <c r="K579" s="15">
        <v>2</v>
      </c>
      <c r="L579" s="91" t="s">
        <v>60</v>
      </c>
      <c r="M579" s="92" t="s">
        <v>347</v>
      </c>
      <c r="N579" s="92" t="s">
        <v>365</v>
      </c>
      <c r="O579" s="92" t="s">
        <v>646</v>
      </c>
      <c r="P579" s="5">
        <v>610</v>
      </c>
      <c r="Q579" s="197">
        <v>0</v>
      </c>
      <c r="R579" s="197">
        <v>1221</v>
      </c>
      <c r="S579" s="197">
        <v>0</v>
      </c>
    </row>
    <row r="580" spans="1:19" ht="24" customHeight="1">
      <c r="A580" s="95"/>
      <c r="B580" s="94"/>
      <c r="C580" s="99"/>
      <c r="D580" s="97"/>
      <c r="E580" s="100"/>
      <c r="F580" s="100"/>
      <c r="G580" s="85"/>
      <c r="H580" s="2" t="s">
        <v>519</v>
      </c>
      <c r="I580" s="7">
        <v>663</v>
      </c>
      <c r="J580" s="18">
        <v>7</v>
      </c>
      <c r="K580" s="15">
        <v>2</v>
      </c>
      <c r="L580" s="91" t="s">
        <v>60</v>
      </c>
      <c r="M580" s="92" t="s">
        <v>347</v>
      </c>
      <c r="N580" s="92" t="s">
        <v>366</v>
      </c>
      <c r="O580" s="92" t="s">
        <v>392</v>
      </c>
      <c r="P580" s="5"/>
      <c r="Q580" s="197">
        <f aca="true" t="shared" si="66" ref="Q580:S581">Q581</f>
        <v>108.1</v>
      </c>
      <c r="R580" s="197">
        <f t="shared" si="66"/>
        <v>122</v>
      </c>
      <c r="S580" s="197">
        <f t="shared" si="66"/>
        <v>122</v>
      </c>
    </row>
    <row r="581" spans="1:19" ht="24" customHeight="1">
      <c r="A581" s="95"/>
      <c r="B581" s="94"/>
      <c r="C581" s="99"/>
      <c r="D581" s="97"/>
      <c r="E581" s="100"/>
      <c r="F581" s="100"/>
      <c r="G581" s="85"/>
      <c r="H581" s="2" t="s">
        <v>93</v>
      </c>
      <c r="I581" s="7">
        <v>663</v>
      </c>
      <c r="J581" s="18">
        <v>7</v>
      </c>
      <c r="K581" s="15">
        <v>2</v>
      </c>
      <c r="L581" s="91" t="s">
        <v>60</v>
      </c>
      <c r="M581" s="92" t="s">
        <v>347</v>
      </c>
      <c r="N581" s="92" t="s">
        <v>366</v>
      </c>
      <c r="O581" s="92" t="s">
        <v>83</v>
      </c>
      <c r="P581" s="5"/>
      <c r="Q581" s="197">
        <f t="shared" si="66"/>
        <v>108.1</v>
      </c>
      <c r="R581" s="197">
        <f t="shared" si="66"/>
        <v>122</v>
      </c>
      <c r="S581" s="197">
        <f t="shared" si="66"/>
        <v>122</v>
      </c>
    </row>
    <row r="582" spans="1:19" ht="24" customHeight="1">
      <c r="A582" s="95"/>
      <c r="B582" s="94"/>
      <c r="C582" s="99"/>
      <c r="D582" s="97"/>
      <c r="E582" s="100"/>
      <c r="F582" s="100"/>
      <c r="G582" s="85"/>
      <c r="H582" s="2" t="s">
        <v>456</v>
      </c>
      <c r="I582" s="7">
        <v>663</v>
      </c>
      <c r="J582" s="18">
        <v>7</v>
      </c>
      <c r="K582" s="15">
        <v>2</v>
      </c>
      <c r="L582" s="91" t="s">
        <v>60</v>
      </c>
      <c r="M582" s="92" t="s">
        <v>347</v>
      </c>
      <c r="N582" s="92" t="s">
        <v>366</v>
      </c>
      <c r="O582" s="92" t="s">
        <v>83</v>
      </c>
      <c r="P582" s="5">
        <v>610</v>
      </c>
      <c r="Q582" s="197">
        <f>122-12-1.9</f>
        <v>108.1</v>
      </c>
      <c r="R582" s="197">
        <v>122</v>
      </c>
      <c r="S582" s="197">
        <v>122</v>
      </c>
    </row>
    <row r="583" spans="1:19" ht="29.25" customHeight="1">
      <c r="A583" s="95"/>
      <c r="B583" s="94"/>
      <c r="C583" s="99"/>
      <c r="D583" s="97"/>
      <c r="E583" s="100"/>
      <c r="F583" s="100"/>
      <c r="G583" s="85"/>
      <c r="H583" s="2" t="s">
        <v>520</v>
      </c>
      <c r="I583" s="7">
        <v>663</v>
      </c>
      <c r="J583" s="18">
        <v>7</v>
      </c>
      <c r="K583" s="15">
        <v>2</v>
      </c>
      <c r="L583" s="91" t="s">
        <v>60</v>
      </c>
      <c r="M583" s="92" t="s">
        <v>347</v>
      </c>
      <c r="N583" s="92" t="s">
        <v>350</v>
      </c>
      <c r="O583" s="92" t="s">
        <v>392</v>
      </c>
      <c r="P583" s="5"/>
      <c r="Q583" s="197">
        <f>Q584+Q586+Q588</f>
        <v>2495.7</v>
      </c>
      <c r="R583" s="197">
        <f>R584+R586+R588</f>
        <v>0</v>
      </c>
      <c r="S583" s="197">
        <f>S584+S586+S588</f>
        <v>47</v>
      </c>
    </row>
    <row r="584" spans="1:19" ht="22.5" customHeight="1">
      <c r="A584" s="95"/>
      <c r="B584" s="94"/>
      <c r="C584" s="99"/>
      <c r="D584" s="97"/>
      <c r="E584" s="100"/>
      <c r="F584" s="100"/>
      <c r="G584" s="85"/>
      <c r="H584" s="2" t="s">
        <v>93</v>
      </c>
      <c r="I584" s="7">
        <v>663</v>
      </c>
      <c r="J584" s="18">
        <v>7</v>
      </c>
      <c r="K584" s="15">
        <v>2</v>
      </c>
      <c r="L584" s="91" t="s">
        <v>60</v>
      </c>
      <c r="M584" s="92" t="s">
        <v>347</v>
      </c>
      <c r="N584" s="92" t="s">
        <v>350</v>
      </c>
      <c r="O584" s="92" t="s">
        <v>83</v>
      </c>
      <c r="P584" s="5"/>
      <c r="Q584" s="197">
        <f>Q585</f>
        <v>2495.7</v>
      </c>
      <c r="R584" s="197">
        <f>R585</f>
        <v>0</v>
      </c>
      <c r="S584" s="197">
        <f>S585</f>
        <v>47</v>
      </c>
    </row>
    <row r="585" spans="1:19" ht="27.75" customHeight="1">
      <c r="A585" s="95"/>
      <c r="B585" s="94"/>
      <c r="C585" s="99"/>
      <c r="D585" s="97"/>
      <c r="E585" s="100"/>
      <c r="F585" s="100"/>
      <c r="G585" s="85"/>
      <c r="H585" s="2" t="s">
        <v>456</v>
      </c>
      <c r="I585" s="7">
        <v>663</v>
      </c>
      <c r="J585" s="18">
        <v>7</v>
      </c>
      <c r="K585" s="15">
        <v>2</v>
      </c>
      <c r="L585" s="91" t="s">
        <v>60</v>
      </c>
      <c r="M585" s="92" t="s">
        <v>347</v>
      </c>
      <c r="N585" s="92" t="s">
        <v>350</v>
      </c>
      <c r="O585" s="92" t="s">
        <v>83</v>
      </c>
      <c r="P585" s="9">
        <v>610</v>
      </c>
      <c r="Q585" s="195">
        <f>319.9-300+795-42.5+720.6+20-230+794-6.4+97.1+328</f>
        <v>2495.7</v>
      </c>
      <c r="R585" s="195">
        <v>0</v>
      </c>
      <c r="S585" s="195">
        <v>47</v>
      </c>
    </row>
    <row r="586" spans="1:19" ht="36" customHeight="1" hidden="1">
      <c r="A586" s="95"/>
      <c r="B586" s="94"/>
      <c r="C586" s="99"/>
      <c r="D586" s="97"/>
      <c r="E586" s="109"/>
      <c r="F586" s="109"/>
      <c r="G586" s="85"/>
      <c r="H586" s="4" t="s">
        <v>49</v>
      </c>
      <c r="I586" s="7">
        <v>663</v>
      </c>
      <c r="J586" s="20">
        <v>7</v>
      </c>
      <c r="K586" s="15">
        <v>2</v>
      </c>
      <c r="L586" s="91" t="s">
        <v>60</v>
      </c>
      <c r="M586" s="92" t="s">
        <v>347</v>
      </c>
      <c r="N586" s="92" t="s">
        <v>350</v>
      </c>
      <c r="O586" s="92" t="s">
        <v>50</v>
      </c>
      <c r="P586" s="9"/>
      <c r="Q586" s="195">
        <f>Q587</f>
        <v>0</v>
      </c>
      <c r="R586" s="195">
        <f>R587</f>
        <v>0</v>
      </c>
      <c r="S586" s="195">
        <f>S587</f>
        <v>0</v>
      </c>
    </row>
    <row r="587" spans="1:19" ht="24.75" customHeight="1" hidden="1">
      <c r="A587" s="95"/>
      <c r="B587" s="94"/>
      <c r="C587" s="99"/>
      <c r="D587" s="97"/>
      <c r="E587" s="109"/>
      <c r="F587" s="109"/>
      <c r="G587" s="85"/>
      <c r="H587" s="4" t="s">
        <v>456</v>
      </c>
      <c r="I587" s="7">
        <v>663</v>
      </c>
      <c r="J587" s="20">
        <v>7</v>
      </c>
      <c r="K587" s="15">
        <v>2</v>
      </c>
      <c r="L587" s="91" t="s">
        <v>60</v>
      </c>
      <c r="M587" s="92" t="s">
        <v>347</v>
      </c>
      <c r="N587" s="92" t="s">
        <v>350</v>
      </c>
      <c r="O587" s="92" t="s">
        <v>50</v>
      </c>
      <c r="P587" s="9">
        <v>610</v>
      </c>
      <c r="Q587" s="195">
        <v>0</v>
      </c>
      <c r="R587" s="195">
        <v>0</v>
      </c>
      <c r="S587" s="195">
        <v>0</v>
      </c>
    </row>
    <row r="588" spans="1:19" ht="24.75" customHeight="1" hidden="1">
      <c r="A588" s="95"/>
      <c r="B588" s="94"/>
      <c r="C588" s="93"/>
      <c r="D588" s="97"/>
      <c r="E588" s="109"/>
      <c r="F588" s="109"/>
      <c r="G588" s="85"/>
      <c r="H588" s="274" t="s">
        <v>792</v>
      </c>
      <c r="I588" s="5">
        <v>663</v>
      </c>
      <c r="J588" s="18">
        <v>7</v>
      </c>
      <c r="K588" s="15">
        <v>2</v>
      </c>
      <c r="L588" s="91" t="s">
        <v>60</v>
      </c>
      <c r="M588" s="92" t="s">
        <v>347</v>
      </c>
      <c r="N588" s="92" t="s">
        <v>350</v>
      </c>
      <c r="O588" s="92" t="s">
        <v>791</v>
      </c>
      <c r="P588" s="9"/>
      <c r="Q588" s="195">
        <f>Q589</f>
        <v>0</v>
      </c>
      <c r="R588" s="195">
        <f>R589</f>
        <v>0</v>
      </c>
      <c r="S588" s="195">
        <f>S589</f>
        <v>0</v>
      </c>
    </row>
    <row r="589" spans="1:19" ht="24.75" customHeight="1" hidden="1">
      <c r="A589" s="95"/>
      <c r="B589" s="94"/>
      <c r="C589" s="93"/>
      <c r="D589" s="97"/>
      <c r="E589" s="109"/>
      <c r="F589" s="109"/>
      <c r="G589" s="85"/>
      <c r="H589" s="4" t="s">
        <v>456</v>
      </c>
      <c r="I589" s="5">
        <v>663</v>
      </c>
      <c r="J589" s="18">
        <v>7</v>
      </c>
      <c r="K589" s="15">
        <v>2</v>
      </c>
      <c r="L589" s="91" t="s">
        <v>60</v>
      </c>
      <c r="M589" s="92" t="s">
        <v>347</v>
      </c>
      <c r="N589" s="92" t="s">
        <v>350</v>
      </c>
      <c r="O589" s="92" t="s">
        <v>791</v>
      </c>
      <c r="P589" s="9">
        <v>610</v>
      </c>
      <c r="Q589" s="195">
        <v>0</v>
      </c>
      <c r="R589" s="195">
        <v>0</v>
      </c>
      <c r="S589" s="195">
        <v>0</v>
      </c>
    </row>
    <row r="590" spans="1:19" ht="24.75" customHeight="1">
      <c r="A590" s="95"/>
      <c r="B590" s="94"/>
      <c r="C590" s="93"/>
      <c r="D590" s="97"/>
      <c r="E590" s="109"/>
      <c r="F590" s="109"/>
      <c r="G590" s="85"/>
      <c r="H590" s="229" t="s">
        <v>706</v>
      </c>
      <c r="I590" s="5">
        <v>663</v>
      </c>
      <c r="J590" s="18">
        <v>7</v>
      </c>
      <c r="K590" s="15">
        <v>2</v>
      </c>
      <c r="L590" s="91" t="s">
        <v>60</v>
      </c>
      <c r="M590" s="92" t="s">
        <v>347</v>
      </c>
      <c r="N590" s="92" t="s">
        <v>443</v>
      </c>
      <c r="O590" s="92" t="s">
        <v>392</v>
      </c>
      <c r="P590" s="9"/>
      <c r="Q590" s="195">
        <f aca="true" t="shared" si="67" ref="Q590:S591">Q591</f>
        <v>0</v>
      </c>
      <c r="R590" s="195">
        <f t="shared" si="67"/>
        <v>0</v>
      </c>
      <c r="S590" s="195">
        <f t="shared" si="67"/>
        <v>4705.9</v>
      </c>
    </row>
    <row r="591" spans="1:19" ht="49.5" customHeight="1">
      <c r="A591" s="95"/>
      <c r="B591" s="94"/>
      <c r="C591" s="93"/>
      <c r="D591" s="97"/>
      <c r="E591" s="109"/>
      <c r="F591" s="109"/>
      <c r="G591" s="85"/>
      <c r="H591" s="229" t="s">
        <v>444</v>
      </c>
      <c r="I591" s="5">
        <v>663</v>
      </c>
      <c r="J591" s="18">
        <v>7</v>
      </c>
      <c r="K591" s="15">
        <v>2</v>
      </c>
      <c r="L591" s="91" t="s">
        <v>60</v>
      </c>
      <c r="M591" s="92" t="s">
        <v>347</v>
      </c>
      <c r="N591" s="92" t="s">
        <v>443</v>
      </c>
      <c r="O591" s="92" t="s">
        <v>601</v>
      </c>
      <c r="P591" s="9"/>
      <c r="Q591" s="195">
        <f t="shared" si="67"/>
        <v>0</v>
      </c>
      <c r="R591" s="195">
        <f t="shared" si="67"/>
        <v>0</v>
      </c>
      <c r="S591" s="195">
        <f t="shared" si="67"/>
        <v>4705.9</v>
      </c>
    </row>
    <row r="592" spans="1:19" ht="24.75" customHeight="1">
      <c r="A592" s="95"/>
      <c r="B592" s="94"/>
      <c r="C592" s="93"/>
      <c r="D592" s="97"/>
      <c r="E592" s="109"/>
      <c r="F592" s="109"/>
      <c r="G592" s="85"/>
      <c r="H592" s="10" t="s">
        <v>456</v>
      </c>
      <c r="I592" s="5">
        <v>663</v>
      </c>
      <c r="J592" s="18">
        <v>7</v>
      </c>
      <c r="K592" s="15">
        <v>2</v>
      </c>
      <c r="L592" s="91" t="s">
        <v>60</v>
      </c>
      <c r="M592" s="92" t="s">
        <v>347</v>
      </c>
      <c r="N592" s="92" t="s">
        <v>443</v>
      </c>
      <c r="O592" s="92" t="s">
        <v>601</v>
      </c>
      <c r="P592" s="9">
        <v>610</v>
      </c>
      <c r="Q592" s="195">
        <v>0</v>
      </c>
      <c r="R592" s="197">
        <v>0</v>
      </c>
      <c r="S592" s="197">
        <v>4705.9</v>
      </c>
    </row>
    <row r="593" spans="1:19" ht="24.75" customHeight="1">
      <c r="A593" s="95"/>
      <c r="B593" s="94"/>
      <c r="C593" s="93"/>
      <c r="D593" s="97"/>
      <c r="E593" s="100"/>
      <c r="F593" s="100"/>
      <c r="G593" s="85"/>
      <c r="H593" s="295" t="s">
        <v>488</v>
      </c>
      <c r="I593" s="5">
        <v>663</v>
      </c>
      <c r="J593" s="18">
        <v>7</v>
      </c>
      <c r="K593" s="15">
        <v>2</v>
      </c>
      <c r="L593" s="91" t="s">
        <v>60</v>
      </c>
      <c r="M593" s="92" t="s">
        <v>347</v>
      </c>
      <c r="N593" s="92" t="s">
        <v>647</v>
      </c>
      <c r="O593" s="92" t="s">
        <v>392</v>
      </c>
      <c r="P593" s="9"/>
      <c r="Q593" s="195">
        <f aca="true" t="shared" si="68" ref="Q593:S594">Q594</f>
        <v>0</v>
      </c>
      <c r="R593" s="195">
        <f t="shared" si="68"/>
        <v>3310.2</v>
      </c>
      <c r="S593" s="195">
        <f t="shared" si="68"/>
        <v>3266.8</v>
      </c>
    </row>
    <row r="594" spans="1:19" ht="39" customHeight="1">
      <c r="A594" s="95"/>
      <c r="B594" s="94"/>
      <c r="C594" s="93"/>
      <c r="D594" s="97"/>
      <c r="E594" s="100"/>
      <c r="F594" s="100"/>
      <c r="G594" s="85"/>
      <c r="H594" s="10" t="s">
        <v>487</v>
      </c>
      <c r="I594" s="5">
        <v>663</v>
      </c>
      <c r="J594" s="18">
        <v>7</v>
      </c>
      <c r="K594" s="15">
        <v>2</v>
      </c>
      <c r="L594" s="91" t="s">
        <v>60</v>
      </c>
      <c r="M594" s="92" t="s">
        <v>347</v>
      </c>
      <c r="N594" s="92" t="s">
        <v>647</v>
      </c>
      <c r="O594" s="92" t="s">
        <v>648</v>
      </c>
      <c r="P594" s="9"/>
      <c r="Q594" s="195">
        <f t="shared" si="68"/>
        <v>0</v>
      </c>
      <c r="R594" s="195">
        <f t="shared" si="68"/>
        <v>3310.2</v>
      </c>
      <c r="S594" s="195">
        <f t="shared" si="68"/>
        <v>3266.8</v>
      </c>
    </row>
    <row r="595" spans="1:19" ht="24.75" customHeight="1">
      <c r="A595" s="95"/>
      <c r="B595" s="94"/>
      <c r="C595" s="93"/>
      <c r="D595" s="97"/>
      <c r="E595" s="100"/>
      <c r="F595" s="100"/>
      <c r="G595" s="85"/>
      <c r="H595" s="10" t="s">
        <v>456</v>
      </c>
      <c r="I595" s="5">
        <v>663</v>
      </c>
      <c r="J595" s="18">
        <v>7</v>
      </c>
      <c r="K595" s="15">
        <v>2</v>
      </c>
      <c r="L595" s="91" t="s">
        <v>60</v>
      </c>
      <c r="M595" s="92" t="s">
        <v>347</v>
      </c>
      <c r="N595" s="92" t="s">
        <v>647</v>
      </c>
      <c r="O595" s="92" t="s">
        <v>648</v>
      </c>
      <c r="P595" s="9">
        <v>610</v>
      </c>
      <c r="Q595" s="195">
        <v>0</v>
      </c>
      <c r="R595" s="197">
        <v>3310.2</v>
      </c>
      <c r="S595" s="197">
        <v>3266.8</v>
      </c>
    </row>
    <row r="596" spans="1:19" s="171" customFormat="1" ht="25.5" customHeight="1">
      <c r="A596" s="135"/>
      <c r="B596" s="136"/>
      <c r="C596" s="146"/>
      <c r="D596" s="143"/>
      <c r="E596" s="147"/>
      <c r="F596" s="147"/>
      <c r="G596" s="129"/>
      <c r="H596" s="142" t="s">
        <v>105</v>
      </c>
      <c r="I596" s="145">
        <v>663</v>
      </c>
      <c r="J596" s="149">
        <v>7</v>
      </c>
      <c r="K596" s="132">
        <v>3</v>
      </c>
      <c r="L596" s="132"/>
      <c r="M596" s="134"/>
      <c r="N596" s="134"/>
      <c r="O596" s="134"/>
      <c r="P596" s="131"/>
      <c r="Q596" s="194">
        <f>Q597</f>
        <v>3911.3</v>
      </c>
      <c r="R596" s="194">
        <f>R597</f>
        <v>4232.8</v>
      </c>
      <c r="S596" s="194">
        <f>S597</f>
        <v>4232.8</v>
      </c>
    </row>
    <row r="597" spans="1:19" ht="30.75" customHeight="1">
      <c r="A597" s="93"/>
      <c r="B597" s="94"/>
      <c r="C597" s="99"/>
      <c r="D597" s="97"/>
      <c r="E597" s="109"/>
      <c r="F597" s="109"/>
      <c r="G597" s="85"/>
      <c r="H597" s="223" t="s">
        <v>649</v>
      </c>
      <c r="I597" s="24">
        <v>663</v>
      </c>
      <c r="J597" s="20">
        <v>7</v>
      </c>
      <c r="K597" s="15">
        <v>3</v>
      </c>
      <c r="L597" s="15">
        <v>30</v>
      </c>
      <c r="M597" s="92" t="s">
        <v>347</v>
      </c>
      <c r="N597" s="92" t="s">
        <v>357</v>
      </c>
      <c r="O597" s="92" t="s">
        <v>392</v>
      </c>
      <c r="P597" s="9"/>
      <c r="Q597" s="195">
        <f>Q598+Q605</f>
        <v>3911.3</v>
      </c>
      <c r="R597" s="195">
        <f>R598+R605</f>
        <v>4232.8</v>
      </c>
      <c r="S597" s="195">
        <f>S598+S605</f>
        <v>4232.8</v>
      </c>
    </row>
    <row r="598" spans="1:19" ht="25.5" customHeight="1">
      <c r="A598" s="95"/>
      <c r="B598" s="94"/>
      <c r="C598" s="99"/>
      <c r="D598" s="97"/>
      <c r="E598" s="109"/>
      <c r="F598" s="109"/>
      <c r="G598" s="85"/>
      <c r="H598" s="4" t="s">
        <v>519</v>
      </c>
      <c r="I598" s="7">
        <v>663</v>
      </c>
      <c r="J598" s="20">
        <v>7</v>
      </c>
      <c r="K598" s="15">
        <v>3</v>
      </c>
      <c r="L598" s="15">
        <v>30</v>
      </c>
      <c r="M598" s="92" t="s">
        <v>347</v>
      </c>
      <c r="N598" s="92" t="s">
        <v>366</v>
      </c>
      <c r="O598" s="92" t="s">
        <v>392</v>
      </c>
      <c r="P598" s="9"/>
      <c r="Q598" s="195">
        <f>Q599+Q601+Q603</f>
        <v>3911.3</v>
      </c>
      <c r="R598" s="195">
        <f>R599+R601+R603</f>
        <v>4232.8</v>
      </c>
      <c r="S598" s="195">
        <f>S599+S601+S603</f>
        <v>4232.8</v>
      </c>
    </row>
    <row r="599" spans="1:19" ht="25.5" customHeight="1">
      <c r="A599" s="95"/>
      <c r="B599" s="94"/>
      <c r="C599" s="99"/>
      <c r="D599" s="97"/>
      <c r="E599" s="109"/>
      <c r="F599" s="109"/>
      <c r="G599" s="85"/>
      <c r="H599" s="4" t="s">
        <v>94</v>
      </c>
      <c r="I599" s="7">
        <v>663</v>
      </c>
      <c r="J599" s="20">
        <v>7</v>
      </c>
      <c r="K599" s="15">
        <v>3</v>
      </c>
      <c r="L599" s="15">
        <v>30</v>
      </c>
      <c r="M599" s="92" t="s">
        <v>347</v>
      </c>
      <c r="N599" s="92" t="s">
        <v>366</v>
      </c>
      <c r="O599" s="92" t="s">
        <v>30</v>
      </c>
      <c r="P599" s="9"/>
      <c r="Q599" s="195">
        <f>Q600</f>
        <v>2699.4</v>
      </c>
      <c r="R599" s="195">
        <f>R600</f>
        <v>3139.8</v>
      </c>
      <c r="S599" s="195">
        <f>S600</f>
        <v>3139.8</v>
      </c>
    </row>
    <row r="600" spans="1:19" ht="25.5" customHeight="1">
      <c r="A600" s="95"/>
      <c r="B600" s="94"/>
      <c r="C600" s="99"/>
      <c r="D600" s="97"/>
      <c r="E600" s="109"/>
      <c r="F600" s="109"/>
      <c r="G600" s="85"/>
      <c r="H600" s="4" t="s">
        <v>456</v>
      </c>
      <c r="I600" s="7">
        <v>663</v>
      </c>
      <c r="J600" s="20">
        <v>7</v>
      </c>
      <c r="K600" s="15">
        <v>3</v>
      </c>
      <c r="L600" s="15">
        <v>30</v>
      </c>
      <c r="M600" s="92" t="s">
        <v>347</v>
      </c>
      <c r="N600" s="92" t="s">
        <v>366</v>
      </c>
      <c r="O600" s="92" t="s">
        <v>30</v>
      </c>
      <c r="P600" s="9">
        <v>610</v>
      </c>
      <c r="Q600" s="195">
        <f>4232.8-1093-440.4</f>
        <v>2699.4</v>
      </c>
      <c r="R600" s="195">
        <f>4232.8-1093</f>
        <v>3139.8</v>
      </c>
      <c r="S600" s="195">
        <f>4232.8-1093</f>
        <v>3139.8</v>
      </c>
    </row>
    <row r="601" spans="1:19" ht="39.75" customHeight="1">
      <c r="A601" s="95"/>
      <c r="B601" s="94"/>
      <c r="C601" s="99"/>
      <c r="D601" s="97"/>
      <c r="E601" s="109"/>
      <c r="F601" s="109"/>
      <c r="G601" s="85"/>
      <c r="H601" s="4" t="s">
        <v>595</v>
      </c>
      <c r="I601" s="7">
        <v>663</v>
      </c>
      <c r="J601" s="20">
        <v>7</v>
      </c>
      <c r="K601" s="15">
        <v>3</v>
      </c>
      <c r="L601" s="15">
        <v>30</v>
      </c>
      <c r="M601" s="92" t="s">
        <v>347</v>
      </c>
      <c r="N601" s="92" t="s">
        <v>366</v>
      </c>
      <c r="O601" s="92" t="s">
        <v>594</v>
      </c>
      <c r="P601" s="9"/>
      <c r="Q601" s="195">
        <f>Q602</f>
        <v>1211.9</v>
      </c>
      <c r="R601" s="195">
        <f>R602</f>
        <v>1093</v>
      </c>
      <c r="S601" s="195">
        <f>S602</f>
        <v>1093</v>
      </c>
    </row>
    <row r="602" spans="1:19" ht="21" customHeight="1">
      <c r="A602" s="95"/>
      <c r="B602" s="94"/>
      <c r="C602" s="99"/>
      <c r="D602" s="97"/>
      <c r="E602" s="109"/>
      <c r="F602" s="109"/>
      <c r="G602" s="85"/>
      <c r="H602" s="4" t="s">
        <v>456</v>
      </c>
      <c r="I602" s="7">
        <v>663</v>
      </c>
      <c r="J602" s="20">
        <v>7</v>
      </c>
      <c r="K602" s="15">
        <v>3</v>
      </c>
      <c r="L602" s="15">
        <v>30</v>
      </c>
      <c r="M602" s="92" t="s">
        <v>347</v>
      </c>
      <c r="N602" s="92" t="s">
        <v>366</v>
      </c>
      <c r="O602" s="92" t="s">
        <v>594</v>
      </c>
      <c r="P602" s="9">
        <v>610</v>
      </c>
      <c r="Q602" s="195">
        <f>1093+118.9</f>
        <v>1211.9</v>
      </c>
      <c r="R602" s="195">
        <v>1093</v>
      </c>
      <c r="S602" s="195">
        <v>1093</v>
      </c>
    </row>
    <row r="603" spans="1:19" ht="21" customHeight="1" hidden="1">
      <c r="A603" s="95"/>
      <c r="B603" s="94"/>
      <c r="C603" s="99"/>
      <c r="D603" s="97"/>
      <c r="E603" s="109"/>
      <c r="F603" s="109"/>
      <c r="G603" s="85"/>
      <c r="H603" s="4" t="s">
        <v>1</v>
      </c>
      <c r="I603" s="7">
        <v>663</v>
      </c>
      <c r="J603" s="20">
        <v>7</v>
      </c>
      <c r="K603" s="15">
        <v>3</v>
      </c>
      <c r="L603" s="15">
        <v>30</v>
      </c>
      <c r="M603" s="92" t="s">
        <v>347</v>
      </c>
      <c r="N603" s="92" t="s">
        <v>366</v>
      </c>
      <c r="O603" s="92" t="s">
        <v>0</v>
      </c>
      <c r="P603" s="9"/>
      <c r="Q603" s="195">
        <f>Q604</f>
        <v>0</v>
      </c>
      <c r="R603" s="195">
        <f>R604</f>
        <v>0</v>
      </c>
      <c r="S603" s="195">
        <f>S604</f>
        <v>0</v>
      </c>
    </row>
    <row r="604" spans="1:19" ht="21" customHeight="1" hidden="1">
      <c r="A604" s="95"/>
      <c r="B604" s="94"/>
      <c r="C604" s="99"/>
      <c r="D604" s="97"/>
      <c r="E604" s="109"/>
      <c r="F604" s="109"/>
      <c r="G604" s="85"/>
      <c r="H604" s="4" t="s">
        <v>456</v>
      </c>
      <c r="I604" s="7">
        <v>663</v>
      </c>
      <c r="J604" s="20">
        <v>7</v>
      </c>
      <c r="K604" s="15">
        <v>3</v>
      </c>
      <c r="L604" s="15">
        <v>30</v>
      </c>
      <c r="M604" s="92" t="s">
        <v>347</v>
      </c>
      <c r="N604" s="92" t="s">
        <v>366</v>
      </c>
      <c r="O604" s="92" t="s">
        <v>0</v>
      </c>
      <c r="P604" s="9">
        <v>610</v>
      </c>
      <c r="Q604" s="195">
        <v>0</v>
      </c>
      <c r="R604" s="195">
        <v>0</v>
      </c>
      <c r="S604" s="195">
        <v>0</v>
      </c>
    </row>
    <row r="605" spans="1:19" ht="21" customHeight="1" hidden="1">
      <c r="A605" s="95"/>
      <c r="B605" s="94"/>
      <c r="C605" s="99"/>
      <c r="D605" s="97"/>
      <c r="E605" s="109"/>
      <c r="F605" s="109"/>
      <c r="G605" s="85"/>
      <c r="H605" s="4" t="s">
        <v>705</v>
      </c>
      <c r="I605" s="7">
        <v>663</v>
      </c>
      <c r="J605" s="20">
        <v>7</v>
      </c>
      <c r="K605" s="15">
        <v>3</v>
      </c>
      <c r="L605" s="15">
        <v>30</v>
      </c>
      <c r="M605" s="92" t="s">
        <v>347</v>
      </c>
      <c r="N605" s="92" t="s">
        <v>606</v>
      </c>
      <c r="O605" s="92" t="s">
        <v>392</v>
      </c>
      <c r="P605" s="9"/>
      <c r="Q605" s="195">
        <f aca="true" t="shared" si="69" ref="Q605:S606">Q606</f>
        <v>0</v>
      </c>
      <c r="R605" s="195">
        <f t="shared" si="69"/>
        <v>0</v>
      </c>
      <c r="S605" s="195">
        <f t="shared" si="69"/>
        <v>0</v>
      </c>
    </row>
    <row r="606" spans="1:19" ht="33.75" customHeight="1" hidden="1">
      <c r="A606" s="95"/>
      <c r="B606" s="94"/>
      <c r="C606" s="99"/>
      <c r="D606" s="97"/>
      <c r="E606" s="109"/>
      <c r="F606" s="109"/>
      <c r="G606" s="85"/>
      <c r="H606" s="4" t="s">
        <v>741</v>
      </c>
      <c r="I606" s="7">
        <v>663</v>
      </c>
      <c r="J606" s="20">
        <v>7</v>
      </c>
      <c r="K606" s="15">
        <v>3</v>
      </c>
      <c r="L606" s="15">
        <v>30</v>
      </c>
      <c r="M606" s="92" t="s">
        <v>347</v>
      </c>
      <c r="N606" s="92" t="s">
        <v>606</v>
      </c>
      <c r="O606" s="92" t="s">
        <v>607</v>
      </c>
      <c r="P606" s="5"/>
      <c r="Q606" s="197">
        <f t="shared" si="69"/>
        <v>0</v>
      </c>
      <c r="R606" s="197">
        <f t="shared" si="69"/>
        <v>0</v>
      </c>
      <c r="S606" s="197">
        <f t="shared" si="69"/>
        <v>0</v>
      </c>
    </row>
    <row r="607" spans="1:19" ht="21" customHeight="1" hidden="1">
      <c r="A607" s="95"/>
      <c r="B607" s="94"/>
      <c r="C607" s="99"/>
      <c r="D607" s="97"/>
      <c r="E607" s="109"/>
      <c r="F607" s="109"/>
      <c r="G607" s="85"/>
      <c r="H607" s="4" t="s">
        <v>456</v>
      </c>
      <c r="I607" s="7">
        <v>663</v>
      </c>
      <c r="J607" s="20">
        <v>7</v>
      </c>
      <c r="K607" s="15">
        <v>3</v>
      </c>
      <c r="L607" s="15">
        <v>30</v>
      </c>
      <c r="M607" s="92" t="s">
        <v>347</v>
      </c>
      <c r="N607" s="92" t="s">
        <v>606</v>
      </c>
      <c r="O607" s="92" t="s">
        <v>607</v>
      </c>
      <c r="P607" s="5">
        <v>610</v>
      </c>
      <c r="Q607" s="197">
        <v>0</v>
      </c>
      <c r="R607" s="197">
        <v>0</v>
      </c>
      <c r="S607" s="197">
        <v>0</v>
      </c>
    </row>
    <row r="608" spans="1:19" s="171" customFormat="1" ht="24.75" customHeight="1">
      <c r="A608" s="135"/>
      <c r="B608" s="136"/>
      <c r="C608" s="146"/>
      <c r="D608" s="143"/>
      <c r="E608" s="147"/>
      <c r="F608" s="147"/>
      <c r="G608" s="129"/>
      <c r="H608" s="142" t="s">
        <v>329</v>
      </c>
      <c r="I608" s="145">
        <v>663</v>
      </c>
      <c r="J608" s="149">
        <v>7</v>
      </c>
      <c r="K608" s="132">
        <v>9</v>
      </c>
      <c r="L608" s="133"/>
      <c r="M608" s="134"/>
      <c r="N608" s="134"/>
      <c r="O608" s="134"/>
      <c r="P608" s="139"/>
      <c r="Q608" s="198">
        <f>Q623+Q666+Q609</f>
        <v>16045.399999999998</v>
      </c>
      <c r="R608" s="198">
        <f>R623+R666+R609</f>
        <v>17603.2</v>
      </c>
      <c r="S608" s="198">
        <f>S623+S666+S609</f>
        <v>17603.4</v>
      </c>
    </row>
    <row r="609" spans="1:19" ht="37.5" customHeight="1">
      <c r="A609" s="93"/>
      <c r="B609" s="94"/>
      <c r="C609" s="99"/>
      <c r="D609" s="97"/>
      <c r="E609" s="100"/>
      <c r="F609" s="100"/>
      <c r="G609" s="85"/>
      <c r="H609" s="4" t="s">
        <v>865</v>
      </c>
      <c r="I609" s="5">
        <v>663</v>
      </c>
      <c r="J609" s="6">
        <v>7</v>
      </c>
      <c r="K609" s="15">
        <v>9</v>
      </c>
      <c r="L609" s="91" t="s">
        <v>442</v>
      </c>
      <c r="M609" s="92" t="s">
        <v>347</v>
      </c>
      <c r="N609" s="92" t="s">
        <v>357</v>
      </c>
      <c r="O609" s="92" t="s">
        <v>392</v>
      </c>
      <c r="P609" s="9"/>
      <c r="Q609" s="195">
        <f>Q610+Q616+Q620+Q613</f>
        <v>173.8</v>
      </c>
      <c r="R609" s="195">
        <f>R610+R616+R620</f>
        <v>151</v>
      </c>
      <c r="S609" s="195">
        <f>S610+S616+S620</f>
        <v>151</v>
      </c>
    </row>
    <row r="610" spans="1:19" ht="39" customHeight="1">
      <c r="A610" s="93"/>
      <c r="B610" s="94"/>
      <c r="C610" s="99"/>
      <c r="D610" s="97"/>
      <c r="E610" s="100"/>
      <c r="F610" s="100"/>
      <c r="G610" s="85"/>
      <c r="H610" s="281" t="s">
        <v>228</v>
      </c>
      <c r="I610" s="5">
        <v>663</v>
      </c>
      <c r="J610" s="6">
        <v>7</v>
      </c>
      <c r="K610" s="15">
        <v>9</v>
      </c>
      <c r="L610" s="91" t="s">
        <v>442</v>
      </c>
      <c r="M610" s="92" t="s">
        <v>347</v>
      </c>
      <c r="N610" s="92" t="s">
        <v>348</v>
      </c>
      <c r="O610" s="92" t="s">
        <v>392</v>
      </c>
      <c r="P610" s="9"/>
      <c r="Q610" s="195">
        <f aca="true" t="shared" si="70" ref="Q610:S611">Q611</f>
        <v>0</v>
      </c>
      <c r="R610" s="195">
        <f t="shared" si="70"/>
        <v>10</v>
      </c>
      <c r="S610" s="195">
        <f t="shared" si="70"/>
        <v>10</v>
      </c>
    </row>
    <row r="611" spans="1:19" ht="24.75" customHeight="1">
      <c r="A611" s="93"/>
      <c r="B611" s="94"/>
      <c r="C611" s="99"/>
      <c r="D611" s="97"/>
      <c r="E611" s="100"/>
      <c r="F611" s="100"/>
      <c r="G611" s="85"/>
      <c r="H611" s="228" t="s">
        <v>100</v>
      </c>
      <c r="I611" s="5">
        <v>663</v>
      </c>
      <c r="J611" s="6">
        <v>7</v>
      </c>
      <c r="K611" s="15">
        <v>9</v>
      </c>
      <c r="L611" s="91" t="s">
        <v>442</v>
      </c>
      <c r="M611" s="92" t="s">
        <v>347</v>
      </c>
      <c r="N611" s="92" t="s">
        <v>348</v>
      </c>
      <c r="O611" s="92" t="s">
        <v>398</v>
      </c>
      <c r="P611" s="9"/>
      <c r="Q611" s="195">
        <f t="shared" si="70"/>
        <v>0</v>
      </c>
      <c r="R611" s="195">
        <f t="shared" si="70"/>
        <v>10</v>
      </c>
      <c r="S611" s="195">
        <f t="shared" si="70"/>
        <v>10</v>
      </c>
    </row>
    <row r="612" spans="1:19" ht="24.75" customHeight="1">
      <c r="A612" s="93"/>
      <c r="B612" s="94"/>
      <c r="C612" s="99"/>
      <c r="D612" s="97"/>
      <c r="E612" s="100"/>
      <c r="F612" s="100"/>
      <c r="G612" s="85"/>
      <c r="H612" s="228" t="s">
        <v>454</v>
      </c>
      <c r="I612" s="5">
        <v>663</v>
      </c>
      <c r="J612" s="6">
        <v>7</v>
      </c>
      <c r="K612" s="15">
        <v>9</v>
      </c>
      <c r="L612" s="91" t="s">
        <v>442</v>
      </c>
      <c r="M612" s="92" t="s">
        <v>347</v>
      </c>
      <c r="N612" s="92" t="s">
        <v>348</v>
      </c>
      <c r="O612" s="92" t="s">
        <v>398</v>
      </c>
      <c r="P612" s="9">
        <v>240</v>
      </c>
      <c r="Q612" s="195">
        <f>10-10</f>
        <v>0</v>
      </c>
      <c r="R612" s="197">
        <v>10</v>
      </c>
      <c r="S612" s="197">
        <v>10</v>
      </c>
    </row>
    <row r="613" spans="1:19" ht="24.75" customHeight="1">
      <c r="A613" s="93"/>
      <c r="B613" s="94"/>
      <c r="C613" s="99"/>
      <c r="D613" s="97"/>
      <c r="E613" s="100"/>
      <c r="F613" s="100"/>
      <c r="G613" s="85"/>
      <c r="H613" s="4" t="s">
        <v>86</v>
      </c>
      <c r="I613" s="5">
        <v>663</v>
      </c>
      <c r="J613" s="6">
        <v>7</v>
      </c>
      <c r="K613" s="15">
        <v>9</v>
      </c>
      <c r="L613" s="91" t="s">
        <v>442</v>
      </c>
      <c r="M613" s="92" t="s">
        <v>347</v>
      </c>
      <c r="N613" s="92" t="s">
        <v>366</v>
      </c>
      <c r="O613" s="92" t="s">
        <v>392</v>
      </c>
      <c r="P613" s="9"/>
      <c r="Q613" s="195">
        <f aca="true" t="shared" si="71" ref="Q613:S614">Q614</f>
        <v>9.8</v>
      </c>
      <c r="R613" s="195">
        <f t="shared" si="71"/>
        <v>0</v>
      </c>
      <c r="S613" s="195">
        <f t="shared" si="71"/>
        <v>0</v>
      </c>
    </row>
    <row r="614" spans="1:19" ht="24.75" customHeight="1">
      <c r="A614" s="93"/>
      <c r="B614" s="94"/>
      <c r="C614" s="99"/>
      <c r="D614" s="97"/>
      <c r="E614" s="100"/>
      <c r="F614" s="100"/>
      <c r="G614" s="85"/>
      <c r="H614" s="228" t="s">
        <v>100</v>
      </c>
      <c r="I614" s="5">
        <v>663</v>
      </c>
      <c r="J614" s="6">
        <v>7</v>
      </c>
      <c r="K614" s="15">
        <v>9</v>
      </c>
      <c r="L614" s="91" t="s">
        <v>442</v>
      </c>
      <c r="M614" s="92" t="s">
        <v>347</v>
      </c>
      <c r="N614" s="92" t="s">
        <v>366</v>
      </c>
      <c r="O614" s="92" t="s">
        <v>398</v>
      </c>
      <c r="P614" s="9"/>
      <c r="Q614" s="195">
        <f t="shared" si="71"/>
        <v>9.8</v>
      </c>
      <c r="R614" s="195">
        <f t="shared" si="71"/>
        <v>0</v>
      </c>
      <c r="S614" s="195">
        <f t="shared" si="71"/>
        <v>0</v>
      </c>
    </row>
    <row r="615" spans="1:19" ht="24.75" customHeight="1">
      <c r="A615" s="93"/>
      <c r="B615" s="94"/>
      <c r="C615" s="99"/>
      <c r="D615" s="97"/>
      <c r="E615" s="100"/>
      <c r="F615" s="100"/>
      <c r="G615" s="85"/>
      <c r="H615" s="228" t="s">
        <v>454</v>
      </c>
      <c r="I615" s="5">
        <v>663</v>
      </c>
      <c r="J615" s="6">
        <v>7</v>
      </c>
      <c r="K615" s="15">
        <v>9</v>
      </c>
      <c r="L615" s="91" t="s">
        <v>442</v>
      </c>
      <c r="M615" s="92" t="s">
        <v>347</v>
      </c>
      <c r="N615" s="92" t="s">
        <v>366</v>
      </c>
      <c r="O615" s="92" t="s">
        <v>398</v>
      </c>
      <c r="P615" s="9">
        <v>240</v>
      </c>
      <c r="Q615" s="195">
        <f>13.4-3.6</f>
        <v>9.8</v>
      </c>
      <c r="R615" s="197">
        <v>0</v>
      </c>
      <c r="S615" s="197">
        <v>0</v>
      </c>
    </row>
    <row r="616" spans="1:19" ht="34.5" customHeight="1">
      <c r="A616" s="93"/>
      <c r="B616" s="94"/>
      <c r="C616" s="99"/>
      <c r="D616" s="97"/>
      <c r="E616" s="100"/>
      <c r="F616" s="100"/>
      <c r="G616" s="85"/>
      <c r="H616" s="4" t="s">
        <v>440</v>
      </c>
      <c r="I616" s="5">
        <v>663</v>
      </c>
      <c r="J616" s="6">
        <v>7</v>
      </c>
      <c r="K616" s="15">
        <v>9</v>
      </c>
      <c r="L616" s="91" t="s">
        <v>442</v>
      </c>
      <c r="M616" s="92" t="s">
        <v>347</v>
      </c>
      <c r="N616" s="92" t="s">
        <v>361</v>
      </c>
      <c r="O616" s="92" t="s">
        <v>392</v>
      </c>
      <c r="P616" s="9"/>
      <c r="Q616" s="195">
        <f>Q617</f>
        <v>64.69999999999999</v>
      </c>
      <c r="R616" s="195">
        <f>R617</f>
        <v>66</v>
      </c>
      <c r="S616" s="195">
        <f>S617</f>
        <v>66</v>
      </c>
    </row>
    <row r="617" spans="1:19" ht="24.75" customHeight="1">
      <c r="A617" s="93"/>
      <c r="B617" s="94"/>
      <c r="C617" s="99"/>
      <c r="D617" s="97"/>
      <c r="E617" s="100"/>
      <c r="F617" s="100"/>
      <c r="G617" s="85"/>
      <c r="H617" s="228" t="s">
        <v>100</v>
      </c>
      <c r="I617" s="5">
        <v>663</v>
      </c>
      <c r="J617" s="6">
        <v>7</v>
      </c>
      <c r="K617" s="15">
        <v>9</v>
      </c>
      <c r="L617" s="91" t="s">
        <v>442</v>
      </c>
      <c r="M617" s="92" t="s">
        <v>347</v>
      </c>
      <c r="N617" s="92" t="s">
        <v>361</v>
      </c>
      <c r="O617" s="92" t="s">
        <v>398</v>
      </c>
      <c r="P617" s="9"/>
      <c r="Q617" s="195">
        <f>Q618+Q619</f>
        <v>64.69999999999999</v>
      </c>
      <c r="R617" s="195">
        <f>R618+R619</f>
        <v>66</v>
      </c>
      <c r="S617" s="195">
        <f>S618+S619</f>
        <v>66</v>
      </c>
    </row>
    <row r="618" spans="1:19" ht="24.75" customHeight="1">
      <c r="A618" s="93"/>
      <c r="B618" s="94"/>
      <c r="C618" s="99"/>
      <c r="D618" s="97"/>
      <c r="E618" s="100"/>
      <c r="F618" s="100"/>
      <c r="G618" s="85"/>
      <c r="H618" s="228" t="s">
        <v>454</v>
      </c>
      <c r="I618" s="5">
        <v>663</v>
      </c>
      <c r="J618" s="6">
        <v>7</v>
      </c>
      <c r="K618" s="15">
        <v>9</v>
      </c>
      <c r="L618" s="91" t="s">
        <v>442</v>
      </c>
      <c r="M618" s="92" t="s">
        <v>347</v>
      </c>
      <c r="N618" s="92" t="s">
        <v>361</v>
      </c>
      <c r="O618" s="92" t="s">
        <v>398</v>
      </c>
      <c r="P618" s="9">
        <v>240</v>
      </c>
      <c r="Q618" s="195">
        <f>7+59+74.7-76</f>
        <v>64.69999999999999</v>
      </c>
      <c r="R618" s="195">
        <f>7+59</f>
        <v>66</v>
      </c>
      <c r="S618" s="195">
        <f>7+59</f>
        <v>66</v>
      </c>
    </row>
    <row r="619" spans="1:19" ht="24.75" customHeight="1" hidden="1">
      <c r="A619" s="93"/>
      <c r="B619" s="94"/>
      <c r="C619" s="99"/>
      <c r="D619" s="97"/>
      <c r="E619" s="100"/>
      <c r="F619" s="100"/>
      <c r="G619" s="85"/>
      <c r="H619" s="21" t="s">
        <v>459</v>
      </c>
      <c r="I619" s="5">
        <v>663</v>
      </c>
      <c r="J619" s="6">
        <v>7</v>
      </c>
      <c r="K619" s="15">
        <v>9</v>
      </c>
      <c r="L619" s="91" t="s">
        <v>442</v>
      </c>
      <c r="M619" s="92" t="s">
        <v>347</v>
      </c>
      <c r="N619" s="92" t="s">
        <v>361</v>
      </c>
      <c r="O619" s="92" t="s">
        <v>398</v>
      </c>
      <c r="P619" s="9">
        <v>320</v>
      </c>
      <c r="Q619" s="195">
        <v>0</v>
      </c>
      <c r="R619" s="197">
        <v>0</v>
      </c>
      <c r="S619" s="197">
        <v>0</v>
      </c>
    </row>
    <row r="620" spans="1:19" ht="37.5" customHeight="1">
      <c r="A620" s="93"/>
      <c r="B620" s="94"/>
      <c r="C620" s="99"/>
      <c r="D620" s="97"/>
      <c r="E620" s="100"/>
      <c r="F620" s="100"/>
      <c r="G620" s="85"/>
      <c r="H620" s="113" t="s">
        <v>13</v>
      </c>
      <c r="I620" s="5">
        <v>663</v>
      </c>
      <c r="J620" s="6">
        <v>7</v>
      </c>
      <c r="K620" s="15">
        <v>9</v>
      </c>
      <c r="L620" s="91" t="s">
        <v>442</v>
      </c>
      <c r="M620" s="92" t="s">
        <v>347</v>
      </c>
      <c r="N620" s="92" t="s">
        <v>350</v>
      </c>
      <c r="O620" s="92" t="s">
        <v>392</v>
      </c>
      <c r="P620" s="9"/>
      <c r="Q620" s="195">
        <f aca="true" t="shared" si="72" ref="Q620:S621">Q621</f>
        <v>99.30000000000001</v>
      </c>
      <c r="R620" s="195">
        <f t="shared" si="72"/>
        <v>75</v>
      </c>
      <c r="S620" s="195">
        <f t="shared" si="72"/>
        <v>75</v>
      </c>
    </row>
    <row r="621" spans="1:19" ht="24.75" customHeight="1">
      <c r="A621" s="93"/>
      <c r="B621" s="94"/>
      <c r="C621" s="99"/>
      <c r="D621" s="97"/>
      <c r="E621" s="100"/>
      <c r="F621" s="100"/>
      <c r="G621" s="85"/>
      <c r="H621" s="228" t="s">
        <v>100</v>
      </c>
      <c r="I621" s="5">
        <v>663</v>
      </c>
      <c r="J621" s="6">
        <v>7</v>
      </c>
      <c r="K621" s="15">
        <v>9</v>
      </c>
      <c r="L621" s="91" t="s">
        <v>442</v>
      </c>
      <c r="M621" s="92" t="s">
        <v>347</v>
      </c>
      <c r="N621" s="92" t="s">
        <v>350</v>
      </c>
      <c r="O621" s="92" t="s">
        <v>398</v>
      </c>
      <c r="P621" s="9"/>
      <c r="Q621" s="195">
        <f t="shared" si="72"/>
        <v>99.30000000000001</v>
      </c>
      <c r="R621" s="195">
        <f t="shared" si="72"/>
        <v>75</v>
      </c>
      <c r="S621" s="195">
        <f t="shared" si="72"/>
        <v>75</v>
      </c>
    </row>
    <row r="622" spans="1:19" ht="24.75" customHeight="1">
      <c r="A622" s="93"/>
      <c r="B622" s="94"/>
      <c r="C622" s="99"/>
      <c r="D622" s="97"/>
      <c r="E622" s="100"/>
      <c r="F622" s="100"/>
      <c r="G622" s="85"/>
      <c r="H622" s="228" t="s">
        <v>454</v>
      </c>
      <c r="I622" s="5">
        <v>663</v>
      </c>
      <c r="J622" s="6">
        <v>7</v>
      </c>
      <c r="K622" s="15">
        <v>9</v>
      </c>
      <c r="L622" s="91" t="s">
        <v>442</v>
      </c>
      <c r="M622" s="92" t="s">
        <v>347</v>
      </c>
      <c r="N622" s="92" t="s">
        <v>350</v>
      </c>
      <c r="O622" s="92" t="s">
        <v>398</v>
      </c>
      <c r="P622" s="9">
        <v>240</v>
      </c>
      <c r="Q622" s="195">
        <f>75+26.2-20+18.1</f>
        <v>99.30000000000001</v>
      </c>
      <c r="R622" s="197">
        <v>75</v>
      </c>
      <c r="S622" s="197">
        <v>75</v>
      </c>
    </row>
    <row r="623" spans="1:19" ht="30.75" customHeight="1">
      <c r="A623" s="95"/>
      <c r="B623" s="94"/>
      <c r="C623" s="99"/>
      <c r="D623" s="97"/>
      <c r="E623" s="100"/>
      <c r="F623" s="100"/>
      <c r="G623" s="85"/>
      <c r="H623" s="223" t="s">
        <v>649</v>
      </c>
      <c r="I623" s="9">
        <v>663</v>
      </c>
      <c r="J623" s="15">
        <v>7</v>
      </c>
      <c r="K623" s="15">
        <v>9</v>
      </c>
      <c r="L623" s="15">
        <v>30</v>
      </c>
      <c r="M623" s="92" t="s">
        <v>347</v>
      </c>
      <c r="N623" s="92" t="s">
        <v>357</v>
      </c>
      <c r="O623" s="92" t="s">
        <v>392</v>
      </c>
      <c r="P623" s="9"/>
      <c r="Q623" s="195">
        <f>Q624+Q629+Q638+Q644+Q652+Q649</f>
        <v>15801.599999999999</v>
      </c>
      <c r="R623" s="195">
        <f>R624+R629+R638+R644+R652</f>
        <v>17382.2</v>
      </c>
      <c r="S623" s="195">
        <f>S624+S629+S638+S644+S652</f>
        <v>17382.4</v>
      </c>
    </row>
    <row r="624" spans="1:19" ht="32.25" customHeight="1">
      <c r="A624" s="95"/>
      <c r="B624" s="94"/>
      <c r="C624" s="99"/>
      <c r="D624" s="97"/>
      <c r="E624" s="100"/>
      <c r="F624" s="100"/>
      <c r="G624" s="85"/>
      <c r="H624" s="224" t="s">
        <v>406</v>
      </c>
      <c r="I624" s="9">
        <v>663</v>
      </c>
      <c r="J624" s="15">
        <v>7</v>
      </c>
      <c r="K624" s="15">
        <v>9</v>
      </c>
      <c r="L624" s="15">
        <v>30</v>
      </c>
      <c r="M624" s="92" t="s">
        <v>347</v>
      </c>
      <c r="N624" s="92" t="s">
        <v>348</v>
      </c>
      <c r="O624" s="92" t="s">
        <v>392</v>
      </c>
      <c r="P624" s="9" t="s">
        <v>393</v>
      </c>
      <c r="Q624" s="195">
        <f>Q625+Q627</f>
        <v>234.8</v>
      </c>
      <c r="R624" s="195">
        <f>R625+R627</f>
        <v>213.2</v>
      </c>
      <c r="S624" s="195">
        <f>S625+S627</f>
        <v>213.2</v>
      </c>
    </row>
    <row r="625" spans="1:19" ht="32.25" customHeight="1">
      <c r="A625" s="95"/>
      <c r="B625" s="94"/>
      <c r="C625" s="99"/>
      <c r="D625" s="97"/>
      <c r="E625" s="100"/>
      <c r="F625" s="100"/>
      <c r="G625" s="85"/>
      <c r="H625" s="228" t="s">
        <v>100</v>
      </c>
      <c r="I625" s="9">
        <v>663</v>
      </c>
      <c r="J625" s="15">
        <v>7</v>
      </c>
      <c r="K625" s="15">
        <v>9</v>
      </c>
      <c r="L625" s="15">
        <v>30</v>
      </c>
      <c r="M625" s="92" t="s">
        <v>347</v>
      </c>
      <c r="N625" s="92" t="s">
        <v>348</v>
      </c>
      <c r="O625" s="92" t="s">
        <v>398</v>
      </c>
      <c r="P625" s="9"/>
      <c r="Q625" s="195">
        <f>Q626</f>
        <v>10</v>
      </c>
      <c r="R625" s="195">
        <f>R626</f>
        <v>10</v>
      </c>
      <c r="S625" s="195">
        <f>S626</f>
        <v>10</v>
      </c>
    </row>
    <row r="626" spans="1:19" ht="32.25" customHeight="1">
      <c r="A626" s="95"/>
      <c r="B626" s="94"/>
      <c r="C626" s="99"/>
      <c r="D626" s="97"/>
      <c r="E626" s="100"/>
      <c r="F626" s="100"/>
      <c r="G626" s="85"/>
      <c r="H626" s="228" t="s">
        <v>454</v>
      </c>
      <c r="I626" s="9">
        <v>663</v>
      </c>
      <c r="J626" s="15">
        <v>7</v>
      </c>
      <c r="K626" s="15">
        <v>9</v>
      </c>
      <c r="L626" s="15">
        <v>30</v>
      </c>
      <c r="M626" s="92" t="s">
        <v>347</v>
      </c>
      <c r="N626" s="92" t="s">
        <v>348</v>
      </c>
      <c r="O626" s="92" t="s">
        <v>398</v>
      </c>
      <c r="P626" s="9">
        <v>240</v>
      </c>
      <c r="Q626" s="195">
        <v>10</v>
      </c>
      <c r="R626" s="195">
        <v>10</v>
      </c>
      <c r="S626" s="195">
        <v>10</v>
      </c>
    </row>
    <row r="627" spans="1:19" ht="39" customHeight="1">
      <c r="A627" s="95"/>
      <c r="B627" s="94"/>
      <c r="C627" s="99"/>
      <c r="D627" s="97"/>
      <c r="E627" s="100"/>
      <c r="F627" s="100"/>
      <c r="G627" s="85"/>
      <c r="H627" s="21" t="s">
        <v>89</v>
      </c>
      <c r="I627" s="9">
        <v>663</v>
      </c>
      <c r="J627" s="15">
        <v>7</v>
      </c>
      <c r="K627" s="15">
        <v>9</v>
      </c>
      <c r="L627" s="15">
        <v>30</v>
      </c>
      <c r="M627" s="92" t="s">
        <v>347</v>
      </c>
      <c r="N627" s="92" t="s">
        <v>348</v>
      </c>
      <c r="O627" s="92" t="s">
        <v>88</v>
      </c>
      <c r="P627" s="9"/>
      <c r="Q627" s="195">
        <f>Q628</f>
        <v>224.8</v>
      </c>
      <c r="R627" s="195">
        <f>R628</f>
        <v>203.2</v>
      </c>
      <c r="S627" s="195">
        <f>S628</f>
        <v>203.2</v>
      </c>
    </row>
    <row r="628" spans="1:19" ht="33" customHeight="1">
      <c r="A628" s="95"/>
      <c r="B628" s="94"/>
      <c r="C628" s="99"/>
      <c r="D628" s="97"/>
      <c r="E628" s="100"/>
      <c r="F628" s="100"/>
      <c r="G628" s="85"/>
      <c r="H628" s="4" t="s">
        <v>456</v>
      </c>
      <c r="I628" s="9">
        <v>663</v>
      </c>
      <c r="J628" s="15">
        <v>7</v>
      </c>
      <c r="K628" s="15">
        <v>9</v>
      </c>
      <c r="L628" s="15">
        <v>30</v>
      </c>
      <c r="M628" s="92" t="s">
        <v>347</v>
      </c>
      <c r="N628" s="92" t="s">
        <v>348</v>
      </c>
      <c r="O628" s="92" t="s">
        <v>88</v>
      </c>
      <c r="P628" s="9">
        <v>610</v>
      </c>
      <c r="Q628" s="195">
        <f>123.2+101.6</f>
        <v>224.8</v>
      </c>
      <c r="R628" s="195">
        <v>203.2</v>
      </c>
      <c r="S628" s="195">
        <v>203.2</v>
      </c>
    </row>
    <row r="629" spans="1:19" ht="29.25" customHeight="1">
      <c r="A629" s="95"/>
      <c r="B629" s="94"/>
      <c r="C629" s="99"/>
      <c r="D629" s="97"/>
      <c r="E629" s="100"/>
      <c r="F629" s="100"/>
      <c r="G629" s="85"/>
      <c r="H629" s="17" t="s">
        <v>407</v>
      </c>
      <c r="I629" s="9">
        <v>663</v>
      </c>
      <c r="J629" s="15">
        <v>7</v>
      </c>
      <c r="K629" s="15">
        <v>9</v>
      </c>
      <c r="L629" s="15">
        <v>30</v>
      </c>
      <c r="M629" s="92" t="s">
        <v>347</v>
      </c>
      <c r="N629" s="92" t="s">
        <v>365</v>
      </c>
      <c r="O629" s="92" t="s">
        <v>392</v>
      </c>
      <c r="P629" s="9" t="s">
        <v>393</v>
      </c>
      <c r="Q629" s="195">
        <f>Q630+Q634+Q632</f>
        <v>8701.699999999999</v>
      </c>
      <c r="R629" s="195">
        <f>R630+R634+R632</f>
        <v>11150.8</v>
      </c>
      <c r="S629" s="195">
        <f>S630+S634+S632</f>
        <v>11150.8</v>
      </c>
    </row>
    <row r="630" spans="1:19" ht="29.25" customHeight="1">
      <c r="A630" s="95"/>
      <c r="B630" s="94"/>
      <c r="C630" s="99"/>
      <c r="D630" s="97"/>
      <c r="E630" s="100"/>
      <c r="F630" s="100"/>
      <c r="G630" s="85"/>
      <c r="H630" s="21" t="s">
        <v>100</v>
      </c>
      <c r="I630" s="9">
        <v>663</v>
      </c>
      <c r="J630" s="15">
        <v>7</v>
      </c>
      <c r="K630" s="15">
        <v>9</v>
      </c>
      <c r="L630" s="15">
        <v>30</v>
      </c>
      <c r="M630" s="92" t="s">
        <v>347</v>
      </c>
      <c r="N630" s="92" t="s">
        <v>365</v>
      </c>
      <c r="O630" s="92" t="s">
        <v>398</v>
      </c>
      <c r="P630" s="9"/>
      <c r="Q630" s="195">
        <f>Q631</f>
        <v>19.5</v>
      </c>
      <c r="R630" s="195">
        <f>R631</f>
        <v>43</v>
      </c>
      <c r="S630" s="195">
        <f>S631</f>
        <v>43</v>
      </c>
    </row>
    <row r="631" spans="1:19" ht="29.25" customHeight="1">
      <c r="A631" s="95"/>
      <c r="B631" s="94"/>
      <c r="C631" s="99"/>
      <c r="D631" s="97"/>
      <c r="E631" s="100"/>
      <c r="F631" s="100"/>
      <c r="G631" s="85"/>
      <c r="H631" s="21" t="s">
        <v>454</v>
      </c>
      <c r="I631" s="9">
        <v>663</v>
      </c>
      <c r="J631" s="15">
        <v>7</v>
      </c>
      <c r="K631" s="15">
        <v>9</v>
      </c>
      <c r="L631" s="15">
        <v>30</v>
      </c>
      <c r="M631" s="92" t="s">
        <v>347</v>
      </c>
      <c r="N631" s="92" t="s">
        <v>365</v>
      </c>
      <c r="O631" s="92" t="s">
        <v>398</v>
      </c>
      <c r="P631" s="9">
        <v>240</v>
      </c>
      <c r="Q631" s="195">
        <f>43-23.5</f>
        <v>19.5</v>
      </c>
      <c r="R631" s="195">
        <v>43</v>
      </c>
      <c r="S631" s="195">
        <v>43</v>
      </c>
    </row>
    <row r="632" spans="1:19" ht="35.25" customHeight="1" hidden="1">
      <c r="A632" s="95"/>
      <c r="B632" s="94"/>
      <c r="C632" s="99"/>
      <c r="D632" s="97"/>
      <c r="E632" s="100"/>
      <c r="F632" s="100"/>
      <c r="G632" s="85"/>
      <c r="H632" s="229" t="s">
        <v>249</v>
      </c>
      <c r="I632" s="9">
        <v>663</v>
      </c>
      <c r="J632" s="15">
        <v>7</v>
      </c>
      <c r="K632" s="15">
        <v>9</v>
      </c>
      <c r="L632" s="15">
        <v>30</v>
      </c>
      <c r="M632" s="92" t="s">
        <v>347</v>
      </c>
      <c r="N632" s="92" t="s">
        <v>365</v>
      </c>
      <c r="O632" s="92" t="s">
        <v>63</v>
      </c>
      <c r="P632" s="9"/>
      <c r="Q632" s="195">
        <f>Q633</f>
        <v>0</v>
      </c>
      <c r="R632" s="195">
        <f>R633</f>
        <v>0</v>
      </c>
      <c r="S632" s="195">
        <f>S633</f>
        <v>0</v>
      </c>
    </row>
    <row r="633" spans="1:19" ht="29.25" customHeight="1" hidden="1">
      <c r="A633" s="95"/>
      <c r="B633" s="94"/>
      <c r="C633" s="99"/>
      <c r="D633" s="97"/>
      <c r="E633" s="100"/>
      <c r="F633" s="100"/>
      <c r="G633" s="85"/>
      <c r="H633" s="229" t="s">
        <v>457</v>
      </c>
      <c r="I633" s="9">
        <v>663</v>
      </c>
      <c r="J633" s="15">
        <v>7</v>
      </c>
      <c r="K633" s="15">
        <v>9</v>
      </c>
      <c r="L633" s="15">
        <v>30</v>
      </c>
      <c r="M633" s="92" t="s">
        <v>347</v>
      </c>
      <c r="N633" s="92" t="s">
        <v>365</v>
      </c>
      <c r="O633" s="92" t="s">
        <v>63</v>
      </c>
      <c r="P633" s="9">
        <v>110</v>
      </c>
      <c r="Q633" s="195">
        <v>0</v>
      </c>
      <c r="R633" s="195">
        <v>0</v>
      </c>
      <c r="S633" s="195">
        <v>0</v>
      </c>
    </row>
    <row r="634" spans="1:19" ht="39" customHeight="1">
      <c r="A634" s="95"/>
      <c r="B634" s="94"/>
      <c r="C634" s="99"/>
      <c r="D634" s="97"/>
      <c r="E634" s="100"/>
      <c r="F634" s="100"/>
      <c r="G634" s="85"/>
      <c r="H634" s="21" t="s">
        <v>89</v>
      </c>
      <c r="I634" s="9">
        <v>663</v>
      </c>
      <c r="J634" s="15">
        <v>7</v>
      </c>
      <c r="K634" s="15">
        <v>9</v>
      </c>
      <c r="L634" s="15">
        <v>30</v>
      </c>
      <c r="M634" s="92" t="s">
        <v>347</v>
      </c>
      <c r="N634" s="92" t="s">
        <v>365</v>
      </c>
      <c r="O634" s="92" t="s">
        <v>88</v>
      </c>
      <c r="P634" s="9"/>
      <c r="Q634" s="195">
        <f>Q636+Q637+Q635</f>
        <v>8682.199999999999</v>
      </c>
      <c r="R634" s="195">
        <f>R636+R637+R635</f>
        <v>11107.8</v>
      </c>
      <c r="S634" s="195">
        <f>S636+S637+S635</f>
        <v>11107.8</v>
      </c>
    </row>
    <row r="635" spans="1:19" ht="39" customHeight="1">
      <c r="A635" s="95"/>
      <c r="B635" s="94"/>
      <c r="C635" s="99"/>
      <c r="D635" s="97"/>
      <c r="E635" s="100"/>
      <c r="F635" s="100"/>
      <c r="G635" s="85"/>
      <c r="H635" s="21" t="s">
        <v>454</v>
      </c>
      <c r="I635" s="9">
        <v>663</v>
      </c>
      <c r="J635" s="15">
        <v>7</v>
      </c>
      <c r="K635" s="15">
        <v>9</v>
      </c>
      <c r="L635" s="15">
        <v>30</v>
      </c>
      <c r="M635" s="92" t="s">
        <v>347</v>
      </c>
      <c r="N635" s="92" t="s">
        <v>365</v>
      </c>
      <c r="O635" s="92" t="s">
        <v>88</v>
      </c>
      <c r="P635" s="9">
        <v>240</v>
      </c>
      <c r="Q635" s="195">
        <v>32.4</v>
      </c>
      <c r="R635" s="195">
        <v>32.4</v>
      </c>
      <c r="S635" s="195">
        <v>32.4</v>
      </c>
    </row>
    <row r="636" spans="1:19" ht="33" customHeight="1">
      <c r="A636" s="95"/>
      <c r="B636" s="94"/>
      <c r="C636" s="99"/>
      <c r="D636" s="97"/>
      <c r="E636" s="100"/>
      <c r="F636" s="100"/>
      <c r="G636" s="85"/>
      <c r="H636" s="21" t="s">
        <v>459</v>
      </c>
      <c r="I636" s="9">
        <v>663</v>
      </c>
      <c r="J636" s="15">
        <v>7</v>
      </c>
      <c r="K636" s="15">
        <v>9</v>
      </c>
      <c r="L636" s="15">
        <v>30</v>
      </c>
      <c r="M636" s="92" t="s">
        <v>347</v>
      </c>
      <c r="N636" s="92" t="s">
        <v>365</v>
      </c>
      <c r="O636" s="92" t="s">
        <v>88</v>
      </c>
      <c r="P636" s="9">
        <v>320</v>
      </c>
      <c r="Q636" s="195">
        <f>2072.9-32.4</f>
        <v>2040.5</v>
      </c>
      <c r="R636" s="195">
        <f>2072.9-32.4</f>
        <v>2040.5</v>
      </c>
      <c r="S636" s="195">
        <f>2072.9-32.4</f>
        <v>2040.5</v>
      </c>
    </row>
    <row r="637" spans="1:19" ht="33" customHeight="1">
      <c r="A637" s="95"/>
      <c r="B637" s="94"/>
      <c r="C637" s="99"/>
      <c r="D637" s="97"/>
      <c r="E637" s="100"/>
      <c r="F637" s="100"/>
      <c r="G637" s="85"/>
      <c r="H637" s="4" t="s">
        <v>456</v>
      </c>
      <c r="I637" s="9">
        <v>663</v>
      </c>
      <c r="J637" s="15">
        <v>7</v>
      </c>
      <c r="K637" s="15">
        <v>9</v>
      </c>
      <c r="L637" s="15">
        <v>30</v>
      </c>
      <c r="M637" s="92" t="s">
        <v>347</v>
      </c>
      <c r="N637" s="92" t="s">
        <v>365</v>
      </c>
      <c r="O637" s="92" t="s">
        <v>88</v>
      </c>
      <c r="P637" s="9">
        <v>610</v>
      </c>
      <c r="Q637" s="195">
        <f>9114.9-2404-101.6</f>
        <v>6609.299999999999</v>
      </c>
      <c r="R637" s="195">
        <v>9034.9</v>
      </c>
      <c r="S637" s="195">
        <v>9034.9</v>
      </c>
    </row>
    <row r="638" spans="1:19" ht="27" customHeight="1">
      <c r="A638" s="95"/>
      <c r="B638" s="94"/>
      <c r="C638" s="99"/>
      <c r="D638" s="97"/>
      <c r="E638" s="100"/>
      <c r="F638" s="100"/>
      <c r="G638" s="85"/>
      <c r="H638" s="10" t="s">
        <v>519</v>
      </c>
      <c r="I638" s="9">
        <v>663</v>
      </c>
      <c r="J638" s="15">
        <v>7</v>
      </c>
      <c r="K638" s="15">
        <v>9</v>
      </c>
      <c r="L638" s="15">
        <v>30</v>
      </c>
      <c r="M638" s="92" t="s">
        <v>347</v>
      </c>
      <c r="N638" s="92" t="s">
        <v>366</v>
      </c>
      <c r="O638" s="92" t="s">
        <v>392</v>
      </c>
      <c r="P638" s="9"/>
      <c r="Q638" s="195">
        <f>Q639+Q642</f>
        <v>2281.2000000000003</v>
      </c>
      <c r="R638" s="195">
        <f>R639+R642</f>
        <v>1805</v>
      </c>
      <c r="S638" s="195">
        <f>S639+S642</f>
        <v>1805</v>
      </c>
    </row>
    <row r="639" spans="1:19" ht="18" customHeight="1">
      <c r="A639" s="95"/>
      <c r="B639" s="94"/>
      <c r="C639" s="99"/>
      <c r="D639" s="97"/>
      <c r="E639" s="100"/>
      <c r="F639" s="100"/>
      <c r="G639" s="85"/>
      <c r="H639" s="10" t="s">
        <v>100</v>
      </c>
      <c r="I639" s="9">
        <v>663</v>
      </c>
      <c r="J639" s="15">
        <v>7</v>
      </c>
      <c r="K639" s="15">
        <v>9</v>
      </c>
      <c r="L639" s="15">
        <v>30</v>
      </c>
      <c r="M639" s="92" t="s">
        <v>347</v>
      </c>
      <c r="N639" s="92" t="s">
        <v>366</v>
      </c>
      <c r="O639" s="92" t="s">
        <v>398</v>
      </c>
      <c r="P639" s="9"/>
      <c r="Q639" s="195">
        <f>Q641+Q640</f>
        <v>2281.2000000000003</v>
      </c>
      <c r="R639" s="195">
        <f>R641+R640</f>
        <v>1805</v>
      </c>
      <c r="S639" s="195">
        <f>S641+S640</f>
        <v>1805</v>
      </c>
    </row>
    <row r="640" spans="1:19" ht="18" customHeight="1">
      <c r="A640" s="95"/>
      <c r="B640" s="94"/>
      <c r="C640" s="99"/>
      <c r="D640" s="97"/>
      <c r="E640" s="100"/>
      <c r="F640" s="100"/>
      <c r="G640" s="85"/>
      <c r="H640" s="21" t="s">
        <v>454</v>
      </c>
      <c r="I640" s="9">
        <v>663</v>
      </c>
      <c r="J640" s="15">
        <v>7</v>
      </c>
      <c r="K640" s="15">
        <v>9</v>
      </c>
      <c r="L640" s="15">
        <v>30</v>
      </c>
      <c r="M640" s="92" t="s">
        <v>347</v>
      </c>
      <c r="N640" s="92" t="s">
        <v>366</v>
      </c>
      <c r="O640" s="92" t="s">
        <v>398</v>
      </c>
      <c r="P640" s="9">
        <v>240</v>
      </c>
      <c r="Q640" s="195">
        <f>25+12+1.9</f>
        <v>38.9</v>
      </c>
      <c r="R640" s="195">
        <v>25</v>
      </c>
      <c r="S640" s="195">
        <v>25</v>
      </c>
    </row>
    <row r="641" spans="1:19" ht="37.5" customHeight="1">
      <c r="A641" s="95"/>
      <c r="B641" s="94"/>
      <c r="C641" s="99"/>
      <c r="D641" s="97"/>
      <c r="E641" s="100"/>
      <c r="F641" s="100"/>
      <c r="G641" s="85"/>
      <c r="H641" s="10" t="s">
        <v>790</v>
      </c>
      <c r="I641" s="9">
        <v>663</v>
      </c>
      <c r="J641" s="15">
        <v>7</v>
      </c>
      <c r="K641" s="15">
        <v>9</v>
      </c>
      <c r="L641" s="15">
        <v>30</v>
      </c>
      <c r="M641" s="92" t="s">
        <v>347</v>
      </c>
      <c r="N641" s="92" t="s">
        <v>366</v>
      </c>
      <c r="O641" s="92" t="s">
        <v>398</v>
      </c>
      <c r="P641" s="9">
        <v>630</v>
      </c>
      <c r="Q641" s="195">
        <f>1780+21.9+440.4</f>
        <v>2242.3</v>
      </c>
      <c r="R641" s="195">
        <v>1780</v>
      </c>
      <c r="S641" s="195">
        <v>1780</v>
      </c>
    </row>
    <row r="642" spans="1:19" ht="39" customHeight="1" hidden="1">
      <c r="A642" s="95"/>
      <c r="B642" s="94"/>
      <c r="C642" s="99"/>
      <c r="D642" s="97"/>
      <c r="E642" s="100"/>
      <c r="F642" s="100"/>
      <c r="G642" s="85"/>
      <c r="H642" s="10" t="s">
        <v>87</v>
      </c>
      <c r="I642" s="9">
        <v>663</v>
      </c>
      <c r="J642" s="15">
        <v>7</v>
      </c>
      <c r="K642" s="15">
        <v>9</v>
      </c>
      <c r="L642" s="15">
        <v>30</v>
      </c>
      <c r="M642" s="92" t="s">
        <v>347</v>
      </c>
      <c r="N642" s="92" t="s">
        <v>366</v>
      </c>
      <c r="O642" s="92" t="s">
        <v>63</v>
      </c>
      <c r="P642" s="9"/>
      <c r="Q642" s="195">
        <f>Q643</f>
        <v>0</v>
      </c>
      <c r="R642" s="195">
        <f>R643</f>
        <v>0</v>
      </c>
      <c r="S642" s="195">
        <f>S643</f>
        <v>0</v>
      </c>
    </row>
    <row r="643" spans="1:19" ht="24.75" customHeight="1" hidden="1">
      <c r="A643" s="95"/>
      <c r="B643" s="94"/>
      <c r="C643" s="99"/>
      <c r="D643" s="97"/>
      <c r="E643" s="100"/>
      <c r="F643" s="100"/>
      <c r="G643" s="85"/>
      <c r="H643" s="10" t="s">
        <v>454</v>
      </c>
      <c r="I643" s="9">
        <v>663</v>
      </c>
      <c r="J643" s="15">
        <v>7</v>
      </c>
      <c r="K643" s="15">
        <v>9</v>
      </c>
      <c r="L643" s="15">
        <v>30</v>
      </c>
      <c r="M643" s="92" t="s">
        <v>347</v>
      </c>
      <c r="N643" s="92" t="s">
        <v>366</v>
      </c>
      <c r="O643" s="92" t="s">
        <v>63</v>
      </c>
      <c r="P643" s="9">
        <v>240</v>
      </c>
      <c r="Q643" s="195">
        <v>0</v>
      </c>
      <c r="R643" s="195">
        <v>0</v>
      </c>
      <c r="S643" s="195">
        <v>0</v>
      </c>
    </row>
    <row r="644" spans="1:19" ht="28.5" customHeight="1">
      <c r="A644" s="95"/>
      <c r="B644" s="94"/>
      <c r="C644" s="99"/>
      <c r="D644" s="97"/>
      <c r="E644" s="100"/>
      <c r="F644" s="100"/>
      <c r="G644" s="85"/>
      <c r="H644" s="21" t="s">
        <v>408</v>
      </c>
      <c r="I644" s="9">
        <v>663</v>
      </c>
      <c r="J644" s="15">
        <v>7</v>
      </c>
      <c r="K644" s="15">
        <v>9</v>
      </c>
      <c r="L644" s="15">
        <v>30</v>
      </c>
      <c r="M644" s="92" t="s">
        <v>347</v>
      </c>
      <c r="N644" s="92" t="s">
        <v>361</v>
      </c>
      <c r="O644" s="92" t="s">
        <v>392</v>
      </c>
      <c r="P644" s="9"/>
      <c r="Q644" s="195">
        <f>Q645+Q647</f>
        <v>29.9</v>
      </c>
      <c r="R644" s="195">
        <f>R645+R647</f>
        <v>30</v>
      </c>
      <c r="S644" s="195">
        <f>S645+S647</f>
        <v>30</v>
      </c>
    </row>
    <row r="645" spans="1:19" ht="28.5" customHeight="1">
      <c r="A645" s="95"/>
      <c r="B645" s="94"/>
      <c r="C645" s="99"/>
      <c r="D645" s="97"/>
      <c r="E645" s="100"/>
      <c r="F645" s="100"/>
      <c r="G645" s="85"/>
      <c r="H645" s="21" t="s">
        <v>100</v>
      </c>
      <c r="I645" s="9">
        <v>663</v>
      </c>
      <c r="J645" s="15">
        <v>7</v>
      </c>
      <c r="K645" s="15">
        <v>9</v>
      </c>
      <c r="L645" s="15">
        <v>30</v>
      </c>
      <c r="M645" s="92" t="s">
        <v>347</v>
      </c>
      <c r="N645" s="92" t="s">
        <v>361</v>
      </c>
      <c r="O645" s="92" t="s">
        <v>398</v>
      </c>
      <c r="P645" s="9"/>
      <c r="Q645" s="195">
        <f>Q646</f>
        <v>29.9</v>
      </c>
      <c r="R645" s="195">
        <f>R646</f>
        <v>30</v>
      </c>
      <c r="S645" s="195">
        <f>S646</f>
        <v>30</v>
      </c>
    </row>
    <row r="646" spans="1:19" ht="28.5" customHeight="1">
      <c r="A646" s="95"/>
      <c r="B646" s="94"/>
      <c r="C646" s="99"/>
      <c r="D646" s="97"/>
      <c r="E646" s="100"/>
      <c r="F646" s="100"/>
      <c r="G646" s="85"/>
      <c r="H646" s="21" t="s">
        <v>454</v>
      </c>
      <c r="I646" s="9">
        <v>663</v>
      </c>
      <c r="J646" s="15">
        <v>7</v>
      </c>
      <c r="K646" s="15">
        <v>9</v>
      </c>
      <c r="L646" s="15">
        <v>30</v>
      </c>
      <c r="M646" s="92" t="s">
        <v>347</v>
      </c>
      <c r="N646" s="92" t="s">
        <v>361</v>
      </c>
      <c r="O646" s="92" t="s">
        <v>398</v>
      </c>
      <c r="P646" s="9">
        <v>240</v>
      </c>
      <c r="Q646" s="195">
        <f>30-0.1</f>
        <v>29.9</v>
      </c>
      <c r="R646" s="195">
        <v>30</v>
      </c>
      <c r="S646" s="195">
        <v>30</v>
      </c>
    </row>
    <row r="647" spans="1:19" ht="41.25" customHeight="1" hidden="1">
      <c r="A647" s="95"/>
      <c r="B647" s="94"/>
      <c r="C647" s="99"/>
      <c r="D647" s="97"/>
      <c r="E647" s="100"/>
      <c r="F647" s="100"/>
      <c r="G647" s="85"/>
      <c r="H647" s="21" t="s">
        <v>249</v>
      </c>
      <c r="I647" s="9">
        <v>663</v>
      </c>
      <c r="J647" s="15">
        <v>7</v>
      </c>
      <c r="K647" s="15">
        <v>9</v>
      </c>
      <c r="L647" s="15">
        <v>30</v>
      </c>
      <c r="M647" s="92" t="s">
        <v>347</v>
      </c>
      <c r="N647" s="92" t="s">
        <v>361</v>
      </c>
      <c r="O647" s="92" t="s">
        <v>63</v>
      </c>
      <c r="P647" s="9"/>
      <c r="Q647" s="195">
        <f>Q648</f>
        <v>0</v>
      </c>
      <c r="R647" s="195">
        <f>R648</f>
        <v>0</v>
      </c>
      <c r="S647" s="195">
        <f>S648</f>
        <v>0</v>
      </c>
    </row>
    <row r="648" spans="1:19" ht="30" customHeight="1" hidden="1">
      <c r="A648" s="95"/>
      <c r="B648" s="94"/>
      <c r="C648" s="99"/>
      <c r="D648" s="97"/>
      <c r="E648" s="100"/>
      <c r="F648" s="100"/>
      <c r="G648" s="85"/>
      <c r="H648" s="21" t="s">
        <v>454</v>
      </c>
      <c r="I648" s="9">
        <v>663</v>
      </c>
      <c r="J648" s="15">
        <v>7</v>
      </c>
      <c r="K648" s="15">
        <v>9</v>
      </c>
      <c r="L648" s="15">
        <v>30</v>
      </c>
      <c r="M648" s="92" t="s">
        <v>347</v>
      </c>
      <c r="N648" s="92" t="s">
        <v>361</v>
      </c>
      <c r="O648" s="92" t="s">
        <v>63</v>
      </c>
      <c r="P648" s="9">
        <v>240</v>
      </c>
      <c r="Q648" s="195">
        <f>30-30</f>
        <v>0</v>
      </c>
      <c r="R648" s="195">
        <f>30-30</f>
        <v>0</v>
      </c>
      <c r="S648" s="195">
        <f>30-30</f>
        <v>0</v>
      </c>
    </row>
    <row r="649" spans="1:19" ht="30" customHeight="1">
      <c r="A649" s="95"/>
      <c r="B649" s="94"/>
      <c r="C649" s="99"/>
      <c r="D649" s="97"/>
      <c r="E649" s="100"/>
      <c r="F649" s="100"/>
      <c r="G649" s="85"/>
      <c r="H649" s="2" t="s">
        <v>520</v>
      </c>
      <c r="I649" s="9">
        <v>663</v>
      </c>
      <c r="J649" s="15">
        <v>7</v>
      </c>
      <c r="K649" s="15">
        <v>9</v>
      </c>
      <c r="L649" s="15">
        <v>30</v>
      </c>
      <c r="M649" s="92" t="s">
        <v>347</v>
      </c>
      <c r="N649" s="92" t="s">
        <v>350</v>
      </c>
      <c r="O649" s="92" t="s">
        <v>392</v>
      </c>
      <c r="P649" s="9"/>
      <c r="Q649" s="195">
        <f aca="true" t="shared" si="73" ref="Q649:S650">Q650</f>
        <v>62</v>
      </c>
      <c r="R649" s="195">
        <f t="shared" si="73"/>
        <v>0</v>
      </c>
      <c r="S649" s="195">
        <f t="shared" si="73"/>
        <v>0</v>
      </c>
    </row>
    <row r="650" spans="1:19" ht="30" customHeight="1">
      <c r="A650" s="95"/>
      <c r="B650" s="94"/>
      <c r="C650" s="99"/>
      <c r="D650" s="97"/>
      <c r="E650" s="100"/>
      <c r="F650" s="100"/>
      <c r="G650" s="85"/>
      <c r="H650" s="2" t="s">
        <v>860</v>
      </c>
      <c r="I650" s="9">
        <v>663</v>
      </c>
      <c r="J650" s="15">
        <v>7</v>
      </c>
      <c r="K650" s="15">
        <v>9</v>
      </c>
      <c r="L650" s="15">
        <v>30</v>
      </c>
      <c r="M650" s="92" t="s">
        <v>347</v>
      </c>
      <c r="N650" s="92" t="s">
        <v>350</v>
      </c>
      <c r="O650" s="92" t="s">
        <v>859</v>
      </c>
      <c r="P650" s="9"/>
      <c r="Q650" s="195">
        <f t="shared" si="73"/>
        <v>62</v>
      </c>
      <c r="R650" s="195">
        <f t="shared" si="73"/>
        <v>0</v>
      </c>
      <c r="S650" s="195">
        <f t="shared" si="73"/>
        <v>0</v>
      </c>
    </row>
    <row r="651" spans="1:19" ht="30" customHeight="1">
      <c r="A651" s="95"/>
      <c r="B651" s="94"/>
      <c r="C651" s="99"/>
      <c r="D651" s="97"/>
      <c r="E651" s="100"/>
      <c r="F651" s="100"/>
      <c r="G651" s="85"/>
      <c r="H651" s="21" t="s">
        <v>454</v>
      </c>
      <c r="I651" s="9">
        <v>663</v>
      </c>
      <c r="J651" s="15">
        <v>7</v>
      </c>
      <c r="K651" s="15">
        <v>9</v>
      </c>
      <c r="L651" s="15">
        <v>30</v>
      </c>
      <c r="M651" s="92" t="s">
        <v>347</v>
      </c>
      <c r="N651" s="92" t="s">
        <v>350</v>
      </c>
      <c r="O651" s="92" t="s">
        <v>859</v>
      </c>
      <c r="P651" s="9">
        <v>240</v>
      </c>
      <c r="Q651" s="195">
        <v>62</v>
      </c>
      <c r="R651" s="195">
        <v>0</v>
      </c>
      <c r="S651" s="195">
        <v>0</v>
      </c>
    </row>
    <row r="652" spans="1:19" ht="29.25" customHeight="1">
      <c r="A652" s="95"/>
      <c r="B652" s="94"/>
      <c r="C652" s="99"/>
      <c r="D652" s="97"/>
      <c r="E652" s="100"/>
      <c r="F652" s="100"/>
      <c r="G652" s="85"/>
      <c r="H652" s="21" t="s">
        <v>572</v>
      </c>
      <c r="I652" s="9">
        <v>663</v>
      </c>
      <c r="J652" s="15">
        <v>7</v>
      </c>
      <c r="K652" s="15">
        <v>9</v>
      </c>
      <c r="L652" s="15">
        <v>30</v>
      </c>
      <c r="M652" s="92" t="s">
        <v>347</v>
      </c>
      <c r="N652" s="92" t="s">
        <v>368</v>
      </c>
      <c r="O652" s="92" t="s">
        <v>392</v>
      </c>
      <c r="P652" s="9"/>
      <c r="Q652" s="195">
        <f>Q653+Q662+Q660+Q658</f>
        <v>4492</v>
      </c>
      <c r="R652" s="195">
        <f>R653+R662+R660</f>
        <v>4183.200000000001</v>
      </c>
      <c r="S652" s="195">
        <f>S653+S662+S660</f>
        <v>4183.400000000001</v>
      </c>
    </row>
    <row r="653" spans="1:19" ht="27" customHeight="1">
      <c r="A653" s="95"/>
      <c r="B653" s="94"/>
      <c r="C653" s="99"/>
      <c r="D653" s="97"/>
      <c r="E653" s="100"/>
      <c r="F653" s="100"/>
      <c r="G653" s="85"/>
      <c r="H653" s="21" t="s">
        <v>100</v>
      </c>
      <c r="I653" s="9">
        <v>663</v>
      </c>
      <c r="J653" s="15">
        <v>7</v>
      </c>
      <c r="K653" s="15">
        <v>9</v>
      </c>
      <c r="L653" s="15">
        <v>30</v>
      </c>
      <c r="M653" s="92" t="s">
        <v>347</v>
      </c>
      <c r="N653" s="92" t="s">
        <v>368</v>
      </c>
      <c r="O653" s="92" t="s">
        <v>398</v>
      </c>
      <c r="P653" s="9"/>
      <c r="Q653" s="195">
        <f>SUM(Q654:Q657)</f>
        <v>3690.4</v>
      </c>
      <c r="R653" s="195">
        <f>SUM(R654:R657)</f>
        <v>3594.6000000000004</v>
      </c>
      <c r="S653" s="195">
        <f>SUM(S654:S657)</f>
        <v>3594.8</v>
      </c>
    </row>
    <row r="654" spans="1:19" ht="27" customHeight="1">
      <c r="A654" s="95"/>
      <c r="B654" s="94"/>
      <c r="C654" s="99"/>
      <c r="D654" s="97"/>
      <c r="E654" s="100"/>
      <c r="F654" s="100"/>
      <c r="G654" s="85"/>
      <c r="H654" s="21" t="s">
        <v>319</v>
      </c>
      <c r="I654" s="9">
        <v>663</v>
      </c>
      <c r="J654" s="15">
        <v>7</v>
      </c>
      <c r="K654" s="15">
        <v>9</v>
      </c>
      <c r="L654" s="15">
        <v>30</v>
      </c>
      <c r="M654" s="92" t="s">
        <v>347</v>
      </c>
      <c r="N654" s="92" t="s">
        <v>368</v>
      </c>
      <c r="O654" s="92" t="s">
        <v>398</v>
      </c>
      <c r="P654" s="9">
        <v>120</v>
      </c>
      <c r="Q654" s="195">
        <f>3868.4-588.6+55.8</f>
        <v>3335.6000000000004</v>
      </c>
      <c r="R654" s="195">
        <f>3868.4-588.6</f>
        <v>3279.8</v>
      </c>
      <c r="S654" s="195">
        <f>3868.4-588.6</f>
        <v>3279.8</v>
      </c>
    </row>
    <row r="655" spans="1:19" ht="26.25" customHeight="1">
      <c r="A655" s="95"/>
      <c r="B655" s="94"/>
      <c r="C655" s="99"/>
      <c r="D655" s="97"/>
      <c r="E655" s="100"/>
      <c r="F655" s="100"/>
      <c r="G655" s="85"/>
      <c r="H655" s="21" t="s">
        <v>454</v>
      </c>
      <c r="I655" s="9">
        <v>663</v>
      </c>
      <c r="J655" s="15">
        <v>7</v>
      </c>
      <c r="K655" s="15">
        <v>9</v>
      </c>
      <c r="L655" s="15">
        <v>30</v>
      </c>
      <c r="M655" s="92" t="s">
        <v>347</v>
      </c>
      <c r="N655" s="92" t="s">
        <v>368</v>
      </c>
      <c r="O655" s="92" t="s">
        <v>398</v>
      </c>
      <c r="P655" s="9">
        <v>240</v>
      </c>
      <c r="Q655" s="195">
        <f>314.8-0.2+40-1</f>
        <v>353.6</v>
      </c>
      <c r="R655" s="195">
        <v>314.8</v>
      </c>
      <c r="S655" s="195">
        <v>315</v>
      </c>
    </row>
    <row r="656" spans="1:19" ht="26.25" customHeight="1" hidden="1">
      <c r="A656" s="95"/>
      <c r="B656" s="94"/>
      <c r="C656" s="99"/>
      <c r="D656" s="97"/>
      <c r="E656" s="100"/>
      <c r="F656" s="100"/>
      <c r="G656" s="85"/>
      <c r="H656" s="21" t="s">
        <v>459</v>
      </c>
      <c r="I656" s="9">
        <v>663</v>
      </c>
      <c r="J656" s="15">
        <v>7</v>
      </c>
      <c r="K656" s="15">
        <v>9</v>
      </c>
      <c r="L656" s="15">
        <v>30</v>
      </c>
      <c r="M656" s="92" t="s">
        <v>347</v>
      </c>
      <c r="N656" s="92" t="s">
        <v>368</v>
      </c>
      <c r="O656" s="92" t="s">
        <v>398</v>
      </c>
      <c r="P656" s="9">
        <v>320</v>
      </c>
      <c r="Q656" s="195">
        <v>0</v>
      </c>
      <c r="R656" s="195">
        <v>0</v>
      </c>
      <c r="S656" s="195">
        <v>0</v>
      </c>
    </row>
    <row r="657" spans="1:19" ht="26.25" customHeight="1">
      <c r="A657" s="95"/>
      <c r="B657" s="94"/>
      <c r="C657" s="99"/>
      <c r="D657" s="97"/>
      <c r="E657" s="100"/>
      <c r="F657" s="100"/>
      <c r="G657" s="85"/>
      <c r="H657" s="10" t="s">
        <v>455</v>
      </c>
      <c r="I657" s="9">
        <v>663</v>
      </c>
      <c r="J657" s="15">
        <v>7</v>
      </c>
      <c r="K657" s="15">
        <v>9</v>
      </c>
      <c r="L657" s="15">
        <v>30</v>
      </c>
      <c r="M657" s="92" t="s">
        <v>347</v>
      </c>
      <c r="N657" s="92" t="s">
        <v>368</v>
      </c>
      <c r="O657" s="92" t="s">
        <v>398</v>
      </c>
      <c r="P657" s="9">
        <v>850</v>
      </c>
      <c r="Q657" s="195">
        <f>0.2+1</f>
        <v>1.2</v>
      </c>
      <c r="R657" s="195">
        <v>0</v>
      </c>
      <c r="S657" s="195">
        <v>0</v>
      </c>
    </row>
    <row r="658" spans="1:19" ht="33.75" customHeight="1">
      <c r="A658" s="95"/>
      <c r="B658" s="94"/>
      <c r="C658" s="99"/>
      <c r="D658" s="97"/>
      <c r="E658" s="100"/>
      <c r="F658" s="100"/>
      <c r="G658" s="85"/>
      <c r="H658" s="274" t="s">
        <v>884</v>
      </c>
      <c r="I658" s="9">
        <v>663</v>
      </c>
      <c r="J658" s="15">
        <v>7</v>
      </c>
      <c r="K658" s="15">
        <v>9</v>
      </c>
      <c r="L658" s="15">
        <v>30</v>
      </c>
      <c r="M658" s="92" t="s">
        <v>347</v>
      </c>
      <c r="N658" s="92" t="s">
        <v>368</v>
      </c>
      <c r="O658" s="92" t="s">
        <v>883</v>
      </c>
      <c r="P658" s="9"/>
      <c r="Q658" s="195">
        <f>Q659</f>
        <v>88</v>
      </c>
      <c r="R658" s="195">
        <f>R659</f>
        <v>0</v>
      </c>
      <c r="S658" s="195">
        <f>S659</f>
        <v>0</v>
      </c>
    </row>
    <row r="659" spans="1:19" ht="26.25" customHeight="1">
      <c r="A659" s="95"/>
      <c r="B659" s="94"/>
      <c r="C659" s="99"/>
      <c r="D659" s="97"/>
      <c r="E659" s="100"/>
      <c r="F659" s="100"/>
      <c r="G659" s="85"/>
      <c r="H659" s="21" t="s">
        <v>319</v>
      </c>
      <c r="I659" s="9">
        <v>663</v>
      </c>
      <c r="J659" s="15">
        <v>7</v>
      </c>
      <c r="K659" s="15">
        <v>9</v>
      </c>
      <c r="L659" s="15">
        <v>30</v>
      </c>
      <c r="M659" s="92" t="s">
        <v>347</v>
      </c>
      <c r="N659" s="92" t="s">
        <v>368</v>
      </c>
      <c r="O659" s="92" t="s">
        <v>883</v>
      </c>
      <c r="P659" s="9">
        <v>120</v>
      </c>
      <c r="Q659" s="195">
        <v>88</v>
      </c>
      <c r="R659" s="195">
        <v>0</v>
      </c>
      <c r="S659" s="195">
        <v>0</v>
      </c>
    </row>
    <row r="660" spans="1:19" ht="40.5" customHeight="1">
      <c r="A660" s="95"/>
      <c r="B660" s="94"/>
      <c r="C660" s="99"/>
      <c r="D660" s="97"/>
      <c r="E660" s="100"/>
      <c r="F660" s="100"/>
      <c r="G660" s="85"/>
      <c r="H660" s="229" t="s">
        <v>595</v>
      </c>
      <c r="I660" s="9">
        <v>663</v>
      </c>
      <c r="J660" s="15">
        <v>7</v>
      </c>
      <c r="K660" s="15">
        <v>9</v>
      </c>
      <c r="L660" s="15">
        <v>30</v>
      </c>
      <c r="M660" s="92" t="s">
        <v>347</v>
      </c>
      <c r="N660" s="92" t="s">
        <v>368</v>
      </c>
      <c r="O660" s="92" t="s">
        <v>594</v>
      </c>
      <c r="P660" s="9"/>
      <c r="Q660" s="195">
        <f>Q661</f>
        <v>713.6</v>
      </c>
      <c r="R660" s="195">
        <f>R661</f>
        <v>588.6</v>
      </c>
      <c r="S660" s="195">
        <f>S661</f>
        <v>588.6</v>
      </c>
    </row>
    <row r="661" spans="1:19" ht="26.25" customHeight="1">
      <c r="A661" s="95"/>
      <c r="B661" s="94"/>
      <c r="C661" s="99"/>
      <c r="D661" s="97"/>
      <c r="E661" s="100"/>
      <c r="F661" s="100"/>
      <c r="G661" s="85"/>
      <c r="H661" s="21" t="s">
        <v>319</v>
      </c>
      <c r="I661" s="9">
        <v>663</v>
      </c>
      <c r="J661" s="15">
        <v>7</v>
      </c>
      <c r="K661" s="15">
        <v>9</v>
      </c>
      <c r="L661" s="15">
        <v>30</v>
      </c>
      <c r="M661" s="92" t="s">
        <v>347</v>
      </c>
      <c r="N661" s="92" t="s">
        <v>368</v>
      </c>
      <c r="O661" s="92" t="s">
        <v>594</v>
      </c>
      <c r="P661" s="9">
        <v>120</v>
      </c>
      <c r="Q661" s="195">
        <f>588.6+125</f>
        <v>713.6</v>
      </c>
      <c r="R661" s="195">
        <v>588.6</v>
      </c>
      <c r="S661" s="195">
        <v>588.6</v>
      </c>
    </row>
    <row r="662" spans="1:19" ht="38.25" customHeight="1" hidden="1">
      <c r="A662" s="95"/>
      <c r="B662" s="94"/>
      <c r="C662" s="99"/>
      <c r="D662" s="97"/>
      <c r="E662" s="100"/>
      <c r="F662" s="100"/>
      <c r="G662" s="85"/>
      <c r="H662" s="229" t="s">
        <v>249</v>
      </c>
      <c r="I662" s="9">
        <v>663</v>
      </c>
      <c r="J662" s="15">
        <v>7</v>
      </c>
      <c r="K662" s="15">
        <v>9</v>
      </c>
      <c r="L662" s="15">
        <v>30</v>
      </c>
      <c r="M662" s="92" t="s">
        <v>347</v>
      </c>
      <c r="N662" s="92" t="s">
        <v>368</v>
      </c>
      <c r="O662" s="92" t="s">
        <v>63</v>
      </c>
      <c r="P662" s="9"/>
      <c r="Q662" s="195">
        <f>SUM(Q663:Q665)</f>
        <v>0</v>
      </c>
      <c r="R662" s="195">
        <f>SUM(R663:R665)</f>
        <v>0</v>
      </c>
      <c r="S662" s="195">
        <f>SUM(S663:S665)</f>
        <v>0</v>
      </c>
    </row>
    <row r="663" spans="1:19" ht="27" customHeight="1" hidden="1">
      <c r="A663" s="95"/>
      <c r="B663" s="94"/>
      <c r="C663" s="99"/>
      <c r="D663" s="97"/>
      <c r="E663" s="100"/>
      <c r="F663" s="100"/>
      <c r="G663" s="85"/>
      <c r="H663" s="229" t="s">
        <v>457</v>
      </c>
      <c r="I663" s="9">
        <v>663</v>
      </c>
      <c r="J663" s="15">
        <v>7</v>
      </c>
      <c r="K663" s="15">
        <v>9</v>
      </c>
      <c r="L663" s="15">
        <v>30</v>
      </c>
      <c r="M663" s="92" t="s">
        <v>347</v>
      </c>
      <c r="N663" s="92" t="s">
        <v>368</v>
      </c>
      <c r="O663" s="92" t="s">
        <v>63</v>
      </c>
      <c r="P663" s="9">
        <v>110</v>
      </c>
      <c r="Q663" s="195">
        <v>0</v>
      </c>
      <c r="R663" s="195">
        <v>0</v>
      </c>
      <c r="S663" s="195">
        <v>0</v>
      </c>
    </row>
    <row r="664" spans="1:19" ht="22.5" customHeight="1" hidden="1">
      <c r="A664" s="95"/>
      <c r="B664" s="94"/>
      <c r="C664" s="99"/>
      <c r="D664" s="97"/>
      <c r="E664" s="100"/>
      <c r="F664" s="100"/>
      <c r="G664" s="85"/>
      <c r="H664" s="229" t="s">
        <v>454</v>
      </c>
      <c r="I664" s="9">
        <v>663</v>
      </c>
      <c r="J664" s="15">
        <v>7</v>
      </c>
      <c r="K664" s="15">
        <v>9</v>
      </c>
      <c r="L664" s="15">
        <v>30</v>
      </c>
      <c r="M664" s="92" t="s">
        <v>347</v>
      </c>
      <c r="N664" s="92" t="s">
        <v>368</v>
      </c>
      <c r="O664" s="92" t="s">
        <v>63</v>
      </c>
      <c r="P664" s="9">
        <v>240</v>
      </c>
      <c r="Q664" s="195">
        <v>0</v>
      </c>
      <c r="R664" s="195">
        <v>0</v>
      </c>
      <c r="S664" s="195">
        <v>0</v>
      </c>
    </row>
    <row r="665" spans="1:19" ht="22.5" customHeight="1" hidden="1">
      <c r="A665" s="95"/>
      <c r="B665" s="94"/>
      <c r="C665" s="99"/>
      <c r="D665" s="97"/>
      <c r="E665" s="100"/>
      <c r="F665" s="100"/>
      <c r="G665" s="85"/>
      <c r="H665" s="10" t="s">
        <v>455</v>
      </c>
      <c r="I665" s="9">
        <v>663</v>
      </c>
      <c r="J665" s="15">
        <v>7</v>
      </c>
      <c r="K665" s="15">
        <v>9</v>
      </c>
      <c r="L665" s="15">
        <v>30</v>
      </c>
      <c r="M665" s="92" t="s">
        <v>347</v>
      </c>
      <c r="N665" s="92" t="s">
        <v>368</v>
      </c>
      <c r="O665" s="92" t="s">
        <v>63</v>
      </c>
      <c r="P665" s="9">
        <v>850</v>
      </c>
      <c r="Q665" s="195">
        <v>0</v>
      </c>
      <c r="R665" s="195">
        <v>0</v>
      </c>
      <c r="S665" s="195">
        <v>0</v>
      </c>
    </row>
    <row r="666" spans="1:19" ht="39.75" customHeight="1">
      <c r="A666" s="95"/>
      <c r="B666" s="94"/>
      <c r="C666" s="99"/>
      <c r="D666" s="97"/>
      <c r="E666" s="100"/>
      <c r="F666" s="100"/>
      <c r="G666" s="85"/>
      <c r="H666" s="4" t="s">
        <v>630</v>
      </c>
      <c r="I666" s="9">
        <v>663</v>
      </c>
      <c r="J666" s="15">
        <v>7</v>
      </c>
      <c r="K666" s="15">
        <v>9</v>
      </c>
      <c r="L666" s="91" t="s">
        <v>632</v>
      </c>
      <c r="M666" s="92" t="s">
        <v>347</v>
      </c>
      <c r="N666" s="92" t="s">
        <v>357</v>
      </c>
      <c r="O666" s="92" t="s">
        <v>392</v>
      </c>
      <c r="P666" s="9"/>
      <c r="Q666" s="195">
        <f>Q667</f>
        <v>70</v>
      </c>
      <c r="R666" s="195">
        <f aca="true" t="shared" si="74" ref="R666:S668">R667</f>
        <v>70</v>
      </c>
      <c r="S666" s="195">
        <f t="shared" si="74"/>
        <v>70</v>
      </c>
    </row>
    <row r="667" spans="1:19" ht="33.75" customHeight="1">
      <c r="A667" s="95"/>
      <c r="B667" s="94"/>
      <c r="C667" s="99"/>
      <c r="D667" s="97"/>
      <c r="E667" s="100"/>
      <c r="F667" s="100"/>
      <c r="G667" s="85"/>
      <c r="H667" s="4" t="s">
        <v>633</v>
      </c>
      <c r="I667" s="9">
        <v>663</v>
      </c>
      <c r="J667" s="15">
        <v>7</v>
      </c>
      <c r="K667" s="15">
        <v>9</v>
      </c>
      <c r="L667" s="91" t="s">
        <v>632</v>
      </c>
      <c r="M667" s="92" t="s">
        <v>347</v>
      </c>
      <c r="N667" s="92" t="s">
        <v>365</v>
      </c>
      <c r="O667" s="92" t="s">
        <v>392</v>
      </c>
      <c r="P667" s="9"/>
      <c r="Q667" s="195">
        <f>Q668</f>
        <v>70</v>
      </c>
      <c r="R667" s="195">
        <f t="shared" si="74"/>
        <v>70</v>
      </c>
      <c r="S667" s="195">
        <f t="shared" si="74"/>
        <v>70</v>
      </c>
    </row>
    <row r="668" spans="1:19" ht="42" customHeight="1">
      <c r="A668" s="95"/>
      <c r="B668" s="94"/>
      <c r="C668" s="99"/>
      <c r="D668" s="97"/>
      <c r="E668" s="100"/>
      <c r="F668" s="100"/>
      <c r="G668" s="85"/>
      <c r="H668" s="4" t="s">
        <v>634</v>
      </c>
      <c r="I668" s="9">
        <v>663</v>
      </c>
      <c r="J668" s="15">
        <v>7</v>
      </c>
      <c r="K668" s="15">
        <v>9</v>
      </c>
      <c r="L668" s="91" t="s">
        <v>632</v>
      </c>
      <c r="M668" s="92" t="s">
        <v>347</v>
      </c>
      <c r="N668" s="92" t="s">
        <v>365</v>
      </c>
      <c r="O668" s="92" t="s">
        <v>18</v>
      </c>
      <c r="P668" s="9"/>
      <c r="Q668" s="195">
        <f>Q669</f>
        <v>70</v>
      </c>
      <c r="R668" s="195">
        <f t="shared" si="74"/>
        <v>70</v>
      </c>
      <c r="S668" s="195">
        <f t="shared" si="74"/>
        <v>70</v>
      </c>
    </row>
    <row r="669" spans="1:19" ht="28.5" customHeight="1">
      <c r="A669" s="95"/>
      <c r="B669" s="94"/>
      <c r="C669" s="99"/>
      <c r="D669" s="97"/>
      <c r="E669" s="100"/>
      <c r="F669" s="100"/>
      <c r="G669" s="85"/>
      <c r="H669" s="4" t="s">
        <v>454</v>
      </c>
      <c r="I669" s="9">
        <v>663</v>
      </c>
      <c r="J669" s="15">
        <v>7</v>
      </c>
      <c r="K669" s="15">
        <v>9</v>
      </c>
      <c r="L669" s="91" t="s">
        <v>632</v>
      </c>
      <c r="M669" s="92" t="s">
        <v>347</v>
      </c>
      <c r="N669" s="92" t="s">
        <v>365</v>
      </c>
      <c r="O669" s="92" t="s">
        <v>18</v>
      </c>
      <c r="P669" s="9">
        <v>240</v>
      </c>
      <c r="Q669" s="195">
        <v>70</v>
      </c>
      <c r="R669" s="195">
        <v>70</v>
      </c>
      <c r="S669" s="195">
        <v>70</v>
      </c>
    </row>
    <row r="670" spans="1:19" s="171" customFormat="1" ht="21.75" customHeight="1">
      <c r="A670" s="135"/>
      <c r="B670" s="136"/>
      <c r="C670" s="146"/>
      <c r="D670" s="143"/>
      <c r="E670" s="138"/>
      <c r="F670" s="138"/>
      <c r="G670" s="129"/>
      <c r="H670" s="130" t="s">
        <v>327</v>
      </c>
      <c r="I670" s="131">
        <v>663</v>
      </c>
      <c r="J670" s="132">
        <v>10</v>
      </c>
      <c r="K670" s="132"/>
      <c r="L670" s="133"/>
      <c r="M670" s="134"/>
      <c r="N670" s="134"/>
      <c r="O670" s="134"/>
      <c r="P670" s="131"/>
      <c r="Q670" s="194">
        <f aca="true" t="shared" si="75" ref="Q670:S671">Q671</f>
        <v>3455.4</v>
      </c>
      <c r="R670" s="194">
        <f t="shared" si="75"/>
        <v>3455.4</v>
      </c>
      <c r="S670" s="194">
        <f t="shared" si="75"/>
        <v>3455.4</v>
      </c>
    </row>
    <row r="671" spans="1:19" s="171" customFormat="1" ht="18.75" customHeight="1">
      <c r="A671" s="135"/>
      <c r="B671" s="136"/>
      <c r="C671" s="146"/>
      <c r="D671" s="143"/>
      <c r="E671" s="373">
        <v>3150300</v>
      </c>
      <c r="F671" s="373"/>
      <c r="G671" s="129">
        <v>850</v>
      </c>
      <c r="H671" s="130" t="s">
        <v>125</v>
      </c>
      <c r="I671" s="131">
        <v>663</v>
      </c>
      <c r="J671" s="132">
        <v>10</v>
      </c>
      <c r="K671" s="132">
        <v>4</v>
      </c>
      <c r="L671" s="133" t="s">
        <v>320</v>
      </c>
      <c r="M671" s="134" t="s">
        <v>320</v>
      </c>
      <c r="N671" s="134"/>
      <c r="O671" s="134" t="s">
        <v>320</v>
      </c>
      <c r="P671" s="131" t="s">
        <v>320</v>
      </c>
      <c r="Q671" s="194">
        <f t="shared" si="75"/>
        <v>3455.4</v>
      </c>
      <c r="R671" s="194">
        <f t="shared" si="75"/>
        <v>3455.4</v>
      </c>
      <c r="S671" s="194">
        <f t="shared" si="75"/>
        <v>3455.4</v>
      </c>
    </row>
    <row r="672" spans="1:19" ht="34.5" customHeight="1">
      <c r="A672" s="95"/>
      <c r="B672" s="94"/>
      <c r="C672" s="99"/>
      <c r="D672" s="97"/>
      <c r="E672" s="362">
        <v>5221300</v>
      </c>
      <c r="F672" s="362"/>
      <c r="G672" s="85">
        <v>410</v>
      </c>
      <c r="H672" s="223" t="s">
        <v>649</v>
      </c>
      <c r="I672" s="9">
        <v>663</v>
      </c>
      <c r="J672" s="15">
        <v>10</v>
      </c>
      <c r="K672" s="15">
        <v>4</v>
      </c>
      <c r="L672" s="91" t="s">
        <v>60</v>
      </c>
      <c r="M672" s="92" t="s">
        <v>347</v>
      </c>
      <c r="N672" s="92" t="s">
        <v>357</v>
      </c>
      <c r="O672" s="92" t="s">
        <v>392</v>
      </c>
      <c r="P672" s="9" t="s">
        <v>320</v>
      </c>
      <c r="Q672" s="195">
        <f aca="true" t="shared" si="76" ref="Q672:S673">Q673</f>
        <v>3455.4</v>
      </c>
      <c r="R672" s="195">
        <f t="shared" si="76"/>
        <v>3455.4</v>
      </c>
      <c r="S672" s="195">
        <f t="shared" si="76"/>
        <v>3455.4</v>
      </c>
    </row>
    <row r="673" spans="1:19" ht="29.25" customHeight="1">
      <c r="A673" s="95"/>
      <c r="B673" s="94"/>
      <c r="C673" s="99"/>
      <c r="D673" s="97"/>
      <c r="E673" s="100"/>
      <c r="F673" s="100"/>
      <c r="G673" s="85"/>
      <c r="H673" s="53" t="s">
        <v>95</v>
      </c>
      <c r="I673" s="9">
        <v>663</v>
      </c>
      <c r="J673" s="15">
        <v>10</v>
      </c>
      <c r="K673" s="15">
        <v>4</v>
      </c>
      <c r="L673" s="91" t="s">
        <v>60</v>
      </c>
      <c r="M673" s="92" t="s">
        <v>347</v>
      </c>
      <c r="N673" s="92" t="s">
        <v>348</v>
      </c>
      <c r="O673" s="92" t="s">
        <v>392</v>
      </c>
      <c r="P673" s="9"/>
      <c r="Q673" s="195">
        <f t="shared" si="76"/>
        <v>3455.4</v>
      </c>
      <c r="R673" s="195">
        <f t="shared" si="76"/>
        <v>3455.4</v>
      </c>
      <c r="S673" s="195">
        <f t="shared" si="76"/>
        <v>3455.4</v>
      </c>
    </row>
    <row r="674" spans="1:19" ht="48" customHeight="1">
      <c r="A674" s="95"/>
      <c r="B674" s="94"/>
      <c r="C674" s="99"/>
      <c r="D674" s="97"/>
      <c r="E674" s="100"/>
      <c r="F674" s="100"/>
      <c r="G674" s="85"/>
      <c r="H674" s="224" t="s">
        <v>89</v>
      </c>
      <c r="I674" s="9">
        <v>663</v>
      </c>
      <c r="J674" s="6">
        <v>10</v>
      </c>
      <c r="K674" s="15">
        <v>4</v>
      </c>
      <c r="L674" s="91" t="s">
        <v>60</v>
      </c>
      <c r="M674" s="92" t="s">
        <v>347</v>
      </c>
      <c r="N674" s="92" t="s">
        <v>348</v>
      </c>
      <c r="O674" s="92" t="s">
        <v>88</v>
      </c>
      <c r="P674" s="9"/>
      <c r="Q674" s="195">
        <f>Q676+Q675</f>
        <v>3455.4</v>
      </c>
      <c r="R674" s="195">
        <f>R676+R675</f>
        <v>3455.4</v>
      </c>
      <c r="S674" s="195">
        <f>S676+S675</f>
        <v>3455.4</v>
      </c>
    </row>
    <row r="675" spans="1:19" ht="41.25" customHeight="1">
      <c r="A675" s="95"/>
      <c r="B675" s="94"/>
      <c r="C675" s="99"/>
      <c r="D675" s="97"/>
      <c r="E675" s="100"/>
      <c r="F675" s="100"/>
      <c r="G675" s="85"/>
      <c r="H675" s="4" t="s">
        <v>454</v>
      </c>
      <c r="I675" s="9">
        <v>663</v>
      </c>
      <c r="J675" s="6">
        <v>10</v>
      </c>
      <c r="K675" s="15">
        <v>4</v>
      </c>
      <c r="L675" s="91" t="s">
        <v>60</v>
      </c>
      <c r="M675" s="92" t="s">
        <v>347</v>
      </c>
      <c r="N675" s="92" t="s">
        <v>348</v>
      </c>
      <c r="O675" s="92" t="s">
        <v>88</v>
      </c>
      <c r="P675" s="9">
        <v>240</v>
      </c>
      <c r="Q675" s="195">
        <v>41.1</v>
      </c>
      <c r="R675" s="195">
        <v>41.1</v>
      </c>
      <c r="S675" s="195">
        <v>41.1</v>
      </c>
    </row>
    <row r="676" spans="1:19" ht="26.25" customHeight="1">
      <c r="A676" s="95"/>
      <c r="B676" s="94"/>
      <c r="C676" s="99"/>
      <c r="D676" s="97"/>
      <c r="E676" s="100"/>
      <c r="F676" s="100"/>
      <c r="G676" s="85"/>
      <c r="H676" s="228" t="s">
        <v>459</v>
      </c>
      <c r="I676" s="9">
        <v>663</v>
      </c>
      <c r="J676" s="6">
        <v>10</v>
      </c>
      <c r="K676" s="15">
        <v>4</v>
      </c>
      <c r="L676" s="91" t="s">
        <v>60</v>
      </c>
      <c r="M676" s="92" t="s">
        <v>347</v>
      </c>
      <c r="N676" s="92" t="s">
        <v>348</v>
      </c>
      <c r="O676" s="92" t="s">
        <v>88</v>
      </c>
      <c r="P676" s="9">
        <v>320</v>
      </c>
      <c r="Q676" s="195">
        <f>3455.4-41.1</f>
        <v>3414.3</v>
      </c>
      <c r="R676" s="195">
        <f>3455.4-41.1</f>
        <v>3414.3</v>
      </c>
      <c r="S676" s="195">
        <f>3455.4-41.1</f>
        <v>3414.3</v>
      </c>
    </row>
    <row r="677" spans="1:19" s="273" customFormat="1" ht="18.75" customHeight="1">
      <c r="A677" s="394">
        <v>17</v>
      </c>
      <c r="B677" s="394"/>
      <c r="C677" s="394"/>
      <c r="D677" s="394"/>
      <c r="E677" s="394"/>
      <c r="F677" s="394"/>
      <c r="G677" s="125">
        <v>240</v>
      </c>
      <c r="H677" s="31" t="s">
        <v>338</v>
      </c>
      <c r="I677" s="13">
        <v>664</v>
      </c>
      <c r="J677" s="14" t="s">
        <v>320</v>
      </c>
      <c r="K677" s="14" t="s">
        <v>320</v>
      </c>
      <c r="L677" s="126" t="s">
        <v>320</v>
      </c>
      <c r="M677" s="127" t="s">
        <v>320</v>
      </c>
      <c r="N677" s="127"/>
      <c r="O677" s="127"/>
      <c r="P677" s="13" t="s">
        <v>320</v>
      </c>
      <c r="Q677" s="193">
        <f>Q678+Q710+Q716</f>
        <v>13605.2</v>
      </c>
      <c r="R677" s="193">
        <f>R678+R710+R716</f>
        <v>10090</v>
      </c>
      <c r="S677" s="193">
        <f>S678+S710+S716</f>
        <v>10090</v>
      </c>
    </row>
    <row r="678" spans="1:19" s="171" customFormat="1" ht="18.75" customHeight="1">
      <c r="A678" s="365">
        <v>100</v>
      </c>
      <c r="B678" s="365"/>
      <c r="C678" s="366"/>
      <c r="D678" s="366"/>
      <c r="E678" s="366"/>
      <c r="F678" s="366"/>
      <c r="G678" s="129">
        <v>240</v>
      </c>
      <c r="H678" s="130" t="s">
        <v>322</v>
      </c>
      <c r="I678" s="131">
        <v>664</v>
      </c>
      <c r="J678" s="132">
        <v>1</v>
      </c>
      <c r="K678" s="132" t="s">
        <v>393</v>
      </c>
      <c r="L678" s="133" t="s">
        <v>320</v>
      </c>
      <c r="M678" s="134" t="s">
        <v>320</v>
      </c>
      <c r="N678" s="134"/>
      <c r="O678" s="134" t="s">
        <v>320</v>
      </c>
      <c r="P678" s="131" t="s">
        <v>320</v>
      </c>
      <c r="Q678" s="194">
        <f aca="true" t="shared" si="77" ref="Q678:S679">Q679</f>
        <v>6033.000000000001</v>
      </c>
      <c r="R678" s="194">
        <f t="shared" si="77"/>
        <v>4948.400000000001</v>
      </c>
      <c r="S678" s="194">
        <f t="shared" si="77"/>
        <v>4948.400000000001</v>
      </c>
    </row>
    <row r="679" spans="1:19" s="171" customFormat="1" ht="18.75" customHeight="1">
      <c r="A679" s="135"/>
      <c r="B679" s="136"/>
      <c r="C679" s="365">
        <v>113</v>
      </c>
      <c r="D679" s="366"/>
      <c r="E679" s="366"/>
      <c r="F679" s="366"/>
      <c r="G679" s="129">
        <v>240</v>
      </c>
      <c r="H679" s="130" t="s">
        <v>321</v>
      </c>
      <c r="I679" s="131">
        <v>664</v>
      </c>
      <c r="J679" s="132">
        <v>1</v>
      </c>
      <c r="K679" s="132">
        <v>13</v>
      </c>
      <c r="L679" s="133" t="s">
        <v>320</v>
      </c>
      <c r="M679" s="134" t="s">
        <v>320</v>
      </c>
      <c r="N679" s="134"/>
      <c r="O679" s="134" t="s">
        <v>320</v>
      </c>
      <c r="P679" s="131" t="s">
        <v>320</v>
      </c>
      <c r="Q679" s="194">
        <f t="shared" si="77"/>
        <v>6033.000000000001</v>
      </c>
      <c r="R679" s="194">
        <f t="shared" si="77"/>
        <v>4948.400000000001</v>
      </c>
      <c r="S679" s="194">
        <f t="shared" si="77"/>
        <v>4948.400000000001</v>
      </c>
    </row>
    <row r="680" spans="1:19" ht="33.75" customHeight="1">
      <c r="A680" s="93"/>
      <c r="B680" s="94"/>
      <c r="C680" s="93"/>
      <c r="D680" s="107"/>
      <c r="E680" s="110"/>
      <c r="F680" s="110"/>
      <c r="G680" s="85"/>
      <c r="H680" s="10" t="s">
        <v>746</v>
      </c>
      <c r="I680" s="9">
        <v>664</v>
      </c>
      <c r="J680" s="15">
        <v>1</v>
      </c>
      <c r="K680" s="15">
        <v>13</v>
      </c>
      <c r="L680" s="91" t="s">
        <v>744</v>
      </c>
      <c r="M680" s="92" t="s">
        <v>347</v>
      </c>
      <c r="N680" s="92" t="s">
        <v>357</v>
      </c>
      <c r="O680" s="92" t="s">
        <v>392</v>
      </c>
      <c r="P680" s="9"/>
      <c r="Q680" s="195">
        <f>Q681+Q684+Q687+Q691+Q707</f>
        <v>6033.000000000001</v>
      </c>
      <c r="R680" s="195">
        <f>R681+R684+R687+R691+R707</f>
        <v>4948.400000000001</v>
      </c>
      <c r="S680" s="195">
        <f>S681+S684+S687+S691+S707</f>
        <v>4948.400000000001</v>
      </c>
    </row>
    <row r="681" spans="1:19" ht="24.75" customHeight="1">
      <c r="A681" s="95"/>
      <c r="B681" s="94"/>
      <c r="C681" s="93"/>
      <c r="D681" s="105"/>
      <c r="E681" s="100"/>
      <c r="F681" s="100"/>
      <c r="G681" s="85"/>
      <c r="H681" s="10" t="s">
        <v>748</v>
      </c>
      <c r="I681" s="9">
        <v>664</v>
      </c>
      <c r="J681" s="15">
        <v>1</v>
      </c>
      <c r="K681" s="15">
        <v>13</v>
      </c>
      <c r="L681" s="15">
        <v>48</v>
      </c>
      <c r="M681" s="92" t="s">
        <v>347</v>
      </c>
      <c r="N681" s="92" t="s">
        <v>348</v>
      </c>
      <c r="O681" s="92" t="s">
        <v>392</v>
      </c>
      <c r="P681" s="9"/>
      <c r="Q681" s="195">
        <f aca="true" t="shared" si="78" ref="Q681:S682">Q682</f>
        <v>520</v>
      </c>
      <c r="R681" s="195">
        <f t="shared" si="78"/>
        <v>470</v>
      </c>
      <c r="S681" s="195">
        <f t="shared" si="78"/>
        <v>470</v>
      </c>
    </row>
    <row r="682" spans="1:19" ht="24.75" customHeight="1">
      <c r="A682" s="95"/>
      <c r="B682" s="94"/>
      <c r="C682" s="93"/>
      <c r="D682" s="105"/>
      <c r="E682" s="100"/>
      <c r="F682" s="100"/>
      <c r="G682" s="85"/>
      <c r="H682" s="10" t="s">
        <v>118</v>
      </c>
      <c r="I682" s="9">
        <v>664</v>
      </c>
      <c r="J682" s="15">
        <v>1</v>
      </c>
      <c r="K682" s="15">
        <v>13</v>
      </c>
      <c r="L682" s="15">
        <v>48</v>
      </c>
      <c r="M682" s="92" t="s">
        <v>347</v>
      </c>
      <c r="N682" s="92" t="s">
        <v>348</v>
      </c>
      <c r="O682" s="92" t="s">
        <v>79</v>
      </c>
      <c r="P682" s="9"/>
      <c r="Q682" s="195">
        <f t="shared" si="78"/>
        <v>520</v>
      </c>
      <c r="R682" s="195">
        <f t="shared" si="78"/>
        <v>470</v>
      </c>
      <c r="S682" s="195">
        <f t="shared" si="78"/>
        <v>470</v>
      </c>
    </row>
    <row r="683" spans="1:19" ht="24.75" customHeight="1">
      <c r="A683" s="95"/>
      <c r="B683" s="94"/>
      <c r="C683" s="93"/>
      <c r="D683" s="105"/>
      <c r="E683" s="100"/>
      <c r="F683" s="100"/>
      <c r="G683" s="85"/>
      <c r="H683" s="10" t="s">
        <v>454</v>
      </c>
      <c r="I683" s="9">
        <v>664</v>
      </c>
      <c r="J683" s="15">
        <v>1</v>
      </c>
      <c r="K683" s="15">
        <v>13</v>
      </c>
      <c r="L683" s="15">
        <v>48</v>
      </c>
      <c r="M683" s="92" t="s">
        <v>347</v>
      </c>
      <c r="N683" s="92" t="s">
        <v>348</v>
      </c>
      <c r="O683" s="92" t="s">
        <v>79</v>
      </c>
      <c r="P683" s="9">
        <v>240</v>
      </c>
      <c r="Q683" s="195">
        <f>470+50</f>
        <v>520</v>
      </c>
      <c r="R683" s="195">
        <v>470</v>
      </c>
      <c r="S683" s="195">
        <v>470</v>
      </c>
    </row>
    <row r="684" spans="1:19" ht="39" customHeight="1">
      <c r="A684" s="95"/>
      <c r="B684" s="94"/>
      <c r="C684" s="93"/>
      <c r="D684" s="105"/>
      <c r="E684" s="100"/>
      <c r="F684" s="100"/>
      <c r="G684" s="85"/>
      <c r="H684" s="10" t="s">
        <v>749</v>
      </c>
      <c r="I684" s="9">
        <v>664</v>
      </c>
      <c r="J684" s="15">
        <v>1</v>
      </c>
      <c r="K684" s="15">
        <v>13</v>
      </c>
      <c r="L684" s="15">
        <v>48</v>
      </c>
      <c r="M684" s="92" t="s">
        <v>347</v>
      </c>
      <c r="N684" s="92" t="s">
        <v>365</v>
      </c>
      <c r="O684" s="92" t="s">
        <v>392</v>
      </c>
      <c r="P684" s="9"/>
      <c r="Q684" s="195">
        <f aca="true" t="shared" si="79" ref="Q684:S685">Q685</f>
        <v>100</v>
      </c>
      <c r="R684" s="195">
        <f t="shared" si="79"/>
        <v>100</v>
      </c>
      <c r="S684" s="195">
        <f t="shared" si="79"/>
        <v>100</v>
      </c>
    </row>
    <row r="685" spans="1:19" ht="33" customHeight="1">
      <c r="A685" s="95"/>
      <c r="B685" s="94"/>
      <c r="C685" s="93"/>
      <c r="D685" s="105"/>
      <c r="E685" s="100"/>
      <c r="F685" s="100"/>
      <c r="G685" s="85"/>
      <c r="H685" s="10" t="s">
        <v>750</v>
      </c>
      <c r="I685" s="9">
        <v>664</v>
      </c>
      <c r="J685" s="15">
        <v>1</v>
      </c>
      <c r="K685" s="15">
        <v>13</v>
      </c>
      <c r="L685" s="15">
        <v>48</v>
      </c>
      <c r="M685" s="92" t="s">
        <v>347</v>
      </c>
      <c r="N685" s="92" t="s">
        <v>365</v>
      </c>
      <c r="O685" s="92" t="s">
        <v>78</v>
      </c>
      <c r="P685" s="9"/>
      <c r="Q685" s="195">
        <f t="shared" si="79"/>
        <v>100</v>
      </c>
      <c r="R685" s="195">
        <f t="shared" si="79"/>
        <v>100</v>
      </c>
      <c r="S685" s="195">
        <f t="shared" si="79"/>
        <v>100</v>
      </c>
    </row>
    <row r="686" spans="1:19" ht="24.75" customHeight="1">
      <c r="A686" s="95"/>
      <c r="B686" s="94"/>
      <c r="C686" s="93"/>
      <c r="D686" s="105"/>
      <c r="E686" s="100"/>
      <c r="F686" s="100"/>
      <c r="G686" s="85"/>
      <c r="H686" s="10" t="s">
        <v>454</v>
      </c>
      <c r="I686" s="9">
        <v>664</v>
      </c>
      <c r="J686" s="15">
        <v>1</v>
      </c>
      <c r="K686" s="15">
        <v>13</v>
      </c>
      <c r="L686" s="15">
        <v>48</v>
      </c>
      <c r="M686" s="92" t="s">
        <v>347</v>
      </c>
      <c r="N686" s="92" t="s">
        <v>365</v>
      </c>
      <c r="O686" s="92" t="s">
        <v>78</v>
      </c>
      <c r="P686" s="9">
        <v>240</v>
      </c>
      <c r="Q686" s="195">
        <v>100</v>
      </c>
      <c r="R686" s="195">
        <v>100</v>
      </c>
      <c r="S686" s="195">
        <v>100</v>
      </c>
    </row>
    <row r="687" spans="1:19" ht="39.75" customHeight="1">
      <c r="A687" s="95"/>
      <c r="B687" s="94"/>
      <c r="C687" s="93"/>
      <c r="D687" s="105"/>
      <c r="E687" s="100"/>
      <c r="F687" s="100"/>
      <c r="G687" s="85"/>
      <c r="H687" s="10" t="s">
        <v>751</v>
      </c>
      <c r="I687" s="9">
        <v>664</v>
      </c>
      <c r="J687" s="15">
        <v>1</v>
      </c>
      <c r="K687" s="15">
        <v>13</v>
      </c>
      <c r="L687" s="15">
        <v>48</v>
      </c>
      <c r="M687" s="92" t="s">
        <v>347</v>
      </c>
      <c r="N687" s="92" t="s">
        <v>366</v>
      </c>
      <c r="O687" s="92" t="s">
        <v>392</v>
      </c>
      <c r="P687" s="9"/>
      <c r="Q687" s="195">
        <f>Q688</f>
        <v>93.6</v>
      </c>
      <c r="R687" s="195">
        <f>R688</f>
        <v>143.6</v>
      </c>
      <c r="S687" s="195">
        <f>S688</f>
        <v>143.6</v>
      </c>
    </row>
    <row r="688" spans="1:19" ht="28.5" customHeight="1">
      <c r="A688" s="95"/>
      <c r="B688" s="94"/>
      <c r="C688" s="93"/>
      <c r="D688" s="105"/>
      <c r="E688" s="100"/>
      <c r="F688" s="100"/>
      <c r="G688" s="85"/>
      <c r="H688" s="10" t="s">
        <v>37</v>
      </c>
      <c r="I688" s="9">
        <v>664</v>
      </c>
      <c r="J688" s="15">
        <v>1</v>
      </c>
      <c r="K688" s="15">
        <v>13</v>
      </c>
      <c r="L688" s="15">
        <v>48</v>
      </c>
      <c r="M688" s="92" t="s">
        <v>347</v>
      </c>
      <c r="N688" s="92" t="s">
        <v>366</v>
      </c>
      <c r="O688" s="92" t="s">
        <v>36</v>
      </c>
      <c r="P688" s="9"/>
      <c r="Q688" s="195">
        <f>SUM(Q689:Q690)</f>
        <v>93.6</v>
      </c>
      <c r="R688" s="195">
        <f>SUM(R689:R690)</f>
        <v>143.6</v>
      </c>
      <c r="S688" s="195">
        <f>SUM(S689:S690)</f>
        <v>143.6</v>
      </c>
    </row>
    <row r="689" spans="1:19" ht="24.75" customHeight="1">
      <c r="A689" s="95"/>
      <c r="B689" s="94"/>
      <c r="C689" s="93"/>
      <c r="D689" s="105"/>
      <c r="E689" s="100"/>
      <c r="F689" s="100"/>
      <c r="G689" s="85"/>
      <c r="H689" s="10" t="s">
        <v>454</v>
      </c>
      <c r="I689" s="9">
        <v>664</v>
      </c>
      <c r="J689" s="15">
        <v>1</v>
      </c>
      <c r="K689" s="15">
        <v>13</v>
      </c>
      <c r="L689" s="15">
        <v>48</v>
      </c>
      <c r="M689" s="92" t="s">
        <v>347</v>
      </c>
      <c r="N689" s="92" t="s">
        <v>366</v>
      </c>
      <c r="O689" s="92" t="s">
        <v>36</v>
      </c>
      <c r="P689" s="9">
        <v>240</v>
      </c>
      <c r="Q689" s="195">
        <f>108-50</f>
        <v>58</v>
      </c>
      <c r="R689" s="195">
        <v>108</v>
      </c>
      <c r="S689" s="195">
        <v>108</v>
      </c>
    </row>
    <row r="690" spans="1:19" ht="24.75" customHeight="1">
      <c r="A690" s="95"/>
      <c r="B690" s="94"/>
      <c r="C690" s="93"/>
      <c r="D690" s="105"/>
      <c r="E690" s="100"/>
      <c r="F690" s="100"/>
      <c r="G690" s="85"/>
      <c r="H690" s="4" t="s">
        <v>455</v>
      </c>
      <c r="I690" s="9">
        <v>664</v>
      </c>
      <c r="J690" s="15">
        <v>1</v>
      </c>
      <c r="K690" s="15">
        <v>13</v>
      </c>
      <c r="L690" s="15">
        <v>48</v>
      </c>
      <c r="M690" s="92" t="s">
        <v>347</v>
      </c>
      <c r="N690" s="92" t="s">
        <v>366</v>
      </c>
      <c r="O690" s="92" t="s">
        <v>36</v>
      </c>
      <c r="P690" s="9">
        <v>850</v>
      </c>
      <c r="Q690" s="195">
        <v>35.6</v>
      </c>
      <c r="R690" s="195">
        <v>35.6</v>
      </c>
      <c r="S690" s="195">
        <v>35.6</v>
      </c>
    </row>
    <row r="691" spans="1:19" ht="24.75" customHeight="1">
      <c r="A691" s="95"/>
      <c r="B691" s="94"/>
      <c r="C691" s="93"/>
      <c r="D691" s="105"/>
      <c r="E691" s="100"/>
      <c r="F691" s="100"/>
      <c r="G691" s="85"/>
      <c r="H691" s="10" t="s">
        <v>752</v>
      </c>
      <c r="I691" s="9">
        <v>664</v>
      </c>
      <c r="J691" s="15">
        <v>1</v>
      </c>
      <c r="K691" s="15">
        <v>13</v>
      </c>
      <c r="L691" s="15">
        <v>48</v>
      </c>
      <c r="M691" s="92" t="s">
        <v>347</v>
      </c>
      <c r="N691" s="92" t="s">
        <v>361</v>
      </c>
      <c r="O691" s="92" t="s">
        <v>392</v>
      </c>
      <c r="P691" s="9"/>
      <c r="Q691" s="195">
        <f>Q692+Q699+Q701+Q704+Q697</f>
        <v>5208.8</v>
      </c>
      <c r="R691" s="195">
        <f>R692+R699+R701+R704</f>
        <v>4161.1</v>
      </c>
      <c r="S691" s="195">
        <f>S692+S699+S701+S704</f>
        <v>4161.1</v>
      </c>
    </row>
    <row r="692" spans="1:19" ht="24.75" customHeight="1">
      <c r="A692" s="95"/>
      <c r="B692" s="94"/>
      <c r="C692" s="93"/>
      <c r="D692" s="105"/>
      <c r="E692" s="100"/>
      <c r="F692" s="100"/>
      <c r="G692" s="85"/>
      <c r="H692" s="10" t="s">
        <v>100</v>
      </c>
      <c r="I692" s="9">
        <v>664</v>
      </c>
      <c r="J692" s="15">
        <v>1</v>
      </c>
      <c r="K692" s="15">
        <v>13</v>
      </c>
      <c r="L692" s="15">
        <v>48</v>
      </c>
      <c r="M692" s="92" t="s">
        <v>347</v>
      </c>
      <c r="N692" s="92" t="s">
        <v>361</v>
      </c>
      <c r="O692" s="92" t="s">
        <v>398</v>
      </c>
      <c r="P692" s="9"/>
      <c r="Q692" s="195">
        <f>Q693+Q694+Q695+Q696</f>
        <v>3585.8</v>
      </c>
      <c r="R692" s="195">
        <f>R693+R694+R695+R696</f>
        <v>3564.9</v>
      </c>
      <c r="S692" s="195">
        <f>S693+S694+S695+S696</f>
        <v>3564.9</v>
      </c>
    </row>
    <row r="693" spans="1:19" ht="24.75" customHeight="1">
      <c r="A693" s="95"/>
      <c r="B693" s="94"/>
      <c r="C693" s="93"/>
      <c r="D693" s="105"/>
      <c r="E693" s="100"/>
      <c r="F693" s="100"/>
      <c r="G693" s="85"/>
      <c r="H693" s="10" t="s">
        <v>319</v>
      </c>
      <c r="I693" s="9">
        <v>664</v>
      </c>
      <c r="J693" s="15">
        <v>1</v>
      </c>
      <c r="K693" s="15">
        <v>13</v>
      </c>
      <c r="L693" s="15">
        <v>48</v>
      </c>
      <c r="M693" s="92" t="s">
        <v>347</v>
      </c>
      <c r="N693" s="92" t="s">
        <v>361</v>
      </c>
      <c r="O693" s="92" t="s">
        <v>398</v>
      </c>
      <c r="P693" s="9">
        <v>120</v>
      </c>
      <c r="Q693" s="195">
        <f>3035.3-0.1+21</f>
        <v>3056.2000000000003</v>
      </c>
      <c r="R693" s="195">
        <v>3035.3</v>
      </c>
      <c r="S693" s="195">
        <v>3035.3</v>
      </c>
    </row>
    <row r="694" spans="1:19" ht="24.75" customHeight="1">
      <c r="A694" s="95"/>
      <c r="B694" s="94"/>
      <c r="C694" s="93"/>
      <c r="D694" s="105"/>
      <c r="E694" s="100"/>
      <c r="F694" s="100"/>
      <c r="G694" s="85"/>
      <c r="H694" s="10" t="s">
        <v>454</v>
      </c>
      <c r="I694" s="9">
        <v>664</v>
      </c>
      <c r="J694" s="15">
        <v>1</v>
      </c>
      <c r="K694" s="15">
        <v>13</v>
      </c>
      <c r="L694" s="15">
        <v>48</v>
      </c>
      <c r="M694" s="92" t="s">
        <v>347</v>
      </c>
      <c r="N694" s="92" t="s">
        <v>361</v>
      </c>
      <c r="O694" s="92" t="s">
        <v>398</v>
      </c>
      <c r="P694" s="9">
        <v>240</v>
      </c>
      <c r="Q694" s="195">
        <v>499.5</v>
      </c>
      <c r="R694" s="195">
        <v>499.6</v>
      </c>
      <c r="S694" s="195">
        <v>499.6</v>
      </c>
    </row>
    <row r="695" spans="1:19" ht="16.5" customHeight="1">
      <c r="A695" s="95"/>
      <c r="B695" s="94"/>
      <c r="C695" s="93"/>
      <c r="D695" s="105"/>
      <c r="E695" s="100"/>
      <c r="F695" s="100"/>
      <c r="G695" s="85"/>
      <c r="H695" s="4" t="s">
        <v>461</v>
      </c>
      <c r="I695" s="9">
        <v>664</v>
      </c>
      <c r="J695" s="15">
        <v>1</v>
      </c>
      <c r="K695" s="15">
        <v>13</v>
      </c>
      <c r="L695" s="15">
        <v>48</v>
      </c>
      <c r="M695" s="92" t="s">
        <v>347</v>
      </c>
      <c r="N695" s="92" t="s">
        <v>361</v>
      </c>
      <c r="O695" s="92" t="s">
        <v>398</v>
      </c>
      <c r="P695" s="9">
        <v>830</v>
      </c>
      <c r="Q695" s="195">
        <v>10</v>
      </c>
      <c r="R695" s="195">
        <v>10</v>
      </c>
      <c r="S695" s="195">
        <v>10</v>
      </c>
    </row>
    <row r="696" spans="1:19" ht="18.75" customHeight="1">
      <c r="A696" s="95"/>
      <c r="B696" s="94"/>
      <c r="C696" s="93"/>
      <c r="D696" s="105"/>
      <c r="E696" s="100"/>
      <c r="F696" s="100"/>
      <c r="G696" s="85"/>
      <c r="H696" s="4" t="s">
        <v>455</v>
      </c>
      <c r="I696" s="9">
        <v>664</v>
      </c>
      <c r="J696" s="15">
        <v>1</v>
      </c>
      <c r="K696" s="15">
        <v>13</v>
      </c>
      <c r="L696" s="15">
        <v>48</v>
      </c>
      <c r="M696" s="92" t="s">
        <v>347</v>
      </c>
      <c r="N696" s="92" t="s">
        <v>361</v>
      </c>
      <c r="O696" s="92" t="s">
        <v>398</v>
      </c>
      <c r="P696" s="9">
        <v>850</v>
      </c>
      <c r="Q696" s="195">
        <f>20+0.1</f>
        <v>20.1</v>
      </c>
      <c r="R696" s="195">
        <v>20</v>
      </c>
      <c r="S696" s="195">
        <v>20</v>
      </c>
    </row>
    <row r="697" spans="1:19" ht="34.5" customHeight="1">
      <c r="A697" s="95"/>
      <c r="B697" s="94"/>
      <c r="C697" s="93"/>
      <c r="D697" s="105"/>
      <c r="E697" s="100"/>
      <c r="F697" s="100"/>
      <c r="G697" s="85"/>
      <c r="H697" s="10" t="s">
        <v>884</v>
      </c>
      <c r="I697" s="9">
        <v>664</v>
      </c>
      <c r="J697" s="15">
        <v>1</v>
      </c>
      <c r="K697" s="15">
        <v>13</v>
      </c>
      <c r="L697" s="15">
        <v>48</v>
      </c>
      <c r="M697" s="92" t="s">
        <v>347</v>
      </c>
      <c r="N697" s="92" t="s">
        <v>361</v>
      </c>
      <c r="O697" s="92" t="s">
        <v>883</v>
      </c>
      <c r="P697" s="9"/>
      <c r="Q697" s="195">
        <f>Q698</f>
        <v>135.8</v>
      </c>
      <c r="R697" s="195">
        <f>R698</f>
        <v>0</v>
      </c>
      <c r="S697" s="195">
        <f>S698</f>
        <v>0</v>
      </c>
    </row>
    <row r="698" spans="1:19" ht="18.75" customHeight="1">
      <c r="A698" s="95"/>
      <c r="B698" s="94"/>
      <c r="C698" s="93"/>
      <c r="D698" s="105"/>
      <c r="E698" s="100"/>
      <c r="F698" s="100"/>
      <c r="G698" s="85"/>
      <c r="H698" s="10" t="s">
        <v>319</v>
      </c>
      <c r="I698" s="9">
        <v>664</v>
      </c>
      <c r="J698" s="15">
        <v>1</v>
      </c>
      <c r="K698" s="15">
        <v>13</v>
      </c>
      <c r="L698" s="15">
        <v>48</v>
      </c>
      <c r="M698" s="92" t="s">
        <v>347</v>
      </c>
      <c r="N698" s="92" t="s">
        <v>361</v>
      </c>
      <c r="O698" s="92" t="s">
        <v>883</v>
      </c>
      <c r="P698" s="9">
        <v>120</v>
      </c>
      <c r="Q698" s="195">
        <v>135.8</v>
      </c>
      <c r="R698" s="195">
        <v>0</v>
      </c>
      <c r="S698" s="195">
        <v>0</v>
      </c>
    </row>
    <row r="699" spans="1:19" ht="36" customHeight="1">
      <c r="A699" s="95"/>
      <c r="B699" s="94"/>
      <c r="C699" s="93"/>
      <c r="D699" s="105"/>
      <c r="E699" s="100"/>
      <c r="F699" s="100"/>
      <c r="G699" s="85"/>
      <c r="H699" s="10" t="s">
        <v>595</v>
      </c>
      <c r="I699" s="9">
        <v>664</v>
      </c>
      <c r="J699" s="15">
        <v>1</v>
      </c>
      <c r="K699" s="15">
        <v>13</v>
      </c>
      <c r="L699" s="15">
        <v>48</v>
      </c>
      <c r="M699" s="92" t="s">
        <v>347</v>
      </c>
      <c r="N699" s="92" t="s">
        <v>361</v>
      </c>
      <c r="O699" s="92" t="s">
        <v>594</v>
      </c>
      <c r="P699" s="9"/>
      <c r="Q699" s="195">
        <f>Q700</f>
        <v>707.6</v>
      </c>
      <c r="R699" s="195">
        <f>R700</f>
        <v>596.2</v>
      </c>
      <c r="S699" s="195">
        <f>S700</f>
        <v>596.2</v>
      </c>
    </row>
    <row r="700" spans="1:19" ht="24.75" customHeight="1">
      <c r="A700" s="95"/>
      <c r="B700" s="94"/>
      <c r="C700" s="93"/>
      <c r="D700" s="105"/>
      <c r="E700" s="100"/>
      <c r="F700" s="100"/>
      <c r="G700" s="85"/>
      <c r="H700" s="10" t="s">
        <v>319</v>
      </c>
      <c r="I700" s="9">
        <v>664</v>
      </c>
      <c r="J700" s="15">
        <v>1</v>
      </c>
      <c r="K700" s="15">
        <v>13</v>
      </c>
      <c r="L700" s="15">
        <v>48</v>
      </c>
      <c r="M700" s="92" t="s">
        <v>347</v>
      </c>
      <c r="N700" s="92" t="s">
        <v>361</v>
      </c>
      <c r="O700" s="92" t="s">
        <v>594</v>
      </c>
      <c r="P700" s="9">
        <v>120</v>
      </c>
      <c r="Q700" s="195">
        <f>596.2+111.4</f>
        <v>707.6</v>
      </c>
      <c r="R700" s="195">
        <v>596.2</v>
      </c>
      <c r="S700" s="195">
        <v>596.2</v>
      </c>
    </row>
    <row r="701" spans="1:19" ht="51.75" customHeight="1">
      <c r="A701" s="95"/>
      <c r="B701" s="94"/>
      <c r="C701" s="93"/>
      <c r="D701" s="105"/>
      <c r="E701" s="100"/>
      <c r="F701" s="100"/>
      <c r="G701" s="85"/>
      <c r="H701" s="10" t="s">
        <v>753</v>
      </c>
      <c r="I701" s="9">
        <v>664</v>
      </c>
      <c r="J701" s="15">
        <v>1</v>
      </c>
      <c r="K701" s="15">
        <v>13</v>
      </c>
      <c r="L701" s="15">
        <v>48</v>
      </c>
      <c r="M701" s="92" t="s">
        <v>347</v>
      </c>
      <c r="N701" s="92" t="s">
        <v>361</v>
      </c>
      <c r="O701" s="92" t="s">
        <v>474</v>
      </c>
      <c r="P701" s="9"/>
      <c r="Q701" s="195">
        <f>Q702+Q703</f>
        <v>344.2</v>
      </c>
      <c r="R701" s="195">
        <f>R702+R703</f>
        <v>0</v>
      </c>
      <c r="S701" s="195">
        <f>S702+S703</f>
        <v>0</v>
      </c>
    </row>
    <row r="702" spans="1:19" ht="24.75" customHeight="1">
      <c r="A702" s="95"/>
      <c r="B702" s="94"/>
      <c r="C702" s="93"/>
      <c r="D702" s="105"/>
      <c r="E702" s="100"/>
      <c r="F702" s="100"/>
      <c r="G702" s="85"/>
      <c r="H702" s="10" t="s">
        <v>319</v>
      </c>
      <c r="I702" s="9">
        <v>664</v>
      </c>
      <c r="J702" s="15">
        <v>1</v>
      </c>
      <c r="K702" s="15">
        <v>13</v>
      </c>
      <c r="L702" s="15">
        <v>48</v>
      </c>
      <c r="M702" s="92" t="s">
        <v>347</v>
      </c>
      <c r="N702" s="92" t="s">
        <v>361</v>
      </c>
      <c r="O702" s="92" t="s">
        <v>474</v>
      </c>
      <c r="P702" s="9">
        <v>120</v>
      </c>
      <c r="Q702" s="195">
        <f>335.7</f>
        <v>335.7</v>
      </c>
      <c r="R702" s="195">
        <v>0</v>
      </c>
      <c r="S702" s="195">
        <v>0</v>
      </c>
    </row>
    <row r="703" spans="1:19" ht="24.75" customHeight="1">
      <c r="A703" s="95"/>
      <c r="B703" s="94"/>
      <c r="C703" s="93"/>
      <c r="D703" s="105"/>
      <c r="E703" s="100"/>
      <c r="F703" s="100"/>
      <c r="G703" s="85"/>
      <c r="H703" s="10" t="s">
        <v>454</v>
      </c>
      <c r="I703" s="9">
        <v>664</v>
      </c>
      <c r="J703" s="15">
        <v>1</v>
      </c>
      <c r="K703" s="15">
        <v>13</v>
      </c>
      <c r="L703" s="15">
        <v>48</v>
      </c>
      <c r="M703" s="92" t="s">
        <v>347</v>
      </c>
      <c r="N703" s="92" t="s">
        <v>361</v>
      </c>
      <c r="O703" s="92" t="s">
        <v>474</v>
      </c>
      <c r="P703" s="9">
        <v>240</v>
      </c>
      <c r="Q703" s="195">
        <v>8.5</v>
      </c>
      <c r="R703" s="195">
        <v>0</v>
      </c>
      <c r="S703" s="195">
        <v>0</v>
      </c>
    </row>
    <row r="704" spans="1:19" ht="24.75" customHeight="1">
      <c r="A704" s="95"/>
      <c r="B704" s="94"/>
      <c r="C704" s="93"/>
      <c r="D704" s="105"/>
      <c r="E704" s="100"/>
      <c r="F704" s="100"/>
      <c r="G704" s="85"/>
      <c r="H704" s="10" t="s">
        <v>754</v>
      </c>
      <c r="I704" s="9">
        <v>664</v>
      </c>
      <c r="J704" s="15">
        <v>1</v>
      </c>
      <c r="K704" s="15">
        <v>13</v>
      </c>
      <c r="L704" s="15">
        <v>48</v>
      </c>
      <c r="M704" s="92" t="s">
        <v>347</v>
      </c>
      <c r="N704" s="92" t="s">
        <v>361</v>
      </c>
      <c r="O704" s="92" t="s">
        <v>475</v>
      </c>
      <c r="P704" s="9"/>
      <c r="Q704" s="195">
        <f>Q705+Q706</f>
        <v>435.4</v>
      </c>
      <c r="R704" s="195">
        <f>R705+R706</f>
        <v>0</v>
      </c>
      <c r="S704" s="195">
        <f>S705+S706</f>
        <v>0</v>
      </c>
    </row>
    <row r="705" spans="1:19" ht="24.75" customHeight="1">
      <c r="A705" s="95"/>
      <c r="B705" s="94"/>
      <c r="C705" s="93"/>
      <c r="D705" s="105"/>
      <c r="E705" s="100"/>
      <c r="F705" s="100"/>
      <c r="G705" s="85"/>
      <c r="H705" s="10" t="s">
        <v>319</v>
      </c>
      <c r="I705" s="9">
        <v>664</v>
      </c>
      <c r="J705" s="15">
        <v>1</v>
      </c>
      <c r="K705" s="15">
        <v>13</v>
      </c>
      <c r="L705" s="15">
        <v>48</v>
      </c>
      <c r="M705" s="92" t="s">
        <v>347</v>
      </c>
      <c r="N705" s="92" t="s">
        <v>361</v>
      </c>
      <c r="O705" s="92" t="s">
        <v>475</v>
      </c>
      <c r="P705" s="9">
        <v>120</v>
      </c>
      <c r="Q705" s="195">
        <f>426.9</f>
        <v>426.9</v>
      </c>
      <c r="R705" s="195">
        <v>0</v>
      </c>
      <c r="S705" s="195">
        <v>0</v>
      </c>
    </row>
    <row r="706" spans="1:19" ht="24.75" customHeight="1">
      <c r="A706" s="95"/>
      <c r="B706" s="94"/>
      <c r="C706" s="93"/>
      <c r="D706" s="105"/>
      <c r="E706" s="100"/>
      <c r="F706" s="100"/>
      <c r="G706" s="85"/>
      <c r="H706" s="10" t="s">
        <v>454</v>
      </c>
      <c r="I706" s="9">
        <v>664</v>
      </c>
      <c r="J706" s="15">
        <v>1</v>
      </c>
      <c r="K706" s="15">
        <v>13</v>
      </c>
      <c r="L706" s="15">
        <v>48</v>
      </c>
      <c r="M706" s="92" t="s">
        <v>347</v>
      </c>
      <c r="N706" s="92" t="s">
        <v>361</v>
      </c>
      <c r="O706" s="92" t="s">
        <v>475</v>
      </c>
      <c r="P706" s="9">
        <v>240</v>
      </c>
      <c r="Q706" s="195">
        <f>8.5</f>
        <v>8.5</v>
      </c>
      <c r="R706" s="195">
        <v>0</v>
      </c>
      <c r="S706" s="195">
        <v>0</v>
      </c>
    </row>
    <row r="707" spans="1:19" ht="51.75" customHeight="1">
      <c r="A707" s="95"/>
      <c r="B707" s="94"/>
      <c r="C707" s="93"/>
      <c r="D707" s="105"/>
      <c r="E707" s="100"/>
      <c r="F707" s="100"/>
      <c r="G707" s="85"/>
      <c r="H707" s="10" t="s">
        <v>745</v>
      </c>
      <c r="I707" s="9">
        <v>664</v>
      </c>
      <c r="J707" s="15">
        <v>1</v>
      </c>
      <c r="K707" s="15">
        <v>13</v>
      </c>
      <c r="L707" s="91" t="s">
        <v>744</v>
      </c>
      <c r="M707" s="92" t="s">
        <v>347</v>
      </c>
      <c r="N707" s="92" t="s">
        <v>743</v>
      </c>
      <c r="O707" s="92" t="s">
        <v>392</v>
      </c>
      <c r="P707" s="9"/>
      <c r="Q707" s="195">
        <f aca="true" t="shared" si="80" ref="Q707:S708">Q708</f>
        <v>110.60000000000001</v>
      </c>
      <c r="R707" s="195">
        <f t="shared" si="80"/>
        <v>73.7</v>
      </c>
      <c r="S707" s="195">
        <f t="shared" si="80"/>
        <v>73.7</v>
      </c>
    </row>
    <row r="708" spans="1:19" ht="50.25" customHeight="1">
      <c r="A708" s="95"/>
      <c r="B708" s="94"/>
      <c r="C708" s="93"/>
      <c r="D708" s="105"/>
      <c r="E708" s="100"/>
      <c r="F708" s="100"/>
      <c r="G708" s="85"/>
      <c r="H708" s="10" t="s">
        <v>61</v>
      </c>
      <c r="I708" s="9">
        <v>664</v>
      </c>
      <c r="J708" s="15">
        <v>1</v>
      </c>
      <c r="K708" s="15">
        <v>13</v>
      </c>
      <c r="L708" s="15">
        <v>48</v>
      </c>
      <c r="M708" s="92" t="s">
        <v>347</v>
      </c>
      <c r="N708" s="92" t="s">
        <v>743</v>
      </c>
      <c r="O708" s="92" t="s">
        <v>518</v>
      </c>
      <c r="P708" s="9"/>
      <c r="Q708" s="195">
        <f t="shared" si="80"/>
        <v>110.60000000000001</v>
      </c>
      <c r="R708" s="195">
        <f t="shared" si="80"/>
        <v>73.7</v>
      </c>
      <c r="S708" s="195">
        <f t="shared" si="80"/>
        <v>73.7</v>
      </c>
    </row>
    <row r="709" spans="1:19" ht="24.75" customHeight="1">
      <c r="A709" s="95"/>
      <c r="B709" s="94"/>
      <c r="C709" s="93"/>
      <c r="D709" s="105"/>
      <c r="E709" s="100"/>
      <c r="F709" s="100"/>
      <c r="G709" s="85"/>
      <c r="H709" s="10" t="s">
        <v>454</v>
      </c>
      <c r="I709" s="9">
        <v>664</v>
      </c>
      <c r="J709" s="15">
        <v>1</v>
      </c>
      <c r="K709" s="15">
        <v>13</v>
      </c>
      <c r="L709" s="15">
        <v>48</v>
      </c>
      <c r="M709" s="92" t="s">
        <v>347</v>
      </c>
      <c r="N709" s="92" t="s">
        <v>743</v>
      </c>
      <c r="O709" s="92" t="s">
        <v>518</v>
      </c>
      <c r="P709" s="9">
        <v>240</v>
      </c>
      <c r="Q709" s="195">
        <f>73.7+3.4+33.5</f>
        <v>110.60000000000001</v>
      </c>
      <c r="R709" s="195">
        <v>73.7</v>
      </c>
      <c r="S709" s="195">
        <v>73.7</v>
      </c>
    </row>
    <row r="710" spans="1:19" s="171" customFormat="1" ht="27.75" customHeight="1">
      <c r="A710" s="135"/>
      <c r="B710" s="136"/>
      <c r="C710" s="135"/>
      <c r="D710" s="128"/>
      <c r="E710" s="128"/>
      <c r="F710" s="128"/>
      <c r="G710" s="129"/>
      <c r="H710" s="142" t="s">
        <v>317</v>
      </c>
      <c r="I710" s="131">
        <v>664</v>
      </c>
      <c r="J710" s="132">
        <v>4</v>
      </c>
      <c r="K710" s="132" t="s">
        <v>393</v>
      </c>
      <c r="L710" s="133"/>
      <c r="M710" s="134"/>
      <c r="N710" s="134"/>
      <c r="O710" s="134"/>
      <c r="P710" s="218"/>
      <c r="Q710" s="199">
        <f>Q711</f>
        <v>200</v>
      </c>
      <c r="R710" s="199">
        <f aca="true" t="shared" si="81" ref="R710:S714">R711</f>
        <v>0</v>
      </c>
      <c r="S710" s="199">
        <f t="shared" si="81"/>
        <v>0</v>
      </c>
    </row>
    <row r="711" spans="1:19" s="171" customFormat="1" ht="30" customHeight="1">
      <c r="A711" s="135"/>
      <c r="B711" s="136"/>
      <c r="C711" s="135"/>
      <c r="D711" s="128"/>
      <c r="E711" s="128"/>
      <c r="F711" s="128"/>
      <c r="G711" s="129"/>
      <c r="H711" s="142" t="s">
        <v>96</v>
      </c>
      <c r="I711" s="131">
        <v>664</v>
      </c>
      <c r="J711" s="132">
        <v>4</v>
      </c>
      <c r="K711" s="132">
        <v>9</v>
      </c>
      <c r="L711" s="133"/>
      <c r="M711" s="134"/>
      <c r="N711" s="134"/>
      <c r="O711" s="134"/>
      <c r="P711" s="218"/>
      <c r="Q711" s="199">
        <f>Q712</f>
        <v>200</v>
      </c>
      <c r="R711" s="199">
        <f t="shared" si="81"/>
        <v>0</v>
      </c>
      <c r="S711" s="199">
        <f t="shared" si="81"/>
        <v>0</v>
      </c>
    </row>
    <row r="712" spans="1:19" ht="36.75" customHeight="1">
      <c r="A712" s="95"/>
      <c r="B712" s="94"/>
      <c r="C712" s="93"/>
      <c r="D712" s="90"/>
      <c r="E712" s="90"/>
      <c r="F712" s="90"/>
      <c r="G712" s="85"/>
      <c r="H712" s="4" t="s">
        <v>506</v>
      </c>
      <c r="I712" s="9">
        <v>664</v>
      </c>
      <c r="J712" s="15">
        <v>4</v>
      </c>
      <c r="K712" s="15">
        <v>9</v>
      </c>
      <c r="L712" s="91" t="s">
        <v>361</v>
      </c>
      <c r="M712" s="92" t="s">
        <v>347</v>
      </c>
      <c r="N712" s="92" t="s">
        <v>357</v>
      </c>
      <c r="O712" s="92" t="s">
        <v>392</v>
      </c>
      <c r="P712" s="22"/>
      <c r="Q712" s="200">
        <f>Q713</f>
        <v>200</v>
      </c>
      <c r="R712" s="200">
        <f t="shared" si="81"/>
        <v>0</v>
      </c>
      <c r="S712" s="200">
        <f t="shared" si="81"/>
        <v>0</v>
      </c>
    </row>
    <row r="713" spans="1:19" ht="24" customHeight="1">
      <c r="A713" s="95"/>
      <c r="B713" s="94"/>
      <c r="C713" s="93"/>
      <c r="D713" s="90"/>
      <c r="E713" s="90"/>
      <c r="F713" s="90"/>
      <c r="G713" s="85"/>
      <c r="H713" s="4" t="s">
        <v>515</v>
      </c>
      <c r="I713" s="9">
        <v>664</v>
      </c>
      <c r="J713" s="15">
        <v>4</v>
      </c>
      <c r="K713" s="15">
        <v>9</v>
      </c>
      <c r="L713" s="91" t="s">
        <v>361</v>
      </c>
      <c r="M713" s="92" t="s">
        <v>347</v>
      </c>
      <c r="N713" s="92" t="s">
        <v>361</v>
      </c>
      <c r="O713" s="92" t="s">
        <v>392</v>
      </c>
      <c r="P713" s="22"/>
      <c r="Q713" s="200">
        <f>Q714</f>
        <v>200</v>
      </c>
      <c r="R713" s="200">
        <f t="shared" si="81"/>
        <v>0</v>
      </c>
      <c r="S713" s="200">
        <f t="shared" si="81"/>
        <v>0</v>
      </c>
    </row>
    <row r="714" spans="1:19" ht="23.25" customHeight="1">
      <c r="A714" s="95"/>
      <c r="B714" s="94"/>
      <c r="C714" s="93"/>
      <c r="D714" s="90"/>
      <c r="E714" s="90"/>
      <c r="F714" s="90"/>
      <c r="G714" s="85"/>
      <c r="H714" s="4" t="s">
        <v>516</v>
      </c>
      <c r="I714" s="9">
        <v>664</v>
      </c>
      <c r="J714" s="15">
        <v>4</v>
      </c>
      <c r="K714" s="15">
        <v>9</v>
      </c>
      <c r="L714" s="91" t="s">
        <v>361</v>
      </c>
      <c r="M714" s="92" t="s">
        <v>347</v>
      </c>
      <c r="N714" s="92" t="s">
        <v>361</v>
      </c>
      <c r="O714" s="92" t="s">
        <v>496</v>
      </c>
      <c r="P714" s="22"/>
      <c r="Q714" s="200">
        <f>Q715</f>
        <v>200</v>
      </c>
      <c r="R714" s="200">
        <f t="shared" si="81"/>
        <v>0</v>
      </c>
      <c r="S714" s="200">
        <f t="shared" si="81"/>
        <v>0</v>
      </c>
    </row>
    <row r="715" spans="1:19" ht="20.25" customHeight="1">
      <c r="A715" s="95"/>
      <c r="B715" s="94"/>
      <c r="C715" s="93"/>
      <c r="D715" s="90"/>
      <c r="E715" s="90"/>
      <c r="F715" s="90"/>
      <c r="G715" s="85"/>
      <c r="H715" s="4" t="s">
        <v>505</v>
      </c>
      <c r="I715" s="9">
        <v>664</v>
      </c>
      <c r="J715" s="15">
        <v>4</v>
      </c>
      <c r="K715" s="15">
        <v>9</v>
      </c>
      <c r="L715" s="91" t="s">
        <v>361</v>
      </c>
      <c r="M715" s="92" t="s">
        <v>347</v>
      </c>
      <c r="N715" s="92" t="s">
        <v>361</v>
      </c>
      <c r="O715" s="92" t="s">
        <v>496</v>
      </c>
      <c r="P715" s="22">
        <v>240</v>
      </c>
      <c r="Q715" s="200">
        <v>200</v>
      </c>
      <c r="R715" s="200">
        <v>0</v>
      </c>
      <c r="S715" s="200">
        <v>0</v>
      </c>
    </row>
    <row r="716" spans="1:19" s="171" customFormat="1" ht="20.25" customHeight="1">
      <c r="A716" s="135"/>
      <c r="B716" s="136"/>
      <c r="C716" s="135"/>
      <c r="D716" s="207"/>
      <c r="E716" s="158"/>
      <c r="F716" s="158"/>
      <c r="G716" s="129"/>
      <c r="H716" s="130" t="s">
        <v>327</v>
      </c>
      <c r="I716" s="131">
        <v>664</v>
      </c>
      <c r="J716" s="132">
        <v>10</v>
      </c>
      <c r="K716" s="132" t="s">
        <v>393</v>
      </c>
      <c r="L716" s="133"/>
      <c r="M716" s="134"/>
      <c r="N716" s="134"/>
      <c r="O716" s="134"/>
      <c r="P716" s="218"/>
      <c r="Q716" s="199">
        <f>Q717</f>
        <v>7372.200000000001</v>
      </c>
      <c r="R716" s="199">
        <f aca="true" t="shared" si="82" ref="R716:S720">R717</f>
        <v>5141.6</v>
      </c>
      <c r="S716" s="199">
        <f t="shared" si="82"/>
        <v>5141.6</v>
      </c>
    </row>
    <row r="717" spans="1:19" s="171" customFormat="1" ht="20.25" customHeight="1">
      <c r="A717" s="135"/>
      <c r="B717" s="136"/>
      <c r="C717" s="135"/>
      <c r="D717" s="207"/>
      <c r="E717" s="158"/>
      <c r="F717" s="158"/>
      <c r="G717" s="129"/>
      <c r="H717" s="130" t="s">
        <v>326</v>
      </c>
      <c r="I717" s="131">
        <v>664</v>
      </c>
      <c r="J717" s="132">
        <v>10</v>
      </c>
      <c r="K717" s="132">
        <v>3</v>
      </c>
      <c r="L717" s="133"/>
      <c r="M717" s="134"/>
      <c r="N717" s="134"/>
      <c r="O717" s="134"/>
      <c r="P717" s="218"/>
      <c r="Q717" s="199">
        <f>Q718</f>
        <v>7372.200000000001</v>
      </c>
      <c r="R717" s="199">
        <f t="shared" si="82"/>
        <v>5141.6</v>
      </c>
      <c r="S717" s="199">
        <f t="shared" si="82"/>
        <v>5141.6</v>
      </c>
    </row>
    <row r="718" spans="1:19" ht="37.5" customHeight="1">
      <c r="A718" s="93"/>
      <c r="B718" s="94"/>
      <c r="C718" s="93"/>
      <c r="D718" s="107"/>
      <c r="E718" s="110"/>
      <c r="F718" s="110"/>
      <c r="G718" s="85"/>
      <c r="H718" s="10" t="s">
        <v>746</v>
      </c>
      <c r="I718" s="9">
        <v>664</v>
      </c>
      <c r="J718" s="15">
        <v>10</v>
      </c>
      <c r="K718" s="15">
        <v>3</v>
      </c>
      <c r="L718" s="91" t="s">
        <v>744</v>
      </c>
      <c r="M718" s="92" t="s">
        <v>347</v>
      </c>
      <c r="N718" s="92" t="s">
        <v>357</v>
      </c>
      <c r="O718" s="92" t="s">
        <v>392</v>
      </c>
      <c r="P718" s="22"/>
      <c r="Q718" s="200">
        <f>Q719</f>
        <v>7372.200000000001</v>
      </c>
      <c r="R718" s="200">
        <f t="shared" si="82"/>
        <v>5141.6</v>
      </c>
      <c r="S718" s="200">
        <f t="shared" si="82"/>
        <v>5141.6</v>
      </c>
    </row>
    <row r="719" spans="1:19" ht="50.25" customHeight="1">
      <c r="A719" s="93"/>
      <c r="B719" s="94"/>
      <c r="C719" s="93"/>
      <c r="D719" s="107"/>
      <c r="E719" s="110"/>
      <c r="F719" s="110"/>
      <c r="G719" s="85"/>
      <c r="H719" s="10" t="s">
        <v>745</v>
      </c>
      <c r="I719" s="9">
        <v>664</v>
      </c>
      <c r="J719" s="15">
        <v>10</v>
      </c>
      <c r="K719" s="15">
        <v>3</v>
      </c>
      <c r="L719" s="91" t="s">
        <v>744</v>
      </c>
      <c r="M719" s="92" t="s">
        <v>347</v>
      </c>
      <c r="N719" s="92" t="s">
        <v>747</v>
      </c>
      <c r="O719" s="92" t="s">
        <v>392</v>
      </c>
      <c r="P719" s="22"/>
      <c r="Q719" s="200">
        <f>Q720</f>
        <v>7372.200000000001</v>
      </c>
      <c r="R719" s="200">
        <f t="shared" si="82"/>
        <v>5141.6</v>
      </c>
      <c r="S719" s="200">
        <f t="shared" si="82"/>
        <v>5141.6</v>
      </c>
    </row>
    <row r="720" spans="1:19" ht="51" customHeight="1">
      <c r="A720" s="95"/>
      <c r="B720" s="94"/>
      <c r="C720" s="99"/>
      <c r="D720" s="97"/>
      <c r="E720" s="109"/>
      <c r="F720" s="109"/>
      <c r="G720" s="85"/>
      <c r="H720" s="10" t="s">
        <v>61</v>
      </c>
      <c r="I720" s="9">
        <v>664</v>
      </c>
      <c r="J720" s="15">
        <v>10</v>
      </c>
      <c r="K720" s="15">
        <v>3</v>
      </c>
      <c r="L720" s="91" t="s">
        <v>744</v>
      </c>
      <c r="M720" s="92" t="s">
        <v>347</v>
      </c>
      <c r="N720" s="92" t="s">
        <v>743</v>
      </c>
      <c r="O720" s="92" t="s">
        <v>518</v>
      </c>
      <c r="P720" s="9"/>
      <c r="Q720" s="195">
        <f>Q721</f>
        <v>7372.200000000001</v>
      </c>
      <c r="R720" s="195">
        <f t="shared" si="82"/>
        <v>5141.6</v>
      </c>
      <c r="S720" s="195">
        <f t="shared" si="82"/>
        <v>5141.6</v>
      </c>
    </row>
    <row r="721" spans="1:19" ht="27" customHeight="1">
      <c r="A721" s="95"/>
      <c r="B721" s="94"/>
      <c r="C721" s="99"/>
      <c r="D721" s="97"/>
      <c r="E721" s="109"/>
      <c r="F721" s="109"/>
      <c r="G721" s="85"/>
      <c r="H721" s="10" t="s">
        <v>459</v>
      </c>
      <c r="I721" s="9">
        <v>664</v>
      </c>
      <c r="J721" s="15">
        <v>10</v>
      </c>
      <c r="K721" s="15">
        <v>3</v>
      </c>
      <c r="L721" s="91" t="s">
        <v>744</v>
      </c>
      <c r="M721" s="92" t="s">
        <v>347</v>
      </c>
      <c r="N721" s="92" t="s">
        <v>743</v>
      </c>
      <c r="O721" s="92" t="s">
        <v>518</v>
      </c>
      <c r="P721" s="9">
        <v>320</v>
      </c>
      <c r="Q721" s="200">
        <f>5141.6-3.4+2234</f>
        <v>7372.200000000001</v>
      </c>
      <c r="R721" s="200">
        <v>5141.6</v>
      </c>
      <c r="S721" s="200">
        <v>5141.6</v>
      </c>
    </row>
    <row r="722" spans="1:19" ht="21.75" customHeight="1">
      <c r="A722" s="95"/>
      <c r="B722" s="94"/>
      <c r="C722" s="93"/>
      <c r="D722" s="371">
        <v>20000</v>
      </c>
      <c r="E722" s="372"/>
      <c r="F722" s="372"/>
      <c r="G722" s="85">
        <v>360</v>
      </c>
      <c r="H722" s="120" t="s">
        <v>318</v>
      </c>
      <c r="I722" s="86"/>
      <c r="J722" s="87"/>
      <c r="K722" s="87"/>
      <c r="L722" s="88"/>
      <c r="M722" s="89"/>
      <c r="N722" s="89"/>
      <c r="O722" s="89"/>
      <c r="P722" s="8"/>
      <c r="Q722" s="193">
        <f>Q15+Q401+Q443+Q458+Q524+Q677</f>
        <v>655210.4000000001</v>
      </c>
      <c r="R722" s="193">
        <f>R15+R401+R443+R458+R524+R677</f>
        <v>536350.3</v>
      </c>
      <c r="S722" s="193">
        <f>S15+S401+S443+S458+S524+S677</f>
        <v>477348.6</v>
      </c>
    </row>
    <row r="723" spans="8:19" ht="18.75">
      <c r="H723" s="299" t="s">
        <v>573</v>
      </c>
      <c r="I723" s="300"/>
      <c r="J723" s="300"/>
      <c r="K723" s="300"/>
      <c r="L723" s="301"/>
      <c r="M723" s="302"/>
      <c r="N723" s="302"/>
      <c r="O723" s="303"/>
      <c r="P723" s="300"/>
      <c r="Q723" s="304" t="s">
        <v>393</v>
      </c>
      <c r="R723" s="305">
        <v>6500</v>
      </c>
      <c r="S723" s="305">
        <v>13200</v>
      </c>
    </row>
    <row r="724" spans="8:19" ht="18.75">
      <c r="H724" s="299" t="s">
        <v>526</v>
      </c>
      <c r="I724" s="300"/>
      <c r="J724" s="300"/>
      <c r="K724" s="300"/>
      <c r="L724" s="301"/>
      <c r="M724" s="302"/>
      <c r="N724" s="302"/>
      <c r="O724" s="303"/>
      <c r="P724" s="300"/>
      <c r="Q724" s="305">
        <f>Q722</f>
        <v>655210.4000000001</v>
      </c>
      <c r="R724" s="305">
        <f>R722+R723</f>
        <v>542850.3</v>
      </c>
      <c r="S724" s="305">
        <f>S722+S723</f>
        <v>490548.6</v>
      </c>
    </row>
    <row r="725" ht="15.75">
      <c r="S725" s="319" t="s">
        <v>314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89:F189"/>
    <mergeCell ref="C47:F47"/>
    <mergeCell ref="D82:F82"/>
    <mergeCell ref="A46:F46"/>
    <mergeCell ref="C17:F17"/>
    <mergeCell ref="D20:F20"/>
    <mergeCell ref="A16:F16"/>
    <mergeCell ref="C287:F287"/>
    <mergeCell ref="D48:F48"/>
    <mergeCell ref="E526:F526"/>
    <mergeCell ref="E61:F61"/>
    <mergeCell ref="C273:F273"/>
    <mergeCell ref="D525:F525"/>
    <mergeCell ref="D329:F329"/>
    <mergeCell ref="E460:F460"/>
    <mergeCell ref="E443:F443"/>
    <mergeCell ref="D378:F378"/>
    <mergeCell ref="D289:F289"/>
    <mergeCell ref="D359:F359"/>
    <mergeCell ref="E304:F304"/>
    <mergeCell ref="E373:F373"/>
    <mergeCell ref="D302:F302"/>
    <mergeCell ref="E348:F348"/>
    <mergeCell ref="E303:F303"/>
    <mergeCell ref="D459:F459"/>
    <mergeCell ref="D350:F350"/>
    <mergeCell ref="A677:F677"/>
    <mergeCell ref="D722:F722"/>
    <mergeCell ref="E671:F671"/>
    <mergeCell ref="E672:F672"/>
    <mergeCell ref="A678:F678"/>
    <mergeCell ref="C679:F679"/>
    <mergeCell ref="D447:F447"/>
    <mergeCell ref="A445:F445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6"/>
  <sheetViews>
    <sheetView zoomScale="80" zoomScaleNormal="80" zoomScalePageLayoutView="0" workbookViewId="0" topLeftCell="A434">
      <selection activeCell="A440" sqref="A440"/>
    </sheetView>
  </sheetViews>
  <sheetFormatPr defaultColWidth="9.140625" defaultRowHeight="15"/>
  <cols>
    <col min="1" max="1" width="55.421875" style="283" customWidth="1"/>
    <col min="2" max="2" width="15.00390625" style="283" customWidth="1"/>
    <col min="3" max="3" width="6.28125" style="350" customWidth="1"/>
    <col min="4" max="4" width="6.140625" style="350" customWidth="1"/>
    <col min="5" max="5" width="5.00390625" style="283" customWidth="1"/>
    <col min="6" max="6" width="11.421875" style="333" customWidth="1"/>
    <col min="7" max="7" width="11.00390625" style="283" customWidth="1"/>
    <col min="8" max="8" width="11.140625" style="283" customWidth="1"/>
    <col min="9" max="16384" width="9.140625" style="283" customWidth="1"/>
  </cols>
  <sheetData>
    <row r="1" spans="2:6" ht="18.75">
      <c r="B1" s="400" t="s">
        <v>881</v>
      </c>
      <c r="C1" s="400"/>
      <c r="D1" s="400"/>
      <c r="E1" s="400"/>
      <c r="F1" s="400"/>
    </row>
    <row r="2" spans="2:7" ht="18.75">
      <c r="B2" s="400" t="s">
        <v>247</v>
      </c>
      <c r="C2" s="400"/>
      <c r="D2" s="400"/>
      <c r="E2" s="400"/>
      <c r="F2" s="400"/>
      <c r="G2" s="400"/>
    </row>
    <row r="3" spans="2:6" ht="18.75">
      <c r="B3" s="400" t="s">
        <v>694</v>
      </c>
      <c r="C3" s="400"/>
      <c r="D3" s="400"/>
      <c r="E3" s="400"/>
      <c r="F3" s="400"/>
    </row>
    <row r="4" spans="1:7" ht="22.5" customHeight="1">
      <c r="A4" s="324"/>
      <c r="B4" s="401" t="s">
        <v>818</v>
      </c>
      <c r="C4" s="401"/>
      <c r="D4" s="401"/>
      <c r="E4" s="401"/>
      <c r="F4" s="401"/>
      <c r="G4" s="262"/>
    </row>
    <row r="5" spans="1:8" ht="18.75" customHeight="1">
      <c r="A5" s="324"/>
      <c r="B5" s="402" t="s">
        <v>247</v>
      </c>
      <c r="C5" s="402"/>
      <c r="D5" s="402"/>
      <c r="E5" s="402"/>
      <c r="F5" s="402"/>
      <c r="G5" s="402"/>
      <c r="H5" s="402"/>
    </row>
    <row r="6" spans="1:7" ht="19.5" customHeight="1">
      <c r="A6" s="324"/>
      <c r="B6" s="401" t="s">
        <v>650</v>
      </c>
      <c r="C6" s="401"/>
      <c r="D6" s="401"/>
      <c r="E6" s="401"/>
      <c r="F6" s="401"/>
      <c r="G6" s="401"/>
    </row>
    <row r="7" spans="1:7" ht="19.5" customHeight="1">
      <c r="A7" s="324"/>
      <c r="B7" s="401" t="s">
        <v>418</v>
      </c>
      <c r="C7" s="401"/>
      <c r="D7" s="401"/>
      <c r="E7" s="401"/>
      <c r="F7" s="401"/>
      <c r="G7" s="262"/>
    </row>
    <row r="8" spans="1:7" ht="18.75">
      <c r="A8" s="324"/>
      <c r="B8" s="325" t="s">
        <v>817</v>
      </c>
      <c r="C8" s="325"/>
      <c r="D8" s="325"/>
      <c r="E8" s="325"/>
      <c r="F8" s="326"/>
      <c r="G8" s="327"/>
    </row>
    <row r="9" spans="1:7" ht="18.75">
      <c r="A9" s="324"/>
      <c r="B9" s="325"/>
      <c r="C9" s="325"/>
      <c r="D9" s="325"/>
      <c r="E9" s="325"/>
      <c r="F9" s="326"/>
      <c r="G9" s="327"/>
    </row>
    <row r="10" spans="1:7" ht="18.75">
      <c r="A10" s="399" t="s">
        <v>144</v>
      </c>
      <c r="B10" s="399"/>
      <c r="C10" s="399"/>
      <c r="D10" s="399"/>
      <c r="E10" s="399"/>
      <c r="F10" s="399"/>
      <c r="G10" s="329"/>
    </row>
    <row r="11" spans="1:7" ht="18.75">
      <c r="A11" s="399" t="s">
        <v>504</v>
      </c>
      <c r="B11" s="399"/>
      <c r="C11" s="399"/>
      <c r="D11" s="399"/>
      <c r="E11" s="399"/>
      <c r="F11" s="399"/>
      <c r="G11" s="328"/>
    </row>
    <row r="12" spans="1:7" ht="18.75">
      <c r="A12" s="403" t="s">
        <v>651</v>
      </c>
      <c r="B12" s="403"/>
      <c r="C12" s="403"/>
      <c r="D12" s="403"/>
      <c r="E12" s="403"/>
      <c r="F12" s="403"/>
      <c r="G12" s="330"/>
    </row>
    <row r="13" spans="1:6" ht="30.75" customHeight="1">
      <c r="A13" s="331"/>
      <c r="B13" s="331"/>
      <c r="C13" s="332"/>
      <c r="D13" s="332"/>
      <c r="E13" s="331"/>
      <c r="F13" s="333" t="s">
        <v>570</v>
      </c>
    </row>
    <row r="14" spans="1:8" ht="15.75" customHeight="1">
      <c r="A14" s="407" t="s">
        <v>258</v>
      </c>
      <c r="B14" s="407" t="s">
        <v>254</v>
      </c>
      <c r="C14" s="408" t="s">
        <v>257</v>
      </c>
      <c r="D14" s="408" t="s">
        <v>142</v>
      </c>
      <c r="E14" s="407" t="s">
        <v>253</v>
      </c>
      <c r="F14" s="409" t="s">
        <v>252</v>
      </c>
      <c r="G14" s="409"/>
      <c r="H14" s="409"/>
    </row>
    <row r="15" spans="1:8" ht="15.75" customHeight="1">
      <c r="A15" s="407"/>
      <c r="B15" s="407"/>
      <c r="C15" s="408"/>
      <c r="D15" s="408"/>
      <c r="E15" s="407"/>
      <c r="F15" s="336" t="s">
        <v>41</v>
      </c>
      <c r="G15" s="337" t="s">
        <v>562</v>
      </c>
      <c r="H15" s="337" t="s">
        <v>420</v>
      </c>
    </row>
    <row r="16" spans="1:8" ht="15.75">
      <c r="A16" s="334">
        <v>1</v>
      </c>
      <c r="B16" s="334">
        <v>2</v>
      </c>
      <c r="C16" s="335">
        <v>3</v>
      </c>
      <c r="D16" s="335">
        <v>4</v>
      </c>
      <c r="E16" s="334">
        <v>5</v>
      </c>
      <c r="F16" s="335">
        <v>6</v>
      </c>
      <c r="G16" s="337">
        <v>7</v>
      </c>
      <c r="H16" s="337">
        <v>8</v>
      </c>
    </row>
    <row r="17" spans="1:8" s="341" customFormat="1" ht="68.25" customHeight="1">
      <c r="A17" s="338" t="s">
        <v>506</v>
      </c>
      <c r="B17" s="322" t="s">
        <v>464</v>
      </c>
      <c r="C17" s="339"/>
      <c r="D17" s="339"/>
      <c r="E17" s="322"/>
      <c r="F17" s="340">
        <f>F18+F22+F25+F32+F35+F38+F43</f>
        <v>38329.4</v>
      </c>
      <c r="G17" s="340">
        <f>G18+G22+G25+G32+G35+G38</f>
        <v>0</v>
      </c>
      <c r="H17" s="340">
        <f>H18+H22+H25+H32+H35+H38</f>
        <v>0</v>
      </c>
    </row>
    <row r="18" spans="1:8" ht="31.5">
      <c r="A18" s="281" t="s">
        <v>411</v>
      </c>
      <c r="B18" s="248" t="s">
        <v>470</v>
      </c>
      <c r="C18" s="282"/>
      <c r="D18" s="282"/>
      <c r="E18" s="248"/>
      <c r="F18" s="278">
        <f>F19</f>
        <v>17594.3</v>
      </c>
      <c r="G18" s="278">
        <f>G19</f>
        <v>0</v>
      </c>
      <c r="H18" s="278">
        <f>H19</f>
        <v>0</v>
      </c>
    </row>
    <row r="19" spans="1:8" ht="47.25">
      <c r="A19" s="281" t="s">
        <v>469</v>
      </c>
      <c r="B19" s="248" t="s">
        <v>471</v>
      </c>
      <c r="C19" s="282"/>
      <c r="D19" s="282"/>
      <c r="E19" s="248"/>
      <c r="F19" s="278">
        <f>SUM(F20:F21)</f>
        <v>17594.3</v>
      </c>
      <c r="G19" s="278">
        <f>SUM(G20:G21)</f>
        <v>0</v>
      </c>
      <c r="H19" s="278">
        <f>SUM(H20:H21)</f>
        <v>0</v>
      </c>
    </row>
    <row r="20" spans="1:8" ht="31.5">
      <c r="A20" s="281" t="s">
        <v>454</v>
      </c>
      <c r="B20" s="248" t="s">
        <v>471</v>
      </c>
      <c r="C20" s="282" t="s">
        <v>462</v>
      </c>
      <c r="D20" s="282" t="s">
        <v>146</v>
      </c>
      <c r="E20" s="248">
        <v>240</v>
      </c>
      <c r="F20" s="278">
        <f>'Приложение 8'!Q129</f>
        <v>3419</v>
      </c>
      <c r="G20" s="278">
        <f>'Приложение 8'!R129</f>
        <v>0</v>
      </c>
      <c r="H20" s="278">
        <f>'Приложение 8'!S129</f>
        <v>0</v>
      </c>
    </row>
    <row r="21" spans="1:8" ht="15.75">
      <c r="A21" s="281" t="s">
        <v>397</v>
      </c>
      <c r="B21" s="248" t="s">
        <v>471</v>
      </c>
      <c r="C21" s="282" t="s">
        <v>462</v>
      </c>
      <c r="D21" s="282" t="s">
        <v>146</v>
      </c>
      <c r="E21" s="248">
        <v>540</v>
      </c>
      <c r="F21" s="278">
        <f>'Приложение 8'!Q130</f>
        <v>14175.3</v>
      </c>
      <c r="G21" s="278">
        <f>'Приложение 8'!R130</f>
        <v>0</v>
      </c>
      <c r="H21" s="278">
        <f>'Приложение 8'!S130</f>
        <v>0</v>
      </c>
    </row>
    <row r="22" spans="1:8" ht="31.5">
      <c r="A22" s="281" t="s">
        <v>546</v>
      </c>
      <c r="B22" s="248" t="s">
        <v>465</v>
      </c>
      <c r="C22" s="282"/>
      <c r="D22" s="282"/>
      <c r="E22" s="248"/>
      <c r="F22" s="278">
        <f aca="true" t="shared" si="0" ref="F22:H23">F23</f>
        <v>250</v>
      </c>
      <c r="G22" s="278">
        <f t="shared" si="0"/>
        <v>0</v>
      </c>
      <c r="H22" s="278">
        <f t="shared" si="0"/>
        <v>0</v>
      </c>
    </row>
    <row r="23" spans="1:8" ht="15.75">
      <c r="A23" s="281" t="s">
        <v>497</v>
      </c>
      <c r="B23" s="248" t="s">
        <v>507</v>
      </c>
      <c r="C23" s="282"/>
      <c r="D23" s="282"/>
      <c r="E23" s="248"/>
      <c r="F23" s="278">
        <f t="shared" si="0"/>
        <v>250</v>
      </c>
      <c r="G23" s="278">
        <f t="shared" si="0"/>
        <v>0</v>
      </c>
      <c r="H23" s="278">
        <f t="shared" si="0"/>
        <v>0</v>
      </c>
    </row>
    <row r="24" spans="1:8" ht="15.75">
      <c r="A24" s="281" t="s">
        <v>397</v>
      </c>
      <c r="B24" s="248" t="s">
        <v>507</v>
      </c>
      <c r="C24" s="282" t="s">
        <v>462</v>
      </c>
      <c r="D24" s="282" t="s">
        <v>146</v>
      </c>
      <c r="E24" s="248">
        <v>540</v>
      </c>
      <c r="F24" s="278">
        <f>'Приложение 8'!Q133</f>
        <v>250</v>
      </c>
      <c r="G24" s="278">
        <f>'Приложение 8'!R133</f>
        <v>0</v>
      </c>
      <c r="H24" s="278">
        <f>'Приложение 8'!S133</f>
        <v>0</v>
      </c>
    </row>
    <row r="25" spans="1:8" ht="33" customHeight="1">
      <c r="A25" s="295" t="s">
        <v>555</v>
      </c>
      <c r="B25" s="248" t="s">
        <v>466</v>
      </c>
      <c r="C25" s="282"/>
      <c r="D25" s="282"/>
      <c r="E25" s="248"/>
      <c r="F25" s="278">
        <f>F26+F29</f>
        <v>14658.6</v>
      </c>
      <c r="G25" s="278">
        <f>G26+G29</f>
        <v>0</v>
      </c>
      <c r="H25" s="278">
        <f>H26+H29</f>
        <v>0</v>
      </c>
    </row>
    <row r="26" spans="1:8" ht="15.75">
      <c r="A26" s="281" t="s">
        <v>497</v>
      </c>
      <c r="B26" s="248" t="s">
        <v>35</v>
      </c>
      <c r="C26" s="282"/>
      <c r="D26" s="282"/>
      <c r="E26" s="248"/>
      <c r="F26" s="278">
        <f>F27+F28</f>
        <v>8493.2</v>
      </c>
      <c r="G26" s="278">
        <f>G27+G28</f>
        <v>0</v>
      </c>
      <c r="H26" s="278">
        <f>H27+H28</f>
        <v>0</v>
      </c>
    </row>
    <row r="27" spans="1:8" ht="31.5">
      <c r="A27" s="281" t="s">
        <v>454</v>
      </c>
      <c r="B27" s="248" t="s">
        <v>35</v>
      </c>
      <c r="C27" s="282" t="s">
        <v>462</v>
      </c>
      <c r="D27" s="282" t="s">
        <v>146</v>
      </c>
      <c r="E27" s="248">
        <v>240</v>
      </c>
      <c r="F27" s="278">
        <f>'Приложение 8'!Q136</f>
        <v>7993.200000000001</v>
      </c>
      <c r="G27" s="278">
        <f>'Приложение 8'!R136</f>
        <v>0</v>
      </c>
      <c r="H27" s="278">
        <f>'Приложение 8'!S136</f>
        <v>0</v>
      </c>
    </row>
    <row r="28" spans="1:8" ht="15.75">
      <c r="A28" s="281" t="s">
        <v>397</v>
      </c>
      <c r="B28" s="248" t="s">
        <v>35</v>
      </c>
      <c r="C28" s="282" t="s">
        <v>462</v>
      </c>
      <c r="D28" s="282" t="s">
        <v>146</v>
      </c>
      <c r="E28" s="248">
        <v>540</v>
      </c>
      <c r="F28" s="278">
        <f>'Приложение 8'!Q137</f>
        <v>500</v>
      </c>
      <c r="G28" s="278">
        <f>'Приложение 8'!R137</f>
        <v>0</v>
      </c>
      <c r="H28" s="278">
        <f>'Приложение 8'!S137</f>
        <v>0</v>
      </c>
    </row>
    <row r="29" spans="1:8" ht="47.25">
      <c r="A29" s="10" t="s">
        <v>469</v>
      </c>
      <c r="B29" s="276" t="s">
        <v>787</v>
      </c>
      <c r="C29" s="282"/>
      <c r="D29" s="282"/>
      <c r="E29" s="248"/>
      <c r="F29" s="278">
        <f>F30+F31</f>
        <v>6165.4</v>
      </c>
      <c r="G29" s="278">
        <f>G30+G31</f>
        <v>0</v>
      </c>
      <c r="H29" s="278">
        <f>H30+H31</f>
        <v>0</v>
      </c>
    </row>
    <row r="30" spans="1:8" ht="31.5" hidden="1">
      <c r="A30" s="4" t="s">
        <v>454</v>
      </c>
      <c r="B30" s="276" t="s">
        <v>787</v>
      </c>
      <c r="C30" s="277" t="s">
        <v>462</v>
      </c>
      <c r="D30" s="277" t="s">
        <v>146</v>
      </c>
      <c r="E30" s="248">
        <v>240</v>
      </c>
      <c r="F30" s="278">
        <f>'Приложение 8'!Q139</f>
        <v>808.3</v>
      </c>
      <c r="G30" s="278">
        <f>'Приложение 8'!R139</f>
        <v>0</v>
      </c>
      <c r="H30" s="278">
        <f>'Приложение 8'!S139</f>
        <v>0</v>
      </c>
    </row>
    <row r="31" spans="1:8" ht="15.75">
      <c r="A31" s="281" t="s">
        <v>397</v>
      </c>
      <c r="B31" s="276" t="s">
        <v>787</v>
      </c>
      <c r="C31" s="277" t="s">
        <v>462</v>
      </c>
      <c r="D31" s="277" t="s">
        <v>146</v>
      </c>
      <c r="E31" s="248">
        <v>540</v>
      </c>
      <c r="F31" s="278">
        <f>'Приложение 8'!Q140</f>
        <v>5357.099999999999</v>
      </c>
      <c r="G31" s="278">
        <f>'Приложение 8'!R140</f>
        <v>0</v>
      </c>
      <c r="H31" s="278">
        <f>'Приложение 8'!S140</f>
        <v>0</v>
      </c>
    </row>
    <row r="32" spans="1:8" ht="47.25">
      <c r="A32" s="281" t="s">
        <v>508</v>
      </c>
      <c r="B32" s="248" t="s">
        <v>467</v>
      </c>
      <c r="C32" s="282"/>
      <c r="D32" s="282"/>
      <c r="E32" s="248"/>
      <c r="F32" s="278">
        <f aca="true" t="shared" si="1" ref="F32:H33">F33</f>
        <v>200</v>
      </c>
      <c r="G32" s="278">
        <f t="shared" si="1"/>
        <v>0</v>
      </c>
      <c r="H32" s="278">
        <f t="shared" si="1"/>
        <v>0</v>
      </c>
    </row>
    <row r="33" spans="1:8" ht="21.75" customHeight="1">
      <c r="A33" s="281" t="s">
        <v>497</v>
      </c>
      <c r="B33" s="248" t="s">
        <v>509</v>
      </c>
      <c r="C33" s="282"/>
      <c r="D33" s="282"/>
      <c r="E33" s="248"/>
      <c r="F33" s="278">
        <f t="shared" si="1"/>
        <v>200</v>
      </c>
      <c r="G33" s="278">
        <f t="shared" si="1"/>
        <v>0</v>
      </c>
      <c r="H33" s="278">
        <f t="shared" si="1"/>
        <v>0</v>
      </c>
    </row>
    <row r="34" spans="1:8" ht="33" customHeight="1">
      <c r="A34" s="281" t="s">
        <v>454</v>
      </c>
      <c r="B34" s="248" t="s">
        <v>509</v>
      </c>
      <c r="C34" s="282" t="s">
        <v>147</v>
      </c>
      <c r="D34" s="282" t="s">
        <v>146</v>
      </c>
      <c r="E34" s="248">
        <v>240</v>
      </c>
      <c r="F34" s="278">
        <f>'Приложение 8'!Q715</f>
        <v>200</v>
      </c>
      <c r="G34" s="278">
        <f>'Приложение 8'!R715</f>
        <v>0</v>
      </c>
      <c r="H34" s="278">
        <f>'Приложение 8'!S715</f>
        <v>0</v>
      </c>
    </row>
    <row r="35" spans="1:8" ht="48" customHeight="1">
      <c r="A35" s="295" t="s">
        <v>882</v>
      </c>
      <c r="B35" s="248" t="s">
        <v>493</v>
      </c>
      <c r="C35" s="282"/>
      <c r="D35" s="282"/>
      <c r="E35" s="248"/>
      <c r="F35" s="278">
        <f aca="true" t="shared" si="2" ref="F35:H36">F36</f>
        <v>1027.2</v>
      </c>
      <c r="G35" s="278">
        <f t="shared" si="2"/>
        <v>0</v>
      </c>
      <c r="H35" s="278">
        <f t="shared" si="2"/>
        <v>0</v>
      </c>
    </row>
    <row r="36" spans="1:8" ht="73.5" customHeight="1">
      <c r="A36" s="281" t="s">
        <v>33</v>
      </c>
      <c r="B36" s="248" t="s">
        <v>34</v>
      </c>
      <c r="C36" s="282"/>
      <c r="D36" s="282"/>
      <c r="E36" s="248"/>
      <c r="F36" s="278">
        <f t="shared" si="2"/>
        <v>1027.2</v>
      </c>
      <c r="G36" s="278">
        <f t="shared" si="2"/>
        <v>0</v>
      </c>
      <c r="H36" s="278">
        <f t="shared" si="2"/>
        <v>0</v>
      </c>
    </row>
    <row r="37" spans="1:8" ht="15.75">
      <c r="A37" s="281" t="s">
        <v>397</v>
      </c>
      <c r="B37" s="248" t="s">
        <v>34</v>
      </c>
      <c r="C37" s="282" t="s">
        <v>462</v>
      </c>
      <c r="D37" s="282" t="s">
        <v>146</v>
      </c>
      <c r="E37" s="248">
        <v>540</v>
      </c>
      <c r="F37" s="278">
        <f>'Приложение 8'!Q143</f>
        <v>1027.2</v>
      </c>
      <c r="G37" s="278">
        <f>'Приложение 8'!R143</f>
        <v>0</v>
      </c>
      <c r="H37" s="278">
        <f>'Приложение 8'!S143</f>
        <v>0</v>
      </c>
    </row>
    <row r="38" spans="1:8" ht="51" customHeight="1">
      <c r="A38" s="281" t="s">
        <v>17</v>
      </c>
      <c r="B38" s="248" t="s">
        <v>510</v>
      </c>
      <c r="C38" s="282"/>
      <c r="D38" s="282"/>
      <c r="E38" s="248"/>
      <c r="F38" s="278">
        <f>F39+F41</f>
        <v>2688.2999999999997</v>
      </c>
      <c r="G38" s="278">
        <f aca="true" t="shared" si="3" ref="F38:H39">G39</f>
        <v>0</v>
      </c>
      <c r="H38" s="278">
        <f t="shared" si="3"/>
        <v>0</v>
      </c>
    </row>
    <row r="39" spans="1:8" s="331" customFormat="1" ht="52.5" customHeight="1">
      <c r="A39" s="281" t="s">
        <v>14</v>
      </c>
      <c r="B39" s="248" t="s">
        <v>511</v>
      </c>
      <c r="C39" s="282"/>
      <c r="D39" s="282"/>
      <c r="E39" s="248"/>
      <c r="F39" s="278">
        <f t="shared" si="3"/>
        <v>2237.7</v>
      </c>
      <c r="G39" s="278">
        <f t="shared" si="3"/>
        <v>0</v>
      </c>
      <c r="H39" s="278">
        <f t="shared" si="3"/>
        <v>0</v>
      </c>
    </row>
    <row r="40" spans="1:8" s="331" customFormat="1" ht="15.75">
      <c r="A40" s="281" t="s">
        <v>397</v>
      </c>
      <c r="B40" s="248" t="s">
        <v>511</v>
      </c>
      <c r="C40" s="282" t="s">
        <v>462</v>
      </c>
      <c r="D40" s="282" t="s">
        <v>146</v>
      </c>
      <c r="E40" s="248">
        <v>540</v>
      </c>
      <c r="F40" s="278">
        <f>'Приложение 8'!Q146</f>
        <v>2237.7</v>
      </c>
      <c r="G40" s="278">
        <f>'Приложение 8'!R146</f>
        <v>0</v>
      </c>
      <c r="H40" s="278">
        <f>'Приложение 8'!S146</f>
        <v>0</v>
      </c>
    </row>
    <row r="41" spans="1:8" s="331" customFormat="1" ht="47.25">
      <c r="A41" s="10" t="s">
        <v>469</v>
      </c>
      <c r="B41" s="276" t="s">
        <v>889</v>
      </c>
      <c r="C41" s="282"/>
      <c r="D41" s="282"/>
      <c r="E41" s="248"/>
      <c r="F41" s="278">
        <f>F42</f>
        <v>450.6</v>
      </c>
      <c r="G41" s="278">
        <v>0</v>
      </c>
      <c r="H41" s="278">
        <v>0</v>
      </c>
    </row>
    <row r="42" spans="1:8" s="331" customFormat="1" ht="15.75">
      <c r="A42" s="4" t="s">
        <v>512</v>
      </c>
      <c r="B42" s="276" t="s">
        <v>889</v>
      </c>
      <c r="C42" s="277" t="s">
        <v>462</v>
      </c>
      <c r="D42" s="277" t="s">
        <v>146</v>
      </c>
      <c r="E42" s="248">
        <v>540</v>
      </c>
      <c r="F42" s="278">
        <f>'Приложение 8'!Q148</f>
        <v>450.6</v>
      </c>
      <c r="G42" s="278">
        <v>0</v>
      </c>
      <c r="H42" s="278">
        <v>0</v>
      </c>
    </row>
    <row r="43" spans="1:8" s="331" customFormat="1" ht="31.5">
      <c r="A43" s="4" t="s">
        <v>825</v>
      </c>
      <c r="B43" s="276" t="s">
        <v>826</v>
      </c>
      <c r="C43" s="282"/>
      <c r="D43" s="282"/>
      <c r="E43" s="248"/>
      <c r="F43" s="278">
        <f aca="true" t="shared" si="4" ref="F43:H44">F44</f>
        <v>1911</v>
      </c>
      <c r="G43" s="278">
        <f t="shared" si="4"/>
        <v>0</v>
      </c>
      <c r="H43" s="278">
        <f t="shared" si="4"/>
        <v>0</v>
      </c>
    </row>
    <row r="44" spans="1:8" s="331" customFormat="1" ht="15.75">
      <c r="A44" s="4" t="s">
        <v>497</v>
      </c>
      <c r="B44" s="276" t="s">
        <v>827</v>
      </c>
      <c r="C44" s="282"/>
      <c r="D44" s="282"/>
      <c r="E44" s="248"/>
      <c r="F44" s="278">
        <f>F45+F46</f>
        <v>1911</v>
      </c>
      <c r="G44" s="278">
        <f t="shared" si="4"/>
        <v>0</v>
      </c>
      <c r="H44" s="278">
        <f t="shared" si="4"/>
        <v>0</v>
      </c>
    </row>
    <row r="45" spans="1:8" s="331" customFormat="1" ht="31.5">
      <c r="A45" s="4" t="s">
        <v>454</v>
      </c>
      <c r="B45" s="276" t="s">
        <v>827</v>
      </c>
      <c r="C45" s="277" t="s">
        <v>462</v>
      </c>
      <c r="D45" s="277" t="s">
        <v>146</v>
      </c>
      <c r="E45" s="248">
        <v>240</v>
      </c>
      <c r="F45" s="278">
        <f>'Приложение 8'!Q151</f>
        <v>911</v>
      </c>
      <c r="G45" s="278">
        <f>'Приложение 8'!R151</f>
        <v>0</v>
      </c>
      <c r="H45" s="278">
        <f>'Приложение 8'!S151</f>
        <v>0</v>
      </c>
    </row>
    <row r="46" spans="1:8" s="331" customFormat="1" ht="15.75">
      <c r="A46" s="281" t="s">
        <v>397</v>
      </c>
      <c r="B46" s="276" t="s">
        <v>827</v>
      </c>
      <c r="C46" s="277" t="s">
        <v>462</v>
      </c>
      <c r="D46" s="277" t="s">
        <v>146</v>
      </c>
      <c r="E46" s="248">
        <v>540</v>
      </c>
      <c r="F46" s="278">
        <f>'Приложение 8'!Q152</f>
        <v>1000</v>
      </c>
      <c r="G46" s="278">
        <v>0</v>
      </c>
      <c r="H46" s="278">
        <v>0</v>
      </c>
    </row>
    <row r="47" spans="1:8" s="342" customFormat="1" ht="47.25">
      <c r="A47" s="309" t="s">
        <v>869</v>
      </c>
      <c r="B47" s="322" t="s">
        <v>874</v>
      </c>
      <c r="C47" s="339"/>
      <c r="D47" s="339"/>
      <c r="E47" s="322"/>
      <c r="F47" s="340">
        <f>F48</f>
        <v>7040.4</v>
      </c>
      <c r="G47" s="340">
        <f aca="true" t="shared" si="5" ref="G47:H49">G48</f>
        <v>0</v>
      </c>
      <c r="H47" s="340">
        <f t="shared" si="5"/>
        <v>0</v>
      </c>
    </row>
    <row r="48" spans="1:8" s="331" customFormat="1" ht="47.25">
      <c r="A48" s="17" t="s">
        <v>872</v>
      </c>
      <c r="B48" s="276" t="s">
        <v>875</v>
      </c>
      <c r="C48" s="277"/>
      <c r="D48" s="277"/>
      <c r="E48" s="248"/>
      <c r="F48" s="278">
        <f>F49</f>
        <v>7040.4</v>
      </c>
      <c r="G48" s="278">
        <f t="shared" si="5"/>
        <v>0</v>
      </c>
      <c r="H48" s="278">
        <f t="shared" si="5"/>
        <v>0</v>
      </c>
    </row>
    <row r="49" spans="1:8" s="331" customFormat="1" ht="47.25">
      <c r="A49" s="17" t="s">
        <v>873</v>
      </c>
      <c r="B49" s="276" t="s">
        <v>876</v>
      </c>
      <c r="C49" s="277"/>
      <c r="D49" s="277"/>
      <c r="E49" s="248"/>
      <c r="F49" s="278">
        <f>F50</f>
        <v>7040.4</v>
      </c>
      <c r="G49" s="278">
        <f t="shared" si="5"/>
        <v>0</v>
      </c>
      <c r="H49" s="278">
        <f t="shared" si="5"/>
        <v>0</v>
      </c>
    </row>
    <row r="50" spans="1:8" s="331" customFormat="1" ht="31.5">
      <c r="A50" s="17" t="s">
        <v>454</v>
      </c>
      <c r="B50" s="276" t="s">
        <v>876</v>
      </c>
      <c r="C50" s="277" t="s">
        <v>462</v>
      </c>
      <c r="D50" s="277" t="s">
        <v>154</v>
      </c>
      <c r="E50" s="248">
        <v>240</v>
      </c>
      <c r="F50" s="278">
        <f>'Приложение 8'!Q216</f>
        <v>7040.4</v>
      </c>
      <c r="G50" s="278">
        <f>'Приложение 8'!R216</f>
        <v>0</v>
      </c>
      <c r="H50" s="278">
        <f>'Приложение 8'!S216</f>
        <v>0</v>
      </c>
    </row>
    <row r="51" spans="1:8" s="341" customFormat="1" ht="78" customHeight="1">
      <c r="A51" s="338" t="s">
        <v>539</v>
      </c>
      <c r="B51" s="322" t="s">
        <v>40</v>
      </c>
      <c r="C51" s="339"/>
      <c r="D51" s="339"/>
      <c r="E51" s="322"/>
      <c r="F51" s="340">
        <f>F52</f>
        <v>39640.399999999994</v>
      </c>
      <c r="G51" s="340">
        <f>G52</f>
        <v>42865.2</v>
      </c>
      <c r="H51" s="340">
        <f>H52</f>
        <v>6222.4</v>
      </c>
    </row>
    <row r="52" spans="1:8" ht="43.5" customHeight="1">
      <c r="A52" s="295" t="s">
        <v>698</v>
      </c>
      <c r="B52" s="276" t="s">
        <v>699</v>
      </c>
      <c r="C52" s="277"/>
      <c r="D52" s="277"/>
      <c r="E52" s="276"/>
      <c r="F52" s="343">
        <f>F56+F59+F53</f>
        <v>39640.399999999994</v>
      </c>
      <c r="G52" s="343">
        <f>G56+G59+G53</f>
        <v>42865.2</v>
      </c>
      <c r="H52" s="343">
        <f>H56+H59+H53</f>
        <v>6222.4</v>
      </c>
    </row>
    <row r="53" spans="1:8" ht="51.75" customHeight="1">
      <c r="A53" s="17" t="s">
        <v>533</v>
      </c>
      <c r="B53" s="276" t="s">
        <v>773</v>
      </c>
      <c r="C53" s="277"/>
      <c r="D53" s="277"/>
      <c r="E53" s="276"/>
      <c r="F53" s="343">
        <f>F54+F55</f>
        <v>37436.2</v>
      </c>
      <c r="G53" s="343">
        <f>G54</f>
        <v>37475.5</v>
      </c>
      <c r="H53" s="343">
        <f>H54</f>
        <v>0</v>
      </c>
    </row>
    <row r="54" spans="1:8" ht="15.75">
      <c r="A54" s="281" t="s">
        <v>311</v>
      </c>
      <c r="B54" s="276" t="s">
        <v>773</v>
      </c>
      <c r="C54" s="277" t="s">
        <v>462</v>
      </c>
      <c r="D54" s="277" t="s">
        <v>163</v>
      </c>
      <c r="E54" s="276">
        <v>410</v>
      </c>
      <c r="F54" s="343">
        <f>'Приложение 8'!Q204</f>
        <v>30224.699999999997</v>
      </c>
      <c r="G54" s="343">
        <f>'Приложение 8'!R204</f>
        <v>37475.5</v>
      </c>
      <c r="H54" s="343">
        <f>'Приложение 8'!S204</f>
        <v>0</v>
      </c>
    </row>
    <row r="55" spans="1:8" ht="15.75">
      <c r="A55" s="17" t="s">
        <v>455</v>
      </c>
      <c r="B55" s="276" t="s">
        <v>773</v>
      </c>
      <c r="C55" s="277" t="s">
        <v>462</v>
      </c>
      <c r="D55" s="277" t="s">
        <v>163</v>
      </c>
      <c r="E55" s="276">
        <v>850</v>
      </c>
      <c r="F55" s="343">
        <f>'Приложение 8'!Q205</f>
        <v>7211.5</v>
      </c>
      <c r="G55" s="343">
        <v>0</v>
      </c>
      <c r="H55" s="343">
        <v>0</v>
      </c>
    </row>
    <row r="56" spans="1:8" ht="51.75" customHeight="1">
      <c r="A56" s="281" t="s">
        <v>534</v>
      </c>
      <c r="B56" s="248" t="s">
        <v>545</v>
      </c>
      <c r="C56" s="282"/>
      <c r="D56" s="282"/>
      <c r="E56" s="248"/>
      <c r="F56" s="278">
        <f>F57+F58</f>
        <v>1559.8000000000002</v>
      </c>
      <c r="G56" s="278">
        <f>G57</f>
        <v>4389.7</v>
      </c>
      <c r="H56" s="278">
        <f>H57</f>
        <v>5222.4</v>
      </c>
    </row>
    <row r="57" spans="1:8" ht="15.75">
      <c r="A57" s="281" t="s">
        <v>311</v>
      </c>
      <c r="B57" s="248" t="s">
        <v>545</v>
      </c>
      <c r="C57" s="282" t="s">
        <v>462</v>
      </c>
      <c r="D57" s="282" t="s">
        <v>163</v>
      </c>
      <c r="E57" s="248">
        <v>410</v>
      </c>
      <c r="F57" s="278">
        <f>'Приложение 8'!Q207</f>
        <v>1259.3000000000002</v>
      </c>
      <c r="G57" s="278">
        <f>'Приложение 8'!R207</f>
        <v>4389.7</v>
      </c>
      <c r="H57" s="278">
        <f>'Приложение 8'!S207</f>
        <v>5222.4</v>
      </c>
    </row>
    <row r="58" spans="1:8" ht="15.75">
      <c r="A58" s="17" t="s">
        <v>455</v>
      </c>
      <c r="B58" s="248" t="s">
        <v>545</v>
      </c>
      <c r="C58" s="282" t="s">
        <v>462</v>
      </c>
      <c r="D58" s="282" t="s">
        <v>163</v>
      </c>
      <c r="E58" s="248">
        <v>850</v>
      </c>
      <c r="F58" s="278">
        <f>'Приложение 8'!Q208</f>
        <v>300.5</v>
      </c>
      <c r="G58" s="278">
        <v>0</v>
      </c>
      <c r="H58" s="278">
        <v>0</v>
      </c>
    </row>
    <row r="59" spans="1:8" ht="45" customHeight="1">
      <c r="A59" s="281" t="s">
        <v>548</v>
      </c>
      <c r="B59" s="248" t="s">
        <v>549</v>
      </c>
      <c r="C59" s="282"/>
      <c r="D59" s="282"/>
      <c r="E59" s="248"/>
      <c r="F59" s="278">
        <f>F60+F61</f>
        <v>644.4000000000001</v>
      </c>
      <c r="G59" s="278">
        <f>G60</f>
        <v>1000</v>
      </c>
      <c r="H59" s="278">
        <f>H60</f>
        <v>1000</v>
      </c>
    </row>
    <row r="60" spans="1:8" ht="31.5">
      <c r="A60" s="228" t="s">
        <v>454</v>
      </c>
      <c r="B60" s="248" t="s">
        <v>549</v>
      </c>
      <c r="C60" s="282" t="s">
        <v>462</v>
      </c>
      <c r="D60" s="282" t="s">
        <v>163</v>
      </c>
      <c r="E60" s="248">
        <v>240</v>
      </c>
      <c r="F60" s="278">
        <f>'Приложение 8'!Q210</f>
        <v>524.4000000000001</v>
      </c>
      <c r="G60" s="278">
        <f>'Приложение 8'!R210</f>
        <v>1000</v>
      </c>
      <c r="H60" s="278">
        <f>'Приложение 8'!S210</f>
        <v>1000</v>
      </c>
    </row>
    <row r="61" spans="1:8" ht="15.75">
      <c r="A61" s="17" t="s">
        <v>492</v>
      </c>
      <c r="B61" s="248" t="s">
        <v>549</v>
      </c>
      <c r="C61" s="282" t="s">
        <v>462</v>
      </c>
      <c r="D61" s="282" t="s">
        <v>163</v>
      </c>
      <c r="E61" s="248">
        <v>620</v>
      </c>
      <c r="F61" s="278">
        <f>'Приложение 8'!Q211</f>
        <v>120</v>
      </c>
      <c r="G61" s="278">
        <v>0</v>
      </c>
      <c r="H61" s="278">
        <v>0</v>
      </c>
    </row>
    <row r="62" spans="1:8" s="341" customFormat="1" ht="53.25" customHeight="1">
      <c r="A62" s="338" t="s">
        <v>865</v>
      </c>
      <c r="B62" s="322" t="s">
        <v>164</v>
      </c>
      <c r="C62" s="339"/>
      <c r="D62" s="339"/>
      <c r="E62" s="322"/>
      <c r="F62" s="340">
        <f>F63+F66+F71+F80+F92</f>
        <v>500</v>
      </c>
      <c r="G62" s="340">
        <f>G63+G66+G71+G80+G92</f>
        <v>500</v>
      </c>
      <c r="H62" s="340">
        <f>H63+H66+H71+H80+H92</f>
        <v>500</v>
      </c>
    </row>
    <row r="63" spans="1:8" ht="54" customHeight="1">
      <c r="A63" s="281" t="s">
        <v>228</v>
      </c>
      <c r="B63" s="248" t="s">
        <v>165</v>
      </c>
      <c r="C63" s="282"/>
      <c r="D63" s="282"/>
      <c r="E63" s="248"/>
      <c r="F63" s="278">
        <f aca="true" t="shared" si="6" ref="F63:H64">F64</f>
        <v>0</v>
      </c>
      <c r="G63" s="278">
        <f t="shared" si="6"/>
        <v>10</v>
      </c>
      <c r="H63" s="278">
        <f t="shared" si="6"/>
        <v>10</v>
      </c>
    </row>
    <row r="64" spans="1:8" ht="31.5">
      <c r="A64" s="228" t="s">
        <v>100</v>
      </c>
      <c r="B64" s="248" t="s">
        <v>266</v>
      </c>
      <c r="C64" s="282"/>
      <c r="D64" s="282"/>
      <c r="E64" s="248"/>
      <c r="F64" s="278">
        <f t="shared" si="6"/>
        <v>0</v>
      </c>
      <c r="G64" s="278">
        <f t="shared" si="6"/>
        <v>10</v>
      </c>
      <c r="H64" s="278">
        <f t="shared" si="6"/>
        <v>10</v>
      </c>
    </row>
    <row r="65" spans="1:8" ht="31.5">
      <c r="A65" s="228" t="s">
        <v>454</v>
      </c>
      <c r="B65" s="248" t="s">
        <v>266</v>
      </c>
      <c r="C65" s="282" t="s">
        <v>463</v>
      </c>
      <c r="D65" s="282" t="s">
        <v>149</v>
      </c>
      <c r="E65" s="248">
        <v>240</v>
      </c>
      <c r="F65" s="278">
        <f>'Приложение 8'!Q612</f>
        <v>0</v>
      </c>
      <c r="G65" s="278">
        <f>'Приложение 8'!R612</f>
        <v>10</v>
      </c>
      <c r="H65" s="278">
        <f>'Приложение 8'!S612</f>
        <v>10</v>
      </c>
    </row>
    <row r="66" spans="1:8" ht="47.25">
      <c r="A66" s="281" t="s">
        <v>84</v>
      </c>
      <c r="B66" s="248" t="s">
        <v>167</v>
      </c>
      <c r="C66" s="282"/>
      <c r="D66" s="282"/>
      <c r="E66" s="248"/>
      <c r="F66" s="278">
        <f>F67+F69</f>
        <v>82.6</v>
      </c>
      <c r="G66" s="278">
        <f>G67+G69</f>
        <v>130</v>
      </c>
      <c r="H66" s="278">
        <f>H67+H69</f>
        <v>130</v>
      </c>
    </row>
    <row r="67" spans="1:8" ht="15.75">
      <c r="A67" s="281" t="s">
        <v>90</v>
      </c>
      <c r="B67" s="248" t="s">
        <v>168</v>
      </c>
      <c r="C67" s="282"/>
      <c r="D67" s="282"/>
      <c r="E67" s="248"/>
      <c r="F67" s="278">
        <f>F68</f>
        <v>82.6</v>
      </c>
      <c r="G67" s="278">
        <f>G68</f>
        <v>130</v>
      </c>
      <c r="H67" s="278">
        <f>H68</f>
        <v>130</v>
      </c>
    </row>
    <row r="68" spans="1:8" ht="15.75">
      <c r="A68" s="281" t="s">
        <v>456</v>
      </c>
      <c r="B68" s="248" t="s">
        <v>168</v>
      </c>
      <c r="C68" s="282" t="s">
        <v>463</v>
      </c>
      <c r="D68" s="282" t="s">
        <v>148</v>
      </c>
      <c r="E68" s="248">
        <v>610</v>
      </c>
      <c r="F68" s="278">
        <f>'Приложение 8'!Q530</f>
        <v>82.6</v>
      </c>
      <c r="G68" s="278">
        <f>'Приложение 8'!R530</f>
        <v>130</v>
      </c>
      <c r="H68" s="278">
        <f>'Приложение 8'!S530</f>
        <v>130</v>
      </c>
    </row>
    <row r="69" spans="1:8" ht="31.5" hidden="1">
      <c r="A69" s="281" t="s">
        <v>93</v>
      </c>
      <c r="B69" s="248" t="s">
        <v>169</v>
      </c>
      <c r="C69" s="282"/>
      <c r="D69" s="282"/>
      <c r="E69" s="248"/>
      <c r="F69" s="278">
        <f>F70</f>
        <v>0</v>
      </c>
      <c r="G69" s="278">
        <f>G70</f>
        <v>0</v>
      </c>
      <c r="H69" s="278">
        <f>H70</f>
        <v>0</v>
      </c>
    </row>
    <row r="70" spans="1:8" ht="15.75" hidden="1">
      <c r="A70" s="281" t="s">
        <v>456</v>
      </c>
      <c r="B70" s="248" t="s">
        <v>169</v>
      </c>
      <c r="C70" s="282" t="s">
        <v>463</v>
      </c>
      <c r="D70" s="282" t="s">
        <v>151</v>
      </c>
      <c r="E70" s="248">
        <v>610</v>
      </c>
      <c r="F70" s="278">
        <f>'Приложение 8'!Q552</f>
        <v>0</v>
      </c>
      <c r="G70" s="278">
        <f>'Приложение 8'!R552</f>
        <v>0</v>
      </c>
      <c r="H70" s="278">
        <f>'Приложение 8'!S552</f>
        <v>0</v>
      </c>
    </row>
    <row r="71" spans="1:8" ht="47.25">
      <c r="A71" s="281" t="s">
        <v>80</v>
      </c>
      <c r="B71" s="248" t="s">
        <v>170</v>
      </c>
      <c r="C71" s="282"/>
      <c r="D71" s="282"/>
      <c r="E71" s="248"/>
      <c r="F71" s="278">
        <f>F72+F74+F78+F76</f>
        <v>63.20000000000001</v>
      </c>
      <c r="G71" s="278">
        <f>G72+G74</f>
        <v>17</v>
      </c>
      <c r="H71" s="278">
        <f>H72+H74</f>
        <v>17</v>
      </c>
    </row>
    <row r="72" spans="1:8" ht="15.75">
      <c r="A72" s="281" t="s">
        <v>90</v>
      </c>
      <c r="B72" s="248" t="s">
        <v>171</v>
      </c>
      <c r="C72" s="282"/>
      <c r="D72" s="282"/>
      <c r="E72" s="248"/>
      <c r="F72" s="278">
        <f>F73</f>
        <v>6.1</v>
      </c>
      <c r="G72" s="278">
        <f>G73</f>
        <v>4.5</v>
      </c>
      <c r="H72" s="278">
        <f>H73</f>
        <v>4.5</v>
      </c>
    </row>
    <row r="73" spans="1:8" ht="15.75">
      <c r="A73" s="281" t="s">
        <v>456</v>
      </c>
      <c r="B73" s="248" t="s">
        <v>171</v>
      </c>
      <c r="C73" s="282" t="s">
        <v>463</v>
      </c>
      <c r="D73" s="282" t="s">
        <v>148</v>
      </c>
      <c r="E73" s="248">
        <v>610</v>
      </c>
      <c r="F73" s="278">
        <f>'Приложение 8'!Q533</f>
        <v>6.1</v>
      </c>
      <c r="G73" s="278">
        <f>'Приложение 8'!R533</f>
        <v>4.5</v>
      </c>
      <c r="H73" s="278">
        <f>'Приложение 8'!S533</f>
        <v>4.5</v>
      </c>
    </row>
    <row r="74" spans="1:8" ht="31.5">
      <c r="A74" s="281" t="s">
        <v>93</v>
      </c>
      <c r="B74" s="248" t="s">
        <v>172</v>
      </c>
      <c r="C74" s="282"/>
      <c r="D74" s="282"/>
      <c r="E74" s="248"/>
      <c r="F74" s="278">
        <f>F75</f>
        <v>43.7</v>
      </c>
      <c r="G74" s="278">
        <f>G75</f>
        <v>12.5</v>
      </c>
      <c r="H74" s="278">
        <f>H75</f>
        <v>12.5</v>
      </c>
    </row>
    <row r="75" spans="1:8" ht="15.75">
      <c r="A75" s="281" t="s">
        <v>456</v>
      </c>
      <c r="B75" s="248" t="s">
        <v>172</v>
      </c>
      <c r="C75" s="282" t="s">
        <v>463</v>
      </c>
      <c r="D75" s="282" t="s">
        <v>151</v>
      </c>
      <c r="E75" s="248">
        <v>610</v>
      </c>
      <c r="F75" s="278">
        <f>'Приложение 8'!Q555</f>
        <v>43.7</v>
      </c>
      <c r="G75" s="278">
        <f>'Приложение 8'!R555</f>
        <v>12.5</v>
      </c>
      <c r="H75" s="278">
        <f>'Приложение 8'!S555</f>
        <v>12.5</v>
      </c>
    </row>
    <row r="76" spans="1:8" ht="15.75">
      <c r="A76" s="4" t="s">
        <v>94</v>
      </c>
      <c r="B76" s="276" t="s">
        <v>867</v>
      </c>
      <c r="C76" s="282"/>
      <c r="D76" s="282"/>
      <c r="E76" s="248"/>
      <c r="F76" s="278">
        <f>F77</f>
        <v>3.6</v>
      </c>
      <c r="G76" s="278">
        <f>G77</f>
        <v>0</v>
      </c>
      <c r="H76" s="278">
        <f>H77</f>
        <v>0</v>
      </c>
    </row>
    <row r="77" spans="1:8" ht="15.75">
      <c r="A77" s="10" t="s">
        <v>456</v>
      </c>
      <c r="B77" s="276" t="s">
        <v>867</v>
      </c>
      <c r="C77" s="277" t="s">
        <v>463</v>
      </c>
      <c r="D77" s="277" t="s">
        <v>152</v>
      </c>
      <c r="E77" s="248">
        <v>610</v>
      </c>
      <c r="F77" s="278">
        <f>'Приложение 8'!Q277</f>
        <v>3.6</v>
      </c>
      <c r="G77" s="278">
        <f>'Приложение 8'!R277</f>
        <v>0</v>
      </c>
      <c r="H77" s="278">
        <f>'Приложение 8'!S277</f>
        <v>0</v>
      </c>
    </row>
    <row r="78" spans="1:8" ht="31.5">
      <c r="A78" s="228" t="s">
        <v>100</v>
      </c>
      <c r="B78" s="276" t="s">
        <v>866</v>
      </c>
      <c r="C78" s="282"/>
      <c r="D78" s="282"/>
      <c r="E78" s="248"/>
      <c r="F78" s="278">
        <f>F79</f>
        <v>9.8</v>
      </c>
      <c r="G78" s="278">
        <f>G79</f>
        <v>0</v>
      </c>
      <c r="H78" s="278">
        <f>H79</f>
        <v>0</v>
      </c>
    </row>
    <row r="79" spans="1:8" ht="31.5">
      <c r="A79" s="228" t="s">
        <v>454</v>
      </c>
      <c r="B79" s="276" t="s">
        <v>866</v>
      </c>
      <c r="C79" s="277" t="s">
        <v>463</v>
      </c>
      <c r="D79" s="277" t="s">
        <v>149</v>
      </c>
      <c r="E79" s="248">
        <v>240</v>
      </c>
      <c r="F79" s="278">
        <f>'Приложение 8'!Q615</f>
        <v>9.8</v>
      </c>
      <c r="G79" s="278">
        <f>'Приложение 8'!R615</f>
        <v>0</v>
      </c>
      <c r="H79" s="278">
        <f>'Приложение 8'!S615</f>
        <v>0</v>
      </c>
    </row>
    <row r="80" spans="1:8" ht="62.25" customHeight="1">
      <c r="A80" s="281" t="s">
        <v>440</v>
      </c>
      <c r="B80" s="248" t="s">
        <v>173</v>
      </c>
      <c r="C80" s="282"/>
      <c r="D80" s="282"/>
      <c r="E80" s="248"/>
      <c r="F80" s="278">
        <f>F81+F84+F86+F90+F88</f>
        <v>177.7</v>
      </c>
      <c r="G80" s="278">
        <f>G81+G84+G86</f>
        <v>143</v>
      </c>
      <c r="H80" s="278">
        <f>H81+H84+H86</f>
        <v>143</v>
      </c>
    </row>
    <row r="81" spans="1:8" ht="28.5" customHeight="1">
      <c r="A81" s="228" t="s">
        <v>100</v>
      </c>
      <c r="B81" s="248" t="s">
        <v>267</v>
      </c>
      <c r="C81" s="282"/>
      <c r="D81" s="282"/>
      <c r="E81" s="248"/>
      <c r="F81" s="278">
        <f>F82+F83</f>
        <v>64.69999999999999</v>
      </c>
      <c r="G81" s="278">
        <f>G82+G83</f>
        <v>66</v>
      </c>
      <c r="H81" s="278">
        <f>H82+H83</f>
        <v>66</v>
      </c>
    </row>
    <row r="82" spans="1:8" ht="31.5" customHeight="1">
      <c r="A82" s="228" t="s">
        <v>454</v>
      </c>
      <c r="B82" s="248" t="s">
        <v>267</v>
      </c>
      <c r="C82" s="282" t="s">
        <v>463</v>
      </c>
      <c r="D82" s="282" t="s">
        <v>149</v>
      </c>
      <c r="E82" s="248">
        <v>240</v>
      </c>
      <c r="F82" s="278">
        <f>'Приложение 8'!Q618</f>
        <v>64.69999999999999</v>
      </c>
      <c r="G82" s="278">
        <f>'Приложение 8'!R618</f>
        <v>66</v>
      </c>
      <c r="H82" s="278">
        <f>'Приложение 8'!S618</f>
        <v>66</v>
      </c>
    </row>
    <row r="83" spans="1:8" ht="31.5" customHeight="1" hidden="1">
      <c r="A83" s="21" t="s">
        <v>459</v>
      </c>
      <c r="B83" s="248" t="s">
        <v>267</v>
      </c>
      <c r="C83" s="282" t="s">
        <v>463</v>
      </c>
      <c r="D83" s="282" t="s">
        <v>149</v>
      </c>
      <c r="E83" s="248">
        <v>320</v>
      </c>
      <c r="F83" s="278">
        <f>'Приложение 8'!Q619</f>
        <v>0</v>
      </c>
      <c r="G83" s="278">
        <f>'Приложение 8'!R619</f>
        <v>0</v>
      </c>
      <c r="H83" s="278">
        <f>'Приложение 8'!S619</f>
        <v>0</v>
      </c>
    </row>
    <row r="84" spans="1:8" ht="15.75">
      <c r="A84" s="281" t="s">
        <v>90</v>
      </c>
      <c r="B84" s="248" t="s">
        <v>174</v>
      </c>
      <c r="C84" s="282" t="s">
        <v>463</v>
      </c>
      <c r="D84" s="282"/>
      <c r="E84" s="248"/>
      <c r="F84" s="278">
        <f>F85</f>
        <v>1.4000000000000004</v>
      </c>
      <c r="G84" s="278">
        <f>G85</f>
        <v>9</v>
      </c>
      <c r="H84" s="278">
        <f>H85</f>
        <v>9</v>
      </c>
    </row>
    <row r="85" spans="1:8" ht="15.75">
      <c r="A85" s="281" t="s">
        <v>456</v>
      </c>
      <c r="B85" s="248" t="s">
        <v>174</v>
      </c>
      <c r="C85" s="282" t="s">
        <v>463</v>
      </c>
      <c r="D85" s="282" t="s">
        <v>148</v>
      </c>
      <c r="E85" s="248">
        <v>610</v>
      </c>
      <c r="F85" s="278">
        <f>'Приложение 8'!Q536</f>
        <v>1.4000000000000004</v>
      </c>
      <c r="G85" s="278">
        <f>'Приложение 8'!R536</f>
        <v>9</v>
      </c>
      <c r="H85" s="278">
        <f>'Приложение 8'!S536</f>
        <v>9</v>
      </c>
    </row>
    <row r="86" spans="1:8" ht="31.5">
      <c r="A86" s="281" t="s">
        <v>93</v>
      </c>
      <c r="B86" s="248" t="s">
        <v>175</v>
      </c>
      <c r="C86" s="282"/>
      <c r="D86" s="282"/>
      <c r="E86" s="248"/>
      <c r="F86" s="278">
        <f>F87</f>
        <v>34.3</v>
      </c>
      <c r="G86" s="278">
        <f>G87</f>
        <v>68</v>
      </c>
      <c r="H86" s="278">
        <f>H87</f>
        <v>68</v>
      </c>
    </row>
    <row r="87" spans="1:8" ht="15.75">
      <c r="A87" s="281" t="s">
        <v>456</v>
      </c>
      <c r="B87" s="248" t="s">
        <v>175</v>
      </c>
      <c r="C87" s="282" t="s">
        <v>463</v>
      </c>
      <c r="D87" s="282" t="s">
        <v>151</v>
      </c>
      <c r="E87" s="248">
        <v>610</v>
      </c>
      <c r="F87" s="278">
        <f>'Приложение 8'!Q558</f>
        <v>34.3</v>
      </c>
      <c r="G87" s="278">
        <f>'Приложение 8'!R558</f>
        <v>68</v>
      </c>
      <c r="H87" s="278">
        <f>'Приложение 8'!S558</f>
        <v>68</v>
      </c>
    </row>
    <row r="88" spans="1:8" ht="15.75">
      <c r="A88" s="4" t="s">
        <v>94</v>
      </c>
      <c r="B88" s="276" t="s">
        <v>868</v>
      </c>
      <c r="C88" s="282"/>
      <c r="D88" s="282"/>
      <c r="E88" s="248"/>
      <c r="F88" s="278">
        <f>F89</f>
        <v>5</v>
      </c>
      <c r="G88" s="278">
        <f>G89</f>
        <v>0</v>
      </c>
      <c r="H88" s="278">
        <f>H89</f>
        <v>0</v>
      </c>
    </row>
    <row r="89" spans="1:8" ht="15.75">
      <c r="A89" s="10" t="s">
        <v>456</v>
      </c>
      <c r="B89" s="276" t="s">
        <v>868</v>
      </c>
      <c r="C89" s="277" t="s">
        <v>463</v>
      </c>
      <c r="D89" s="277" t="s">
        <v>152</v>
      </c>
      <c r="E89" s="248">
        <v>610</v>
      </c>
      <c r="F89" s="278">
        <f>'Приложение 8'!Q280</f>
        <v>5</v>
      </c>
      <c r="G89" s="278">
        <f>'Приложение 8'!R280</f>
        <v>0</v>
      </c>
      <c r="H89" s="278">
        <f>'Приложение 8'!S280</f>
        <v>0</v>
      </c>
    </row>
    <row r="90" spans="1:8" ht="15.75">
      <c r="A90" s="10" t="s">
        <v>74</v>
      </c>
      <c r="B90" s="276" t="s">
        <v>845</v>
      </c>
      <c r="C90" s="282"/>
      <c r="D90" s="282"/>
      <c r="E90" s="248"/>
      <c r="F90" s="278">
        <f>F91</f>
        <v>72.3</v>
      </c>
      <c r="G90" s="278">
        <f>G91</f>
        <v>0</v>
      </c>
      <c r="H90" s="278">
        <f>H91</f>
        <v>0</v>
      </c>
    </row>
    <row r="91" spans="1:8" ht="15.75">
      <c r="A91" s="10" t="s">
        <v>456</v>
      </c>
      <c r="B91" s="276" t="s">
        <v>845</v>
      </c>
      <c r="C91" s="277" t="s">
        <v>462</v>
      </c>
      <c r="D91" s="277" t="s">
        <v>183</v>
      </c>
      <c r="E91" s="248">
        <v>610</v>
      </c>
      <c r="F91" s="278">
        <f>'Приложение 8'!Q382</f>
        <v>72.3</v>
      </c>
      <c r="G91" s="278">
        <f>'Приложение 8'!R382</f>
        <v>0</v>
      </c>
      <c r="H91" s="278">
        <f>'Приложение 8'!S382</f>
        <v>0</v>
      </c>
    </row>
    <row r="92" spans="1:8" ht="60.75" customHeight="1">
      <c r="A92" s="295" t="s">
        <v>13</v>
      </c>
      <c r="B92" s="248" t="s">
        <v>177</v>
      </c>
      <c r="C92" s="282"/>
      <c r="D92" s="282"/>
      <c r="E92" s="248"/>
      <c r="F92" s="278">
        <f>F93+F95</f>
        <v>176.5</v>
      </c>
      <c r="G92" s="278">
        <f>G93+G95</f>
        <v>200</v>
      </c>
      <c r="H92" s="278">
        <f>H93+H95</f>
        <v>200</v>
      </c>
    </row>
    <row r="93" spans="1:8" ht="31.5" customHeight="1">
      <c r="A93" s="228" t="s">
        <v>100</v>
      </c>
      <c r="B93" s="248" t="s">
        <v>268</v>
      </c>
      <c r="C93" s="282"/>
      <c r="D93" s="282"/>
      <c r="E93" s="248"/>
      <c r="F93" s="278">
        <f>F94</f>
        <v>99.30000000000001</v>
      </c>
      <c r="G93" s="278">
        <f>G94</f>
        <v>75</v>
      </c>
      <c r="H93" s="278">
        <f>H94</f>
        <v>75</v>
      </c>
    </row>
    <row r="94" spans="1:8" ht="35.25" customHeight="1">
      <c r="A94" s="228" t="s">
        <v>454</v>
      </c>
      <c r="B94" s="248" t="s">
        <v>268</v>
      </c>
      <c r="C94" s="282" t="s">
        <v>463</v>
      </c>
      <c r="D94" s="282" t="s">
        <v>149</v>
      </c>
      <c r="E94" s="248">
        <v>240</v>
      </c>
      <c r="F94" s="278">
        <f>'Приложение 8'!Q622</f>
        <v>99.30000000000001</v>
      </c>
      <c r="G94" s="278">
        <f>'Приложение 8'!R622</f>
        <v>75</v>
      </c>
      <c r="H94" s="278">
        <f>'Приложение 8'!S622</f>
        <v>75</v>
      </c>
    </row>
    <row r="95" spans="1:8" ht="31.5">
      <c r="A95" s="281" t="s">
        <v>93</v>
      </c>
      <c r="B95" s="248" t="s">
        <v>178</v>
      </c>
      <c r="C95" s="282"/>
      <c r="D95" s="282"/>
      <c r="E95" s="248"/>
      <c r="F95" s="278">
        <f>F96</f>
        <v>77.2</v>
      </c>
      <c r="G95" s="278">
        <f>G96</f>
        <v>125</v>
      </c>
      <c r="H95" s="278">
        <f>H96</f>
        <v>125</v>
      </c>
    </row>
    <row r="96" spans="1:8" ht="15.75">
      <c r="A96" s="295" t="s">
        <v>456</v>
      </c>
      <c r="B96" s="248" t="s">
        <v>178</v>
      </c>
      <c r="C96" s="282" t="s">
        <v>463</v>
      </c>
      <c r="D96" s="282" t="s">
        <v>151</v>
      </c>
      <c r="E96" s="248">
        <v>610</v>
      </c>
      <c r="F96" s="278">
        <f>'Приложение 8'!Q561</f>
        <v>77.2</v>
      </c>
      <c r="G96" s="278">
        <f>'Приложение 8'!R561</f>
        <v>125</v>
      </c>
      <c r="H96" s="278">
        <f>'Приложение 8'!S561</f>
        <v>125</v>
      </c>
    </row>
    <row r="97" spans="1:8" s="341" customFormat="1" ht="47.25">
      <c r="A97" s="307" t="s">
        <v>619</v>
      </c>
      <c r="B97" s="322" t="s">
        <v>269</v>
      </c>
      <c r="C97" s="339"/>
      <c r="D97" s="339"/>
      <c r="E97" s="322"/>
      <c r="F97" s="340">
        <f>F98+F101+F105</f>
        <v>352</v>
      </c>
      <c r="G97" s="340">
        <f>G98+G101+G105</f>
        <v>392</v>
      </c>
      <c r="H97" s="340">
        <f>H98+H101+H105</f>
        <v>392</v>
      </c>
    </row>
    <row r="98" spans="1:8" ht="31.5">
      <c r="A98" s="2" t="s">
        <v>575</v>
      </c>
      <c r="B98" s="248" t="s">
        <v>270</v>
      </c>
      <c r="C98" s="282"/>
      <c r="D98" s="282"/>
      <c r="E98" s="248"/>
      <c r="F98" s="278">
        <f aca="true" t="shared" si="7" ref="F98:H99">F99</f>
        <v>140</v>
      </c>
      <c r="G98" s="278">
        <f t="shared" si="7"/>
        <v>155</v>
      </c>
      <c r="H98" s="278">
        <f t="shared" si="7"/>
        <v>155</v>
      </c>
    </row>
    <row r="99" spans="1:8" ht="63">
      <c r="A99" s="17" t="s">
        <v>11</v>
      </c>
      <c r="B99" s="248" t="s">
        <v>271</v>
      </c>
      <c r="C99" s="282"/>
      <c r="D99" s="282"/>
      <c r="E99" s="248"/>
      <c r="F99" s="278">
        <f t="shared" si="7"/>
        <v>140</v>
      </c>
      <c r="G99" s="278">
        <f t="shared" si="7"/>
        <v>155</v>
      </c>
      <c r="H99" s="278">
        <f t="shared" si="7"/>
        <v>155</v>
      </c>
    </row>
    <row r="100" spans="1:8" ht="15.75">
      <c r="A100" s="4" t="s">
        <v>386</v>
      </c>
      <c r="B100" s="248" t="s">
        <v>271</v>
      </c>
      <c r="C100" s="282" t="s">
        <v>272</v>
      </c>
      <c r="D100" s="282" t="s">
        <v>143</v>
      </c>
      <c r="E100" s="248">
        <v>340</v>
      </c>
      <c r="F100" s="278">
        <f>'Приложение 8'!Q429</f>
        <v>140</v>
      </c>
      <c r="G100" s="278">
        <f>'Приложение 8'!R429</f>
        <v>155</v>
      </c>
      <c r="H100" s="278">
        <f>'Приложение 8'!S429</f>
        <v>155</v>
      </c>
    </row>
    <row r="101" spans="1:8" ht="31.5">
      <c r="A101" s="4" t="s">
        <v>576</v>
      </c>
      <c r="B101" s="248" t="s">
        <v>273</v>
      </c>
      <c r="C101" s="282"/>
      <c r="D101" s="282"/>
      <c r="E101" s="248"/>
      <c r="F101" s="278">
        <f>F102</f>
        <v>68</v>
      </c>
      <c r="G101" s="278">
        <f>G102</f>
        <v>68</v>
      </c>
      <c r="H101" s="278">
        <f>H102</f>
        <v>68</v>
      </c>
    </row>
    <row r="102" spans="1:8" ht="63">
      <c r="A102" s="4" t="s">
        <v>11</v>
      </c>
      <c r="B102" s="248" t="s">
        <v>274</v>
      </c>
      <c r="C102" s="282"/>
      <c r="D102" s="282"/>
      <c r="E102" s="248"/>
      <c r="F102" s="278">
        <f>F104+F103</f>
        <v>68</v>
      </c>
      <c r="G102" s="278">
        <f>G104</f>
        <v>68</v>
      </c>
      <c r="H102" s="278">
        <f>H104</f>
        <v>68</v>
      </c>
    </row>
    <row r="103" spans="1:8" ht="31.5">
      <c r="A103" s="10" t="s">
        <v>319</v>
      </c>
      <c r="B103" s="248" t="s">
        <v>274</v>
      </c>
      <c r="C103" s="282" t="s">
        <v>272</v>
      </c>
      <c r="D103" s="282" t="s">
        <v>143</v>
      </c>
      <c r="E103" s="248">
        <v>120</v>
      </c>
      <c r="F103" s="278">
        <f>'Приложение 8'!Q432</f>
        <v>20.3</v>
      </c>
      <c r="G103" s="278">
        <v>0</v>
      </c>
      <c r="H103" s="278">
        <v>0</v>
      </c>
    </row>
    <row r="104" spans="1:8" ht="31.5">
      <c r="A104" s="4" t="s">
        <v>454</v>
      </c>
      <c r="B104" s="248" t="s">
        <v>274</v>
      </c>
      <c r="C104" s="282" t="s">
        <v>272</v>
      </c>
      <c r="D104" s="282" t="s">
        <v>143</v>
      </c>
      <c r="E104" s="248">
        <v>240</v>
      </c>
      <c r="F104" s="278">
        <f>'Приложение 8'!Q433</f>
        <v>47.7</v>
      </c>
      <c r="G104" s="278">
        <f>'Приложение 8'!R433</f>
        <v>68</v>
      </c>
      <c r="H104" s="278">
        <f>'Приложение 8'!S433</f>
        <v>68</v>
      </c>
    </row>
    <row r="105" spans="1:8" ht="31.5">
      <c r="A105" s="4" t="s">
        <v>846</v>
      </c>
      <c r="B105" s="248" t="s">
        <v>275</v>
      </c>
      <c r="C105" s="282"/>
      <c r="D105" s="282"/>
      <c r="E105" s="248"/>
      <c r="F105" s="278">
        <f>F106</f>
        <v>144</v>
      </c>
      <c r="G105" s="278">
        <f>G106</f>
        <v>169</v>
      </c>
      <c r="H105" s="278">
        <f>H106</f>
        <v>169</v>
      </c>
    </row>
    <row r="106" spans="1:8" ht="63">
      <c r="A106" s="4" t="s">
        <v>11</v>
      </c>
      <c r="B106" s="248" t="s">
        <v>276</v>
      </c>
      <c r="C106" s="282"/>
      <c r="D106" s="282"/>
      <c r="E106" s="248"/>
      <c r="F106" s="278">
        <f>F108+F107</f>
        <v>144</v>
      </c>
      <c r="G106" s="278">
        <f>G108+G107</f>
        <v>169</v>
      </c>
      <c r="H106" s="278">
        <f>H108+H107</f>
        <v>169</v>
      </c>
    </row>
    <row r="107" spans="1:8" ht="31.5">
      <c r="A107" s="4" t="s">
        <v>454</v>
      </c>
      <c r="B107" s="276" t="s">
        <v>276</v>
      </c>
      <c r="C107" s="277" t="s">
        <v>272</v>
      </c>
      <c r="D107" s="277" t="s">
        <v>143</v>
      </c>
      <c r="E107" s="248">
        <v>240</v>
      </c>
      <c r="F107" s="278">
        <f>'Приложение 8'!Q436</f>
        <v>25</v>
      </c>
      <c r="G107" s="278">
        <f>'Приложение 8'!R436</f>
        <v>25</v>
      </c>
      <c r="H107" s="278">
        <f>'Приложение 8'!S436</f>
        <v>25</v>
      </c>
    </row>
    <row r="108" spans="1:8" ht="31.5">
      <c r="A108" s="4" t="s">
        <v>458</v>
      </c>
      <c r="B108" s="248" t="s">
        <v>276</v>
      </c>
      <c r="C108" s="282" t="s">
        <v>272</v>
      </c>
      <c r="D108" s="282" t="s">
        <v>145</v>
      </c>
      <c r="E108" s="248">
        <v>310</v>
      </c>
      <c r="F108" s="278">
        <f>'Приложение 8'!Q442</f>
        <v>119</v>
      </c>
      <c r="G108" s="278">
        <f>'Приложение 8'!R442</f>
        <v>144</v>
      </c>
      <c r="H108" s="278">
        <f>'Приложение 8'!S442</f>
        <v>144</v>
      </c>
    </row>
    <row r="109" spans="1:8" s="341" customFormat="1" ht="47.25">
      <c r="A109" s="120" t="s">
        <v>436</v>
      </c>
      <c r="B109" s="322" t="s">
        <v>180</v>
      </c>
      <c r="C109" s="339"/>
      <c r="D109" s="339"/>
      <c r="E109" s="322"/>
      <c r="F109" s="340">
        <f>F110+F113+F118+F125</f>
        <v>49367.3</v>
      </c>
      <c r="G109" s="340">
        <f>G110+G113+G118+G125</f>
        <v>11807.6</v>
      </c>
      <c r="H109" s="340">
        <f>H110+H113+H118+H125</f>
        <v>8352</v>
      </c>
    </row>
    <row r="110" spans="1:8" ht="78.75">
      <c r="A110" s="10" t="s">
        <v>615</v>
      </c>
      <c r="B110" s="248" t="s">
        <v>616</v>
      </c>
      <c r="C110" s="282"/>
      <c r="D110" s="282"/>
      <c r="E110" s="248"/>
      <c r="F110" s="278">
        <f aca="true" t="shared" si="8" ref="F110:H111">F111</f>
        <v>76</v>
      </c>
      <c r="G110" s="278">
        <f t="shared" si="8"/>
        <v>100</v>
      </c>
      <c r="H110" s="278">
        <f t="shared" si="8"/>
        <v>100</v>
      </c>
    </row>
    <row r="111" spans="1:8" ht="15.75">
      <c r="A111" s="10" t="s">
        <v>74</v>
      </c>
      <c r="B111" s="248" t="s">
        <v>617</v>
      </c>
      <c r="C111" s="282"/>
      <c r="D111" s="282"/>
      <c r="E111" s="248"/>
      <c r="F111" s="278">
        <f t="shared" si="8"/>
        <v>76</v>
      </c>
      <c r="G111" s="278">
        <f t="shared" si="8"/>
        <v>100</v>
      </c>
      <c r="H111" s="278">
        <f t="shared" si="8"/>
        <v>100</v>
      </c>
    </row>
    <row r="112" spans="1:8" ht="15.75">
      <c r="A112" s="10" t="s">
        <v>456</v>
      </c>
      <c r="B112" s="248" t="s">
        <v>617</v>
      </c>
      <c r="C112" s="282" t="s">
        <v>462</v>
      </c>
      <c r="D112" s="282" t="s">
        <v>183</v>
      </c>
      <c r="E112" s="248">
        <v>610</v>
      </c>
      <c r="F112" s="278">
        <f>'Приложение 8'!Q386</f>
        <v>76</v>
      </c>
      <c r="G112" s="278">
        <f>'Приложение 8'!R386</f>
        <v>100</v>
      </c>
      <c r="H112" s="278">
        <f>'Приложение 8'!S386</f>
        <v>100</v>
      </c>
    </row>
    <row r="113" spans="1:8" ht="31.5">
      <c r="A113" s="10" t="s">
        <v>75</v>
      </c>
      <c r="B113" s="248" t="s">
        <v>181</v>
      </c>
      <c r="C113" s="282"/>
      <c r="D113" s="282"/>
      <c r="E113" s="248"/>
      <c r="F113" s="278">
        <f>F114+F116</f>
        <v>9659.9</v>
      </c>
      <c r="G113" s="278">
        <f>G114+G116</f>
        <v>8252</v>
      </c>
      <c r="H113" s="278">
        <f>H114+H116</f>
        <v>8252</v>
      </c>
    </row>
    <row r="114" spans="1:8" ht="15.75">
      <c r="A114" s="10" t="s">
        <v>74</v>
      </c>
      <c r="B114" s="248" t="s">
        <v>182</v>
      </c>
      <c r="C114" s="282"/>
      <c r="D114" s="282"/>
      <c r="E114" s="248"/>
      <c r="F114" s="278">
        <f>F115</f>
        <v>7975.6</v>
      </c>
      <c r="G114" s="278">
        <f>G115</f>
        <v>6727.5</v>
      </c>
      <c r="H114" s="278">
        <f>H115</f>
        <v>6727.5</v>
      </c>
    </row>
    <row r="115" spans="1:8" ht="15.75">
      <c r="A115" s="10" t="s">
        <v>456</v>
      </c>
      <c r="B115" s="248" t="s">
        <v>182</v>
      </c>
      <c r="C115" s="282" t="s">
        <v>462</v>
      </c>
      <c r="D115" s="282" t="s">
        <v>183</v>
      </c>
      <c r="E115" s="248">
        <v>610</v>
      </c>
      <c r="F115" s="278">
        <f>'Приложение 8'!Q389</f>
        <v>7975.6</v>
      </c>
      <c r="G115" s="278">
        <f>'Приложение 8'!R389</f>
        <v>6727.5</v>
      </c>
      <c r="H115" s="278">
        <f>'Приложение 8'!S389</f>
        <v>6727.5</v>
      </c>
    </row>
    <row r="116" spans="1:8" ht="63">
      <c r="A116" s="10" t="s">
        <v>595</v>
      </c>
      <c r="B116" s="248" t="s">
        <v>600</v>
      </c>
      <c r="C116" s="282"/>
      <c r="D116" s="282"/>
      <c r="E116" s="248"/>
      <c r="F116" s="278">
        <f>F117</f>
        <v>1684.3</v>
      </c>
      <c r="G116" s="278">
        <f>G117</f>
        <v>1524.5</v>
      </c>
      <c r="H116" s="278">
        <f>H117</f>
        <v>1524.5</v>
      </c>
    </row>
    <row r="117" spans="1:8" ht="15.75">
      <c r="A117" s="10" t="s">
        <v>456</v>
      </c>
      <c r="B117" s="248" t="s">
        <v>600</v>
      </c>
      <c r="C117" s="282" t="s">
        <v>462</v>
      </c>
      <c r="D117" s="282" t="s">
        <v>183</v>
      </c>
      <c r="E117" s="248">
        <v>610</v>
      </c>
      <c r="F117" s="278">
        <f>'Приложение 8'!Q391</f>
        <v>1684.3</v>
      </c>
      <c r="G117" s="278">
        <f>'Приложение 8'!R391</f>
        <v>1524.5</v>
      </c>
      <c r="H117" s="278">
        <f>'Приложение 8'!S391</f>
        <v>1524.5</v>
      </c>
    </row>
    <row r="118" spans="1:8" ht="63">
      <c r="A118" s="10" t="s">
        <v>788</v>
      </c>
      <c r="B118" s="248" t="s">
        <v>789</v>
      </c>
      <c r="C118" s="282"/>
      <c r="D118" s="282"/>
      <c r="E118" s="248"/>
      <c r="F118" s="278">
        <f>F121+F119+F123</f>
        <v>39631.4</v>
      </c>
      <c r="G118" s="278">
        <f>G121</f>
        <v>0</v>
      </c>
      <c r="H118" s="278">
        <f>H121</f>
        <v>0</v>
      </c>
    </row>
    <row r="119" spans="1:8" ht="63">
      <c r="A119" s="10" t="s">
        <v>823</v>
      </c>
      <c r="B119" s="276" t="s">
        <v>824</v>
      </c>
      <c r="C119" s="282"/>
      <c r="D119" s="282"/>
      <c r="E119" s="248"/>
      <c r="F119" s="278">
        <f>F120</f>
        <v>607.4</v>
      </c>
      <c r="G119" s="278">
        <f>G120</f>
        <v>0</v>
      </c>
      <c r="H119" s="278">
        <f>H120</f>
        <v>0</v>
      </c>
    </row>
    <row r="120" spans="1:8" ht="15.75">
      <c r="A120" s="10" t="s">
        <v>456</v>
      </c>
      <c r="B120" s="276" t="s">
        <v>824</v>
      </c>
      <c r="C120" s="277" t="s">
        <v>462</v>
      </c>
      <c r="D120" s="277" t="s">
        <v>183</v>
      </c>
      <c r="E120" s="248">
        <v>610</v>
      </c>
      <c r="F120" s="278">
        <f>'Приложение 8'!Q394</f>
        <v>607.4</v>
      </c>
      <c r="G120" s="278">
        <f>'Приложение 8'!R394</f>
        <v>0</v>
      </c>
      <c r="H120" s="278">
        <f>'Приложение 8'!S394</f>
        <v>0</v>
      </c>
    </row>
    <row r="121" spans="1:8" ht="63">
      <c r="A121" s="10" t="s">
        <v>620</v>
      </c>
      <c r="B121" s="248" t="s">
        <v>277</v>
      </c>
      <c r="C121" s="282"/>
      <c r="D121" s="282"/>
      <c r="E121" s="248"/>
      <c r="F121" s="278">
        <f>F122</f>
        <v>333.3</v>
      </c>
      <c r="G121" s="278">
        <f>G122</f>
        <v>0</v>
      </c>
      <c r="H121" s="278">
        <f>H122</f>
        <v>0</v>
      </c>
    </row>
    <row r="122" spans="1:8" ht="15.75">
      <c r="A122" s="10" t="s">
        <v>456</v>
      </c>
      <c r="B122" s="248" t="s">
        <v>277</v>
      </c>
      <c r="C122" s="282" t="s">
        <v>462</v>
      </c>
      <c r="D122" s="282" t="s">
        <v>183</v>
      </c>
      <c r="E122" s="248">
        <v>610</v>
      </c>
      <c r="F122" s="278">
        <f>'Приложение 8'!Q396</f>
        <v>333.3</v>
      </c>
      <c r="G122" s="278">
        <f>'Приложение 8'!R396</f>
        <v>0</v>
      </c>
      <c r="H122" s="278">
        <f>'Приложение 8'!S396</f>
        <v>0</v>
      </c>
    </row>
    <row r="123" spans="1:8" ht="78.75">
      <c r="A123" s="10" t="s">
        <v>851</v>
      </c>
      <c r="B123" s="276" t="s">
        <v>852</v>
      </c>
      <c r="C123" s="282"/>
      <c r="D123" s="282"/>
      <c r="E123" s="248"/>
      <c r="F123" s="278">
        <f>F124</f>
        <v>38690.700000000004</v>
      </c>
      <c r="G123" s="278">
        <f>G124</f>
        <v>0</v>
      </c>
      <c r="H123" s="278">
        <f>H124</f>
        <v>0</v>
      </c>
    </row>
    <row r="124" spans="1:8" ht="15.75">
      <c r="A124" s="10" t="s">
        <v>456</v>
      </c>
      <c r="B124" s="276" t="s">
        <v>852</v>
      </c>
      <c r="C124" s="277" t="s">
        <v>462</v>
      </c>
      <c r="D124" s="277" t="s">
        <v>183</v>
      </c>
      <c r="E124" s="248">
        <v>610</v>
      </c>
      <c r="F124" s="278">
        <f>'Приложение 8'!Q398</f>
        <v>38690.700000000004</v>
      </c>
      <c r="G124" s="278">
        <f>'Приложение 8'!R398</f>
        <v>0</v>
      </c>
      <c r="H124" s="278">
        <f>'Приложение 8'!S398</f>
        <v>0</v>
      </c>
    </row>
    <row r="125" spans="1:8" ht="31.5">
      <c r="A125" s="10" t="s">
        <v>621</v>
      </c>
      <c r="B125" s="248" t="s">
        <v>278</v>
      </c>
      <c r="C125" s="282"/>
      <c r="D125" s="282"/>
      <c r="E125" s="248"/>
      <c r="F125" s="278">
        <f>F126</f>
        <v>0</v>
      </c>
      <c r="G125" s="278">
        <f>G126</f>
        <v>3455.6</v>
      </c>
      <c r="H125" s="278">
        <f>H126</f>
        <v>0</v>
      </c>
    </row>
    <row r="126" spans="1:8" ht="15.75">
      <c r="A126" s="10" t="s">
        <v>456</v>
      </c>
      <c r="B126" s="248" t="s">
        <v>278</v>
      </c>
      <c r="C126" s="282" t="s">
        <v>462</v>
      </c>
      <c r="D126" s="282" t="s">
        <v>183</v>
      </c>
      <c r="E126" s="248">
        <v>610</v>
      </c>
      <c r="F126" s="278">
        <f>'Приложение 8'!Q400</f>
        <v>0</v>
      </c>
      <c r="G126" s="278">
        <f>'Приложение 8'!R400</f>
        <v>3455.6</v>
      </c>
      <c r="H126" s="278">
        <f>'Приложение 8'!S400</f>
        <v>0</v>
      </c>
    </row>
    <row r="127" spans="1:8" s="342" customFormat="1" ht="51.75" customHeight="1">
      <c r="A127" s="338" t="s">
        <v>649</v>
      </c>
      <c r="B127" s="322" t="s">
        <v>665</v>
      </c>
      <c r="C127" s="339"/>
      <c r="D127" s="339"/>
      <c r="E127" s="322"/>
      <c r="F127" s="340">
        <f>F128+F143+F165+F179+F184+F195+F209+F212</f>
        <v>282689.5</v>
      </c>
      <c r="G127" s="340">
        <f>G128+G143+G165+G179+G184+G195+G209+G212</f>
        <v>274596.7</v>
      </c>
      <c r="H127" s="340">
        <f>H128+H143+H165+H179+H184+H195+H209+H212</f>
        <v>277877.2</v>
      </c>
    </row>
    <row r="128" spans="1:8" s="331" customFormat="1" ht="31.5">
      <c r="A128" s="281" t="s">
        <v>406</v>
      </c>
      <c r="B128" s="248" t="s">
        <v>666</v>
      </c>
      <c r="C128" s="282"/>
      <c r="D128" s="282"/>
      <c r="E128" s="248"/>
      <c r="F128" s="278">
        <f>F129+F131+F135+F137+F139+F133</f>
        <v>82614.9</v>
      </c>
      <c r="G128" s="278">
        <f>G129+G131+G135+G137+G139+G133</f>
        <v>82593.5</v>
      </c>
      <c r="H128" s="278">
        <f>H129+H131+H135+H137+H139+H133</f>
        <v>82593.4</v>
      </c>
    </row>
    <row r="129" spans="1:8" s="331" customFormat="1" ht="31.5">
      <c r="A129" s="281" t="s">
        <v>100</v>
      </c>
      <c r="B129" s="248" t="s">
        <v>667</v>
      </c>
      <c r="C129" s="282"/>
      <c r="D129" s="282"/>
      <c r="E129" s="248"/>
      <c r="F129" s="278">
        <f>F130</f>
        <v>10</v>
      </c>
      <c r="G129" s="278">
        <f>G130</f>
        <v>10</v>
      </c>
      <c r="H129" s="278">
        <f>H130</f>
        <v>10</v>
      </c>
    </row>
    <row r="130" spans="1:8" s="331" customFormat="1" ht="31.5">
      <c r="A130" s="281" t="s">
        <v>454</v>
      </c>
      <c r="B130" s="248" t="s">
        <v>667</v>
      </c>
      <c r="C130" s="282" t="s">
        <v>463</v>
      </c>
      <c r="D130" s="282" t="s">
        <v>149</v>
      </c>
      <c r="E130" s="248">
        <v>240</v>
      </c>
      <c r="F130" s="278">
        <f>'Приложение 8'!Q626</f>
        <v>10</v>
      </c>
      <c r="G130" s="278">
        <f>'Приложение 8'!R626</f>
        <v>10</v>
      </c>
      <c r="H130" s="278">
        <f>'Приложение 8'!S626</f>
        <v>10</v>
      </c>
    </row>
    <row r="131" spans="1:8" s="331" customFormat="1" ht="15.75">
      <c r="A131" s="281" t="s">
        <v>90</v>
      </c>
      <c r="B131" s="248" t="s">
        <v>668</v>
      </c>
      <c r="C131" s="282"/>
      <c r="D131" s="282"/>
      <c r="E131" s="248"/>
      <c r="F131" s="278">
        <f>F132</f>
        <v>16216.5</v>
      </c>
      <c r="G131" s="278">
        <f>G132</f>
        <v>17764.6</v>
      </c>
      <c r="H131" s="278">
        <f>H132</f>
        <v>17764.5</v>
      </c>
    </row>
    <row r="132" spans="1:8" s="331" customFormat="1" ht="15.75">
      <c r="A132" s="281" t="s">
        <v>456</v>
      </c>
      <c r="B132" s="248" t="s">
        <v>668</v>
      </c>
      <c r="C132" s="282" t="s">
        <v>463</v>
      </c>
      <c r="D132" s="282" t="s">
        <v>148</v>
      </c>
      <c r="E132" s="248">
        <v>610</v>
      </c>
      <c r="F132" s="278">
        <f>'Приложение 8'!Q540</f>
        <v>16216.5</v>
      </c>
      <c r="G132" s="278">
        <f>'Приложение 8'!R540</f>
        <v>17764.6</v>
      </c>
      <c r="H132" s="278">
        <f>'Приложение 8'!S540</f>
        <v>17764.5</v>
      </c>
    </row>
    <row r="133" spans="1:8" s="331" customFormat="1" ht="65.25" customHeight="1">
      <c r="A133" s="263" t="s">
        <v>595</v>
      </c>
      <c r="B133" s="276" t="s">
        <v>669</v>
      </c>
      <c r="C133" s="282"/>
      <c r="D133" s="282"/>
      <c r="E133" s="248"/>
      <c r="F133" s="278">
        <f>F134</f>
        <v>4887.799999999999</v>
      </c>
      <c r="G133" s="278">
        <f>G134</f>
        <v>4477.9</v>
      </c>
      <c r="H133" s="278">
        <f>H134</f>
        <v>4477.9</v>
      </c>
    </row>
    <row r="134" spans="1:8" s="331" customFormat="1" ht="15.75">
      <c r="A134" s="2" t="s">
        <v>456</v>
      </c>
      <c r="B134" s="276" t="s">
        <v>669</v>
      </c>
      <c r="C134" s="277" t="s">
        <v>463</v>
      </c>
      <c r="D134" s="277" t="s">
        <v>148</v>
      </c>
      <c r="E134" s="248">
        <v>610</v>
      </c>
      <c r="F134" s="278">
        <f>'Приложение 8'!Q542</f>
        <v>4887.799999999999</v>
      </c>
      <c r="G134" s="278">
        <f>'Приложение 8'!R542</f>
        <v>4477.9</v>
      </c>
      <c r="H134" s="278">
        <f>'Приложение 8'!S542</f>
        <v>4477.9</v>
      </c>
    </row>
    <row r="135" spans="1:8" s="331" customFormat="1" ht="31.5">
      <c r="A135" s="281" t="s">
        <v>93</v>
      </c>
      <c r="B135" s="248" t="s">
        <v>670</v>
      </c>
      <c r="C135" s="282"/>
      <c r="D135" s="282"/>
      <c r="E135" s="248"/>
      <c r="F135" s="278">
        <f>F136</f>
        <v>172.5</v>
      </c>
      <c r="G135" s="278">
        <f>G136</f>
        <v>172.5</v>
      </c>
      <c r="H135" s="278">
        <f>H136</f>
        <v>172.5</v>
      </c>
    </row>
    <row r="136" spans="1:8" s="331" customFormat="1" ht="15.75">
      <c r="A136" s="281" t="s">
        <v>456</v>
      </c>
      <c r="B136" s="248" t="s">
        <v>670</v>
      </c>
      <c r="C136" s="282" t="s">
        <v>463</v>
      </c>
      <c r="D136" s="282" t="s">
        <v>151</v>
      </c>
      <c r="E136" s="248">
        <v>610</v>
      </c>
      <c r="F136" s="278">
        <f>'Приложение 8'!Q565</f>
        <v>172.5</v>
      </c>
      <c r="G136" s="278">
        <f>'Приложение 8'!R565</f>
        <v>172.5</v>
      </c>
      <c r="H136" s="278">
        <f>'Приложение 8'!S565</f>
        <v>172.5</v>
      </c>
    </row>
    <row r="137" spans="1:8" s="331" customFormat="1" ht="79.5" customHeight="1">
      <c r="A137" s="281" t="s">
        <v>92</v>
      </c>
      <c r="B137" s="248" t="s">
        <v>671</v>
      </c>
      <c r="C137" s="282"/>
      <c r="D137" s="282"/>
      <c r="E137" s="248"/>
      <c r="F137" s="278">
        <f>F138</f>
        <v>57647.9</v>
      </c>
      <c r="G137" s="278">
        <f>G138</f>
        <v>56509.9</v>
      </c>
      <c r="H137" s="278">
        <f>H138</f>
        <v>56509.9</v>
      </c>
    </row>
    <row r="138" spans="1:8" s="331" customFormat="1" ht="15.75">
      <c r="A138" s="281" t="s">
        <v>456</v>
      </c>
      <c r="B138" s="248" t="s">
        <v>671</v>
      </c>
      <c r="C138" s="282" t="s">
        <v>463</v>
      </c>
      <c r="D138" s="282" t="s">
        <v>148</v>
      </c>
      <c r="E138" s="248">
        <v>610</v>
      </c>
      <c r="F138" s="278">
        <f>'Приложение 8'!Q544</f>
        <v>57647.9</v>
      </c>
      <c r="G138" s="278">
        <f>'Приложение 8'!R544</f>
        <v>56509.9</v>
      </c>
      <c r="H138" s="278">
        <f>'Приложение 8'!S544</f>
        <v>56509.9</v>
      </c>
    </row>
    <row r="139" spans="1:8" s="331" customFormat="1" ht="90.75" customHeight="1">
      <c r="A139" s="281" t="s">
        <v>89</v>
      </c>
      <c r="B139" s="248" t="s">
        <v>672</v>
      </c>
      <c r="C139" s="282"/>
      <c r="D139" s="282"/>
      <c r="E139" s="248"/>
      <c r="F139" s="278">
        <f>SUM(F140:F142)</f>
        <v>3680.2000000000003</v>
      </c>
      <c r="G139" s="278">
        <f>SUM(G140:G142)</f>
        <v>3658.6</v>
      </c>
      <c r="H139" s="278">
        <f>SUM(H140:H142)</f>
        <v>3658.6</v>
      </c>
    </row>
    <row r="140" spans="1:8" s="331" customFormat="1" ht="36.75" customHeight="1">
      <c r="A140" s="281" t="s">
        <v>454</v>
      </c>
      <c r="B140" s="248" t="s">
        <v>672</v>
      </c>
      <c r="C140" s="282" t="s">
        <v>463</v>
      </c>
      <c r="D140" s="282" t="s">
        <v>150</v>
      </c>
      <c r="E140" s="248">
        <v>240</v>
      </c>
      <c r="F140" s="278">
        <f>'Приложение 8'!Q675</f>
        <v>41.1</v>
      </c>
      <c r="G140" s="278">
        <f>'Приложение 8'!R675</f>
        <v>41.1</v>
      </c>
      <c r="H140" s="278">
        <f>'Приложение 8'!S675</f>
        <v>41.1</v>
      </c>
    </row>
    <row r="141" spans="1:8" s="331" customFormat="1" ht="36.75" customHeight="1">
      <c r="A141" s="281" t="s">
        <v>459</v>
      </c>
      <c r="B141" s="248" t="s">
        <v>672</v>
      </c>
      <c r="C141" s="282" t="s">
        <v>463</v>
      </c>
      <c r="D141" s="282" t="s">
        <v>150</v>
      </c>
      <c r="E141" s="248">
        <v>320</v>
      </c>
      <c r="F141" s="278">
        <f>'Приложение 8'!Q676</f>
        <v>3414.3</v>
      </c>
      <c r="G141" s="278">
        <f>'Приложение 8'!R676</f>
        <v>3414.3</v>
      </c>
      <c r="H141" s="278">
        <f>'Приложение 8'!S676</f>
        <v>3414.3</v>
      </c>
    </row>
    <row r="142" spans="1:8" ht="15.75">
      <c r="A142" s="281" t="s">
        <v>456</v>
      </c>
      <c r="B142" s="248" t="s">
        <v>672</v>
      </c>
      <c r="C142" s="282" t="s">
        <v>463</v>
      </c>
      <c r="D142" s="282" t="s">
        <v>149</v>
      </c>
      <c r="E142" s="248">
        <v>610</v>
      </c>
      <c r="F142" s="278">
        <f>'Приложение 8'!Q628</f>
        <v>224.8</v>
      </c>
      <c r="G142" s="278">
        <f>'Приложение 8'!R628</f>
        <v>203.2</v>
      </c>
      <c r="H142" s="278">
        <f>'Приложение 8'!S628</f>
        <v>203.2</v>
      </c>
    </row>
    <row r="143" spans="1:8" ht="31.5">
      <c r="A143" s="295" t="s">
        <v>407</v>
      </c>
      <c r="B143" s="248" t="s">
        <v>673</v>
      </c>
      <c r="C143" s="282"/>
      <c r="D143" s="282"/>
      <c r="E143" s="248"/>
      <c r="F143" s="278">
        <f>F144+F148+F155+F157+F153+F146+F151+F161+F163</f>
        <v>185998.00000000003</v>
      </c>
      <c r="G143" s="278">
        <f>G144+G148+G155+G157+G153+G146+G151+G161+G163</f>
        <v>178320</v>
      </c>
      <c r="H143" s="278">
        <f>H144+H148+H155+H157+H153+H146+H151+H161+H163</f>
        <v>176890.9</v>
      </c>
    </row>
    <row r="144" spans="1:8" ht="31.5">
      <c r="A144" s="281" t="s">
        <v>100</v>
      </c>
      <c r="B144" s="248" t="s">
        <v>674</v>
      </c>
      <c r="C144" s="282"/>
      <c r="D144" s="282"/>
      <c r="E144" s="248"/>
      <c r="F144" s="278">
        <f>F145</f>
        <v>19.5</v>
      </c>
      <c r="G144" s="278">
        <f>G145</f>
        <v>43</v>
      </c>
      <c r="H144" s="278">
        <f>H145</f>
        <v>43</v>
      </c>
    </row>
    <row r="145" spans="1:8" ht="34.5" customHeight="1">
      <c r="A145" s="281" t="s">
        <v>454</v>
      </c>
      <c r="B145" s="248" t="s">
        <v>674</v>
      </c>
      <c r="C145" s="282" t="s">
        <v>463</v>
      </c>
      <c r="D145" s="282" t="s">
        <v>149</v>
      </c>
      <c r="E145" s="248">
        <v>240</v>
      </c>
      <c r="F145" s="278">
        <f>'Приложение 8'!Q631</f>
        <v>19.5</v>
      </c>
      <c r="G145" s="278">
        <f>'Приложение 8'!R631</f>
        <v>43</v>
      </c>
      <c r="H145" s="278">
        <f>'Приложение 8'!S631</f>
        <v>43</v>
      </c>
    </row>
    <row r="146" spans="1:8" ht="78.75" customHeight="1" hidden="1">
      <c r="A146" s="229" t="s">
        <v>249</v>
      </c>
      <c r="B146" s="276" t="s">
        <v>675</v>
      </c>
      <c r="C146" s="282"/>
      <c r="D146" s="282"/>
      <c r="E146" s="248"/>
      <c r="F146" s="278">
        <f>F147</f>
        <v>0</v>
      </c>
      <c r="G146" s="278">
        <f>G147</f>
        <v>0</v>
      </c>
      <c r="H146" s="278">
        <f>H147</f>
        <v>0</v>
      </c>
    </row>
    <row r="147" spans="1:8" ht="18" customHeight="1" hidden="1">
      <c r="A147" s="229" t="s">
        <v>457</v>
      </c>
      <c r="B147" s="276" t="s">
        <v>675</v>
      </c>
      <c r="C147" s="277" t="s">
        <v>463</v>
      </c>
      <c r="D147" s="277" t="s">
        <v>149</v>
      </c>
      <c r="E147" s="248">
        <v>110</v>
      </c>
      <c r="F147" s="278">
        <f>'Приложение 8'!Q633</f>
        <v>0</v>
      </c>
      <c r="G147" s="278">
        <f>'Приложение 8'!R633</f>
        <v>0</v>
      </c>
      <c r="H147" s="278">
        <f>'Приложение 8'!S633</f>
        <v>0</v>
      </c>
    </row>
    <row r="148" spans="1:8" ht="31.5">
      <c r="A148" s="281" t="s">
        <v>93</v>
      </c>
      <c r="B148" s="248" t="s">
        <v>676</v>
      </c>
      <c r="C148" s="282"/>
      <c r="D148" s="282"/>
      <c r="E148" s="248"/>
      <c r="F148" s="278">
        <f>SUM(F149:F150)</f>
        <v>44414.8</v>
      </c>
      <c r="G148" s="278">
        <f>SUM(G149:G150)</f>
        <v>36210.1</v>
      </c>
      <c r="H148" s="278">
        <f>SUM(H149:H150)</f>
        <v>36210.1</v>
      </c>
    </row>
    <row r="149" spans="1:8" ht="31.5" hidden="1">
      <c r="A149" s="281" t="s">
        <v>454</v>
      </c>
      <c r="B149" s="248" t="s">
        <v>676</v>
      </c>
      <c r="C149" s="282" t="s">
        <v>463</v>
      </c>
      <c r="D149" s="282" t="s">
        <v>151</v>
      </c>
      <c r="E149" s="248">
        <v>240</v>
      </c>
      <c r="F149" s="278">
        <f>'Приложение 8'!Q568</f>
        <v>0</v>
      </c>
      <c r="G149" s="278">
        <f>'Приложение 8'!R568</f>
        <v>0</v>
      </c>
      <c r="H149" s="278">
        <f>'Приложение 8'!S568</f>
        <v>0</v>
      </c>
    </row>
    <row r="150" spans="1:8" ht="15.75">
      <c r="A150" s="281" t="s">
        <v>456</v>
      </c>
      <c r="B150" s="248" t="s">
        <v>676</v>
      </c>
      <c r="C150" s="282" t="s">
        <v>463</v>
      </c>
      <c r="D150" s="282" t="s">
        <v>151</v>
      </c>
      <c r="E150" s="248">
        <v>610</v>
      </c>
      <c r="F150" s="278">
        <f>'Приложение 8'!Q569</f>
        <v>44414.8</v>
      </c>
      <c r="G150" s="278">
        <f>'Приложение 8'!R569</f>
        <v>36210.1</v>
      </c>
      <c r="H150" s="278">
        <f>'Приложение 8'!S569</f>
        <v>36210.1</v>
      </c>
    </row>
    <row r="151" spans="1:8" ht="141.75" customHeight="1">
      <c r="A151" s="19" t="s">
        <v>796</v>
      </c>
      <c r="B151" s="276" t="s">
        <v>677</v>
      </c>
      <c r="C151" s="282"/>
      <c r="D151" s="282"/>
      <c r="E151" s="248"/>
      <c r="F151" s="278">
        <f>F152</f>
        <v>9343.2</v>
      </c>
      <c r="G151" s="278">
        <f>G152</f>
        <v>9343.2</v>
      </c>
      <c r="H151" s="278">
        <f>H152</f>
        <v>9343.2</v>
      </c>
    </row>
    <row r="152" spans="1:8" ht="15.75">
      <c r="A152" s="19" t="s">
        <v>456</v>
      </c>
      <c r="B152" s="276" t="s">
        <v>677</v>
      </c>
      <c r="C152" s="277" t="s">
        <v>463</v>
      </c>
      <c r="D152" s="277" t="s">
        <v>151</v>
      </c>
      <c r="E152" s="248">
        <v>610</v>
      </c>
      <c r="F152" s="278">
        <f>'Приложение 8'!Q571</f>
        <v>9343.2</v>
      </c>
      <c r="G152" s="278">
        <f>'Приложение 8'!R571</f>
        <v>9343.2</v>
      </c>
      <c r="H152" s="278">
        <f>'Приложение 8'!S571</f>
        <v>9343.2</v>
      </c>
    </row>
    <row r="153" spans="1:8" ht="65.25" customHeight="1">
      <c r="A153" s="19" t="s">
        <v>595</v>
      </c>
      <c r="B153" s="276" t="s">
        <v>678</v>
      </c>
      <c r="C153" s="282"/>
      <c r="D153" s="282"/>
      <c r="E153" s="248"/>
      <c r="F153" s="278">
        <f>F154</f>
        <v>11776.6</v>
      </c>
      <c r="G153" s="278">
        <f>G154</f>
        <v>10448.9</v>
      </c>
      <c r="H153" s="278">
        <f>H154</f>
        <v>10448.9</v>
      </c>
    </row>
    <row r="154" spans="1:8" ht="15.75">
      <c r="A154" s="19" t="s">
        <v>456</v>
      </c>
      <c r="B154" s="276" t="s">
        <v>678</v>
      </c>
      <c r="C154" s="277" t="s">
        <v>463</v>
      </c>
      <c r="D154" s="277" t="s">
        <v>151</v>
      </c>
      <c r="E154" s="248">
        <v>610</v>
      </c>
      <c r="F154" s="278">
        <f>'Приложение 8'!Q573</f>
        <v>11776.6</v>
      </c>
      <c r="G154" s="278">
        <f>'Приложение 8'!R573</f>
        <v>10448.9</v>
      </c>
      <c r="H154" s="278">
        <f>'Приложение 8'!S573</f>
        <v>10448.9</v>
      </c>
    </row>
    <row r="155" spans="1:8" ht="78.75" customHeight="1">
      <c r="A155" s="281" t="s">
        <v>92</v>
      </c>
      <c r="B155" s="248" t="s">
        <v>679</v>
      </c>
      <c r="C155" s="282"/>
      <c r="D155" s="282"/>
      <c r="E155" s="248"/>
      <c r="F155" s="278">
        <f>F156</f>
        <v>103678.3</v>
      </c>
      <c r="G155" s="278">
        <f>G156</f>
        <v>101501.3</v>
      </c>
      <c r="H155" s="278">
        <f>H156</f>
        <v>101501.3</v>
      </c>
    </row>
    <row r="156" spans="1:8" ht="15.75">
      <c r="A156" s="281" t="s">
        <v>456</v>
      </c>
      <c r="B156" s="248" t="s">
        <v>679</v>
      </c>
      <c r="C156" s="282" t="s">
        <v>463</v>
      </c>
      <c r="D156" s="282" t="s">
        <v>151</v>
      </c>
      <c r="E156" s="248">
        <v>610</v>
      </c>
      <c r="F156" s="278">
        <f>'Приложение 8'!Q575</f>
        <v>103678.3</v>
      </c>
      <c r="G156" s="278">
        <f>'Приложение 8'!R575</f>
        <v>101501.3</v>
      </c>
      <c r="H156" s="278">
        <f>'Приложение 8'!S575</f>
        <v>101501.3</v>
      </c>
    </row>
    <row r="157" spans="1:8" ht="99" customHeight="1">
      <c r="A157" s="281" t="s">
        <v>89</v>
      </c>
      <c r="B157" s="248" t="s">
        <v>680</v>
      </c>
      <c r="C157" s="282"/>
      <c r="D157" s="282"/>
      <c r="E157" s="248"/>
      <c r="F157" s="278">
        <f>SUM(F158:F160)</f>
        <v>8682.199999999999</v>
      </c>
      <c r="G157" s="278">
        <f>SUM(G158:G160)</f>
        <v>11107.8</v>
      </c>
      <c r="H157" s="278">
        <f>SUM(H158:H160)</f>
        <v>11107.8</v>
      </c>
    </row>
    <row r="158" spans="1:8" ht="47.25" customHeight="1">
      <c r="A158" s="281" t="s">
        <v>454</v>
      </c>
      <c r="B158" s="248" t="s">
        <v>680</v>
      </c>
      <c r="C158" s="282" t="s">
        <v>463</v>
      </c>
      <c r="D158" s="282" t="s">
        <v>149</v>
      </c>
      <c r="E158" s="248">
        <v>240</v>
      </c>
      <c r="F158" s="278">
        <f>'Приложение 8'!Q635</f>
        <v>32.4</v>
      </c>
      <c r="G158" s="278">
        <f>'Приложение 8'!R635</f>
        <v>32.4</v>
      </c>
      <c r="H158" s="278">
        <f>'Приложение 8'!S635</f>
        <v>32.4</v>
      </c>
    </row>
    <row r="159" spans="1:8" ht="35.25" customHeight="1">
      <c r="A159" s="281" t="s">
        <v>459</v>
      </c>
      <c r="B159" s="248" t="s">
        <v>680</v>
      </c>
      <c r="C159" s="282" t="s">
        <v>463</v>
      </c>
      <c r="D159" s="282" t="s">
        <v>149</v>
      </c>
      <c r="E159" s="248">
        <v>320</v>
      </c>
      <c r="F159" s="278">
        <f>'Приложение 8'!Q636</f>
        <v>2040.5</v>
      </c>
      <c r="G159" s="278">
        <f>'Приложение 8'!R636</f>
        <v>2040.5</v>
      </c>
      <c r="H159" s="278">
        <f>'Приложение 8'!S636</f>
        <v>2040.5</v>
      </c>
    </row>
    <row r="160" spans="1:8" ht="15.75">
      <c r="A160" s="281" t="s">
        <v>456</v>
      </c>
      <c r="B160" s="248" t="s">
        <v>680</v>
      </c>
      <c r="C160" s="282" t="s">
        <v>463</v>
      </c>
      <c r="D160" s="282" t="s">
        <v>149</v>
      </c>
      <c r="E160" s="248">
        <v>610</v>
      </c>
      <c r="F160" s="278">
        <f>'Приложение 8'!Q637</f>
        <v>6609.299999999999</v>
      </c>
      <c r="G160" s="278">
        <f>'Приложение 8'!R637</f>
        <v>9034.9</v>
      </c>
      <c r="H160" s="278">
        <f>'Приложение 8'!S637</f>
        <v>9034.9</v>
      </c>
    </row>
    <row r="161" spans="1:8" ht="66.75" customHeight="1">
      <c r="A161" s="19" t="s">
        <v>797</v>
      </c>
      <c r="B161" s="276" t="s">
        <v>681</v>
      </c>
      <c r="C161" s="282"/>
      <c r="D161" s="282"/>
      <c r="E161" s="248"/>
      <c r="F161" s="278">
        <f>F162</f>
        <v>8083.4</v>
      </c>
      <c r="G161" s="278">
        <f>G162</f>
        <v>8444.7</v>
      </c>
      <c r="H161" s="278">
        <f>H162</f>
        <v>8236.6</v>
      </c>
    </row>
    <row r="162" spans="1:8" ht="15.75">
      <c r="A162" s="17" t="s">
        <v>456</v>
      </c>
      <c r="B162" s="276" t="s">
        <v>681</v>
      </c>
      <c r="C162" s="277" t="s">
        <v>463</v>
      </c>
      <c r="D162" s="277" t="s">
        <v>151</v>
      </c>
      <c r="E162" s="248">
        <v>610</v>
      </c>
      <c r="F162" s="278">
        <f>'Приложение 8'!Q577</f>
        <v>8083.4</v>
      </c>
      <c r="G162" s="278">
        <f>'Приложение 8'!R577</f>
        <v>8444.7</v>
      </c>
      <c r="H162" s="278">
        <f>'Приложение 8'!S577</f>
        <v>8236.6</v>
      </c>
    </row>
    <row r="163" spans="1:8" ht="41.25" customHeight="1">
      <c r="A163" s="296" t="s">
        <v>489</v>
      </c>
      <c r="B163" s="19" t="s">
        <v>664</v>
      </c>
      <c r="C163" s="277"/>
      <c r="D163" s="277"/>
      <c r="E163" s="248"/>
      <c r="F163" s="278">
        <f>F164</f>
        <v>0</v>
      </c>
      <c r="G163" s="278">
        <f>G164</f>
        <v>1221</v>
      </c>
      <c r="H163" s="278">
        <f>H164</f>
        <v>0</v>
      </c>
    </row>
    <row r="164" spans="1:8" ht="15.75">
      <c r="A164" s="19" t="s">
        <v>456</v>
      </c>
      <c r="B164" s="19" t="s">
        <v>664</v>
      </c>
      <c r="C164" s="277" t="s">
        <v>463</v>
      </c>
      <c r="D164" s="277" t="s">
        <v>151</v>
      </c>
      <c r="E164" s="248">
        <v>610</v>
      </c>
      <c r="F164" s="278">
        <f>'Приложение 8'!Q579</f>
        <v>0</v>
      </c>
      <c r="G164" s="278">
        <f>'Приложение 8'!R579</f>
        <v>1221</v>
      </c>
      <c r="H164" s="278">
        <f>'Приложение 8'!S579</f>
        <v>0</v>
      </c>
    </row>
    <row r="165" spans="1:8" ht="33" customHeight="1">
      <c r="A165" s="281" t="s">
        <v>519</v>
      </c>
      <c r="B165" s="248" t="s">
        <v>682</v>
      </c>
      <c r="C165" s="282"/>
      <c r="D165" s="282"/>
      <c r="E165" s="248"/>
      <c r="F165" s="278">
        <f>F166+F169+F171+F173+F175+F177</f>
        <v>6300.6</v>
      </c>
      <c r="G165" s="278">
        <f>G166+G169+G171+G173+G175+G177</f>
        <v>6159.8</v>
      </c>
      <c r="H165" s="278">
        <f>H166+H169+H171+H173+H175+H177</f>
        <v>6159.8</v>
      </c>
    </row>
    <row r="166" spans="1:8" ht="31.5">
      <c r="A166" s="281" t="s">
        <v>100</v>
      </c>
      <c r="B166" s="248" t="s">
        <v>683</v>
      </c>
      <c r="C166" s="282"/>
      <c r="D166" s="282"/>
      <c r="E166" s="248"/>
      <c r="F166" s="278">
        <f>F168+F167</f>
        <v>2281.2000000000003</v>
      </c>
      <c r="G166" s="278">
        <f>G168+G167</f>
        <v>1805</v>
      </c>
      <c r="H166" s="278">
        <f>H168+H167</f>
        <v>1805</v>
      </c>
    </row>
    <row r="167" spans="1:8" ht="31.5">
      <c r="A167" s="281" t="s">
        <v>454</v>
      </c>
      <c r="B167" s="248" t="s">
        <v>683</v>
      </c>
      <c r="C167" s="282" t="s">
        <v>463</v>
      </c>
      <c r="D167" s="282" t="s">
        <v>149</v>
      </c>
      <c r="E167" s="248">
        <v>240</v>
      </c>
      <c r="F167" s="278">
        <f>'Приложение 8'!Q640</f>
        <v>38.9</v>
      </c>
      <c r="G167" s="278">
        <f>'Приложение 8'!R640</f>
        <v>25</v>
      </c>
      <c r="H167" s="278">
        <f>'Приложение 8'!S640</f>
        <v>25</v>
      </c>
    </row>
    <row r="168" spans="1:8" ht="60" customHeight="1">
      <c r="A168" s="295" t="s">
        <v>790</v>
      </c>
      <c r="B168" s="248" t="s">
        <v>683</v>
      </c>
      <c r="C168" s="282" t="s">
        <v>463</v>
      </c>
      <c r="D168" s="282" t="s">
        <v>149</v>
      </c>
      <c r="E168" s="248">
        <v>630</v>
      </c>
      <c r="F168" s="278">
        <f>'Приложение 8'!Q641</f>
        <v>2242.3</v>
      </c>
      <c r="G168" s="278">
        <f>'Приложение 8'!R641</f>
        <v>1780</v>
      </c>
      <c r="H168" s="278">
        <f>'Приложение 8'!S641</f>
        <v>1780</v>
      </c>
    </row>
    <row r="169" spans="1:8" ht="31.5">
      <c r="A169" s="281" t="s">
        <v>93</v>
      </c>
      <c r="B169" s="248" t="s">
        <v>684</v>
      </c>
      <c r="C169" s="282"/>
      <c r="D169" s="282"/>
      <c r="E169" s="248"/>
      <c r="F169" s="278">
        <f>F170</f>
        <v>108.1</v>
      </c>
      <c r="G169" s="278">
        <f>G170</f>
        <v>122</v>
      </c>
      <c r="H169" s="278">
        <f>H170</f>
        <v>122</v>
      </c>
    </row>
    <row r="170" spans="1:8" ht="15.75">
      <c r="A170" s="281" t="s">
        <v>456</v>
      </c>
      <c r="B170" s="248" t="s">
        <v>684</v>
      </c>
      <c r="C170" s="282" t="s">
        <v>463</v>
      </c>
      <c r="D170" s="282" t="s">
        <v>151</v>
      </c>
      <c r="E170" s="248">
        <v>610</v>
      </c>
      <c r="F170" s="278">
        <f>'Приложение 8'!Q582</f>
        <v>108.1</v>
      </c>
      <c r="G170" s="278">
        <f>'Приложение 8'!R582</f>
        <v>122</v>
      </c>
      <c r="H170" s="278">
        <f>'Приложение 8'!S582</f>
        <v>122</v>
      </c>
    </row>
    <row r="171" spans="1:8" ht="78.75" hidden="1">
      <c r="A171" s="281" t="s">
        <v>249</v>
      </c>
      <c r="B171" s="248" t="s">
        <v>685</v>
      </c>
      <c r="C171" s="282"/>
      <c r="D171" s="282"/>
      <c r="E171" s="248"/>
      <c r="F171" s="278">
        <f>F172</f>
        <v>0</v>
      </c>
      <c r="G171" s="278">
        <f>G172</f>
        <v>0</v>
      </c>
      <c r="H171" s="278">
        <f>H172</f>
        <v>0</v>
      </c>
    </row>
    <row r="172" spans="1:8" ht="31.5" hidden="1">
      <c r="A172" s="281" t="s">
        <v>454</v>
      </c>
      <c r="B172" s="248" t="s">
        <v>685</v>
      </c>
      <c r="C172" s="282" t="s">
        <v>463</v>
      </c>
      <c r="D172" s="282" t="s">
        <v>149</v>
      </c>
      <c r="E172" s="248">
        <v>240</v>
      </c>
      <c r="F172" s="278">
        <f>'Приложение 8'!Q643</f>
        <v>0</v>
      </c>
      <c r="G172" s="278">
        <f>'Приложение 8'!R643</f>
        <v>0</v>
      </c>
      <c r="H172" s="278">
        <f>'Приложение 8'!S643</f>
        <v>0</v>
      </c>
    </row>
    <row r="173" spans="1:8" ht="24.75" customHeight="1">
      <c r="A173" s="281" t="s">
        <v>94</v>
      </c>
      <c r="B173" s="248" t="s">
        <v>686</v>
      </c>
      <c r="C173" s="282"/>
      <c r="D173" s="282"/>
      <c r="E173" s="248"/>
      <c r="F173" s="278">
        <f>F174</f>
        <v>2699.4</v>
      </c>
      <c r="G173" s="278">
        <f>G174</f>
        <v>3139.8</v>
      </c>
      <c r="H173" s="278">
        <f>H174</f>
        <v>3139.8</v>
      </c>
    </row>
    <row r="174" spans="1:8" ht="15.75">
      <c r="A174" s="281" t="s">
        <v>456</v>
      </c>
      <c r="B174" s="248" t="s">
        <v>686</v>
      </c>
      <c r="C174" s="282" t="s">
        <v>463</v>
      </c>
      <c r="D174" s="282" t="s">
        <v>152</v>
      </c>
      <c r="E174" s="248">
        <v>610</v>
      </c>
      <c r="F174" s="278">
        <f>'Приложение 8'!Q600</f>
        <v>2699.4</v>
      </c>
      <c r="G174" s="278">
        <f>'Приложение 8'!R600</f>
        <v>3139.8</v>
      </c>
      <c r="H174" s="278">
        <f>'Приложение 8'!S600</f>
        <v>3139.8</v>
      </c>
    </row>
    <row r="175" spans="1:8" ht="61.5" customHeight="1">
      <c r="A175" s="4" t="s">
        <v>595</v>
      </c>
      <c r="B175" s="276" t="s">
        <v>687</v>
      </c>
      <c r="C175" s="282"/>
      <c r="D175" s="282"/>
      <c r="E175" s="248"/>
      <c r="F175" s="278">
        <f>F176</f>
        <v>1211.9</v>
      </c>
      <c r="G175" s="278">
        <f>G176</f>
        <v>1093</v>
      </c>
      <c r="H175" s="278">
        <f>H176</f>
        <v>1093</v>
      </c>
    </row>
    <row r="176" spans="1:8" ht="15.75">
      <c r="A176" s="4" t="s">
        <v>456</v>
      </c>
      <c r="B176" s="276" t="s">
        <v>687</v>
      </c>
      <c r="C176" s="277" t="s">
        <v>463</v>
      </c>
      <c r="D176" s="277" t="s">
        <v>152</v>
      </c>
      <c r="E176" s="248">
        <v>610</v>
      </c>
      <c r="F176" s="278">
        <f>'Приложение 8'!Q602</f>
        <v>1211.9</v>
      </c>
      <c r="G176" s="278">
        <f>'Приложение 8'!R602</f>
        <v>1093</v>
      </c>
      <c r="H176" s="278">
        <f>'Приложение 8'!S602</f>
        <v>1093</v>
      </c>
    </row>
    <row r="177" spans="1:8" ht="49.5" customHeight="1" hidden="1">
      <c r="A177" s="4" t="s">
        <v>1</v>
      </c>
      <c r="B177" s="276" t="s">
        <v>688</v>
      </c>
      <c r="C177" s="277"/>
      <c r="D177" s="277"/>
      <c r="E177" s="248"/>
      <c r="F177" s="278">
        <f>F178</f>
        <v>0</v>
      </c>
      <c r="G177" s="278">
        <f>G178</f>
        <v>0</v>
      </c>
      <c r="H177" s="278">
        <f>H178</f>
        <v>0</v>
      </c>
    </row>
    <row r="178" spans="1:8" ht="15.75" hidden="1">
      <c r="A178" s="4" t="s">
        <v>456</v>
      </c>
      <c r="B178" s="276" t="s">
        <v>688</v>
      </c>
      <c r="C178" s="277" t="s">
        <v>463</v>
      </c>
      <c r="D178" s="277" t="s">
        <v>152</v>
      </c>
      <c r="E178" s="248">
        <v>610</v>
      </c>
      <c r="F178" s="278">
        <f>'Приложение 8'!Q604</f>
        <v>0</v>
      </c>
      <c r="G178" s="278">
        <f>'Приложение 8'!R604</f>
        <v>0</v>
      </c>
      <c r="H178" s="278">
        <f>'Приложение 8'!S604</f>
        <v>0</v>
      </c>
    </row>
    <row r="179" spans="1:8" ht="38.25" customHeight="1">
      <c r="A179" s="281" t="s">
        <v>408</v>
      </c>
      <c r="B179" s="248" t="s">
        <v>689</v>
      </c>
      <c r="C179" s="282"/>
      <c r="D179" s="282"/>
      <c r="E179" s="248"/>
      <c r="F179" s="278">
        <f>F180+F182</f>
        <v>29.9</v>
      </c>
      <c r="G179" s="278">
        <f>G180+G182</f>
        <v>30</v>
      </c>
      <c r="H179" s="278">
        <f>H180+H182</f>
        <v>30</v>
      </c>
    </row>
    <row r="180" spans="1:8" ht="31.5">
      <c r="A180" s="281" t="s">
        <v>100</v>
      </c>
      <c r="B180" s="248" t="s">
        <v>690</v>
      </c>
      <c r="C180" s="282"/>
      <c r="D180" s="282"/>
      <c r="E180" s="248"/>
      <c r="F180" s="278">
        <f>F181</f>
        <v>29.9</v>
      </c>
      <c r="G180" s="278">
        <f>G181</f>
        <v>30</v>
      </c>
      <c r="H180" s="278">
        <f>H181</f>
        <v>30</v>
      </c>
    </row>
    <row r="181" spans="1:8" ht="33" customHeight="1">
      <c r="A181" s="281" t="s">
        <v>454</v>
      </c>
      <c r="B181" s="248" t="s">
        <v>690</v>
      </c>
      <c r="C181" s="282" t="s">
        <v>463</v>
      </c>
      <c r="D181" s="282" t="s">
        <v>149</v>
      </c>
      <c r="E181" s="248">
        <v>240</v>
      </c>
      <c r="F181" s="278">
        <f>'Приложение 8'!Q646</f>
        <v>29.9</v>
      </c>
      <c r="G181" s="278">
        <f>'Приложение 8'!R646</f>
        <v>30</v>
      </c>
      <c r="H181" s="278">
        <f>'Приложение 8'!S646</f>
        <v>30</v>
      </c>
    </row>
    <row r="182" spans="1:8" ht="78.75" hidden="1">
      <c r="A182" s="281" t="s">
        <v>249</v>
      </c>
      <c r="B182" s="248" t="s">
        <v>691</v>
      </c>
      <c r="C182" s="282"/>
      <c r="D182" s="282"/>
      <c r="E182" s="248"/>
      <c r="F182" s="278">
        <f>F183</f>
        <v>0</v>
      </c>
      <c r="G182" s="278">
        <f>G183</f>
        <v>0</v>
      </c>
      <c r="H182" s="278">
        <f>H183</f>
        <v>0</v>
      </c>
    </row>
    <row r="183" spans="1:8" ht="31.5" hidden="1">
      <c r="A183" s="281" t="s">
        <v>454</v>
      </c>
      <c r="B183" s="248" t="s">
        <v>691</v>
      </c>
      <c r="C183" s="282" t="s">
        <v>463</v>
      </c>
      <c r="D183" s="282" t="s">
        <v>149</v>
      </c>
      <c r="E183" s="248">
        <v>240</v>
      </c>
      <c r="F183" s="278">
        <f>'Приложение 8'!Q648</f>
        <v>0</v>
      </c>
      <c r="G183" s="278">
        <f>'Приложение 8'!R648</f>
        <v>0</v>
      </c>
      <c r="H183" s="278">
        <f>'Приложение 8'!S648</f>
        <v>0</v>
      </c>
    </row>
    <row r="184" spans="1:8" ht="35.25" customHeight="1">
      <c r="A184" s="295" t="s">
        <v>520</v>
      </c>
      <c r="B184" s="248" t="s">
        <v>692</v>
      </c>
      <c r="C184" s="282"/>
      <c r="D184" s="282"/>
      <c r="E184" s="248"/>
      <c r="F184" s="278">
        <f>F185+F187+F191+F193+F189</f>
        <v>3254.1</v>
      </c>
      <c r="G184" s="278">
        <f>G185+G187+G191+G193+G189</f>
        <v>0</v>
      </c>
      <c r="H184" s="278">
        <f>H185+H187+H191+H193+H189</f>
        <v>47</v>
      </c>
    </row>
    <row r="185" spans="1:8" ht="15.75">
      <c r="A185" s="281" t="s">
        <v>90</v>
      </c>
      <c r="B185" s="248" t="s">
        <v>693</v>
      </c>
      <c r="C185" s="282"/>
      <c r="D185" s="282"/>
      <c r="E185" s="248"/>
      <c r="F185" s="278">
        <f>F186</f>
        <v>696.4</v>
      </c>
      <c r="G185" s="278">
        <f>G186</f>
        <v>0</v>
      </c>
      <c r="H185" s="278">
        <f>H186</f>
        <v>0</v>
      </c>
    </row>
    <row r="186" spans="1:8" ht="15.75">
      <c r="A186" s="281" t="s">
        <v>456</v>
      </c>
      <c r="B186" s="248" t="s">
        <v>693</v>
      </c>
      <c r="C186" s="282" t="s">
        <v>463</v>
      </c>
      <c r="D186" s="282" t="s">
        <v>148</v>
      </c>
      <c r="E186" s="248">
        <v>610</v>
      </c>
      <c r="F186" s="278">
        <f>'Приложение 8'!Q547</f>
        <v>696.4</v>
      </c>
      <c r="G186" s="278">
        <f>'Приложение 8'!R547</f>
        <v>0</v>
      </c>
      <c r="H186" s="278">
        <f>'Приложение 8'!S547</f>
        <v>0</v>
      </c>
    </row>
    <row r="187" spans="1:8" ht="31.5">
      <c r="A187" s="281" t="s">
        <v>93</v>
      </c>
      <c r="B187" s="276" t="s">
        <v>478</v>
      </c>
      <c r="C187" s="282"/>
      <c r="D187" s="282"/>
      <c r="E187" s="248"/>
      <c r="F187" s="278">
        <f>F188</f>
        <v>2495.7</v>
      </c>
      <c r="G187" s="278">
        <f>G188</f>
        <v>0</v>
      </c>
      <c r="H187" s="278">
        <f>H188</f>
        <v>47</v>
      </c>
    </row>
    <row r="188" spans="1:8" ht="15.75">
      <c r="A188" s="281" t="s">
        <v>456</v>
      </c>
      <c r="B188" s="276" t="s">
        <v>478</v>
      </c>
      <c r="C188" s="282" t="s">
        <v>463</v>
      </c>
      <c r="D188" s="282" t="s">
        <v>151</v>
      </c>
      <c r="E188" s="248">
        <v>610</v>
      </c>
      <c r="F188" s="278">
        <f>'Приложение 8'!Q585</f>
        <v>2495.7</v>
      </c>
      <c r="G188" s="278">
        <f>'Приложение 8'!R585</f>
        <v>0</v>
      </c>
      <c r="H188" s="278">
        <f>'Приложение 8'!S585</f>
        <v>47</v>
      </c>
    </row>
    <row r="189" spans="1:8" ht="45" customHeight="1">
      <c r="A189" s="2" t="s">
        <v>860</v>
      </c>
      <c r="B189" s="276" t="s">
        <v>861</v>
      </c>
      <c r="C189" s="282"/>
      <c r="D189" s="282"/>
      <c r="E189" s="248"/>
      <c r="F189" s="343">
        <f>F190</f>
        <v>62</v>
      </c>
      <c r="G189" s="343">
        <f>G190</f>
        <v>0</v>
      </c>
      <c r="H189" s="343">
        <f>H190</f>
        <v>0</v>
      </c>
    </row>
    <row r="190" spans="1:8" ht="31.5">
      <c r="A190" s="281" t="s">
        <v>454</v>
      </c>
      <c r="B190" s="276" t="s">
        <v>861</v>
      </c>
      <c r="C190" s="277" t="s">
        <v>463</v>
      </c>
      <c r="D190" s="277" t="s">
        <v>149</v>
      </c>
      <c r="E190" s="248">
        <v>240</v>
      </c>
      <c r="F190" s="278">
        <f>'Приложение 8'!Q651</f>
        <v>62</v>
      </c>
      <c r="G190" s="278">
        <f>'Приложение 8'!R651</f>
        <v>0</v>
      </c>
      <c r="H190" s="278">
        <f>'Приложение 8'!S651</f>
        <v>0</v>
      </c>
    </row>
    <row r="191" spans="1:8" ht="48.75" customHeight="1" hidden="1">
      <c r="A191" s="281" t="s">
        <v>49</v>
      </c>
      <c r="B191" s="276" t="s">
        <v>479</v>
      </c>
      <c r="C191" s="282"/>
      <c r="D191" s="282"/>
      <c r="E191" s="248"/>
      <c r="F191" s="278">
        <f>F192</f>
        <v>0</v>
      </c>
      <c r="G191" s="278">
        <f>G192</f>
        <v>0</v>
      </c>
      <c r="H191" s="278">
        <f>H192</f>
        <v>0</v>
      </c>
    </row>
    <row r="192" spans="1:8" ht="15.75" hidden="1">
      <c r="A192" s="281" t="s">
        <v>456</v>
      </c>
      <c r="B192" s="276" t="s">
        <v>479</v>
      </c>
      <c r="C192" s="282" t="s">
        <v>463</v>
      </c>
      <c r="D192" s="282" t="s">
        <v>151</v>
      </c>
      <c r="E192" s="248">
        <v>610</v>
      </c>
      <c r="F192" s="278">
        <f>'Приложение 8'!Q587</f>
        <v>0</v>
      </c>
      <c r="G192" s="278">
        <f>'Приложение 8'!R587</f>
        <v>0</v>
      </c>
      <c r="H192" s="278">
        <f>'Приложение 8'!S587</f>
        <v>0</v>
      </c>
    </row>
    <row r="193" spans="1:8" ht="31.5" hidden="1">
      <c r="A193" s="274" t="s">
        <v>792</v>
      </c>
      <c r="B193" s="276" t="s">
        <v>480</v>
      </c>
      <c r="C193" s="282"/>
      <c r="D193" s="282"/>
      <c r="E193" s="248"/>
      <c r="F193" s="278">
        <f>F194</f>
        <v>0</v>
      </c>
      <c r="G193" s="278">
        <f>G194</f>
        <v>0</v>
      </c>
      <c r="H193" s="278">
        <f>H194</f>
        <v>0</v>
      </c>
    </row>
    <row r="194" spans="1:8" ht="15.75" hidden="1">
      <c r="A194" s="4" t="s">
        <v>456</v>
      </c>
      <c r="B194" s="276" t="s">
        <v>480</v>
      </c>
      <c r="C194" s="277" t="s">
        <v>463</v>
      </c>
      <c r="D194" s="277" t="s">
        <v>151</v>
      </c>
      <c r="E194" s="248">
        <v>610</v>
      </c>
      <c r="F194" s="278">
        <f>'Приложение 8'!Q589</f>
        <v>0</v>
      </c>
      <c r="G194" s="278">
        <f>'Приложение 8'!R589</f>
        <v>0</v>
      </c>
      <c r="H194" s="278">
        <f>'Приложение 8'!S589</f>
        <v>0</v>
      </c>
    </row>
    <row r="195" spans="1:8" ht="32.25" customHeight="1">
      <c r="A195" s="281" t="s">
        <v>572</v>
      </c>
      <c r="B195" s="276" t="s">
        <v>481</v>
      </c>
      <c r="C195" s="282"/>
      <c r="D195" s="282"/>
      <c r="E195" s="248"/>
      <c r="F195" s="278">
        <f>F196+F205+F203+F201</f>
        <v>4492</v>
      </c>
      <c r="G195" s="278">
        <f>G196+G205+G203</f>
        <v>4183.200000000001</v>
      </c>
      <c r="H195" s="278">
        <f>H196+H205+H203</f>
        <v>4183.400000000001</v>
      </c>
    </row>
    <row r="196" spans="1:8" ht="31.5">
      <c r="A196" s="281" t="s">
        <v>100</v>
      </c>
      <c r="B196" s="276" t="s">
        <v>482</v>
      </c>
      <c r="C196" s="282"/>
      <c r="D196" s="282"/>
      <c r="E196" s="248"/>
      <c r="F196" s="278">
        <f>SUM(F197:F200)</f>
        <v>3690.4</v>
      </c>
      <c r="G196" s="278">
        <f>SUM(G197:G200)</f>
        <v>3594.6000000000004</v>
      </c>
      <c r="H196" s="278">
        <f>SUM(H197:H200)</f>
        <v>3594.8</v>
      </c>
    </row>
    <row r="197" spans="1:8" ht="33.75" customHeight="1">
      <c r="A197" s="281" t="s">
        <v>319</v>
      </c>
      <c r="B197" s="276" t="s">
        <v>482</v>
      </c>
      <c r="C197" s="282" t="s">
        <v>463</v>
      </c>
      <c r="D197" s="282" t="s">
        <v>149</v>
      </c>
      <c r="E197" s="248">
        <v>120</v>
      </c>
      <c r="F197" s="278">
        <f>'Приложение 8'!Q654</f>
        <v>3335.6000000000004</v>
      </c>
      <c r="G197" s="278">
        <f>'Приложение 8'!R654</f>
        <v>3279.8</v>
      </c>
      <c r="H197" s="278">
        <f>'Приложение 8'!S654</f>
        <v>3279.8</v>
      </c>
    </row>
    <row r="198" spans="1:8" ht="36" customHeight="1">
      <c r="A198" s="281" t="s">
        <v>454</v>
      </c>
      <c r="B198" s="276" t="s">
        <v>482</v>
      </c>
      <c r="C198" s="282" t="s">
        <v>463</v>
      </c>
      <c r="D198" s="282" t="s">
        <v>149</v>
      </c>
      <c r="E198" s="248">
        <v>240</v>
      </c>
      <c r="F198" s="278">
        <f>'Приложение 8'!Q655</f>
        <v>353.6</v>
      </c>
      <c r="G198" s="278">
        <f>'Приложение 8'!R655</f>
        <v>314.8</v>
      </c>
      <c r="H198" s="278">
        <f>'Приложение 8'!S655</f>
        <v>315</v>
      </c>
    </row>
    <row r="199" spans="1:8" ht="34.5" customHeight="1" hidden="1">
      <c r="A199" s="21" t="s">
        <v>459</v>
      </c>
      <c r="B199" s="276" t="s">
        <v>482</v>
      </c>
      <c r="C199" s="282" t="s">
        <v>463</v>
      </c>
      <c r="D199" s="282" t="s">
        <v>149</v>
      </c>
      <c r="E199" s="248">
        <v>320</v>
      </c>
      <c r="F199" s="278">
        <f>'Приложение 8'!Q656</f>
        <v>0</v>
      </c>
      <c r="G199" s="278">
        <f>'Приложение 8'!R656</f>
        <v>0</v>
      </c>
      <c r="H199" s="278">
        <f>'Приложение 8'!S656</f>
        <v>0</v>
      </c>
    </row>
    <row r="200" spans="1:8" ht="15.75" customHeight="1">
      <c r="A200" s="10" t="s">
        <v>455</v>
      </c>
      <c r="B200" s="276" t="s">
        <v>482</v>
      </c>
      <c r="C200" s="282" t="s">
        <v>463</v>
      </c>
      <c r="D200" s="282" t="s">
        <v>149</v>
      </c>
      <c r="E200" s="248">
        <v>850</v>
      </c>
      <c r="F200" s="278">
        <f>'Приложение 8'!Q657</f>
        <v>1.2</v>
      </c>
      <c r="G200" s="278">
        <f>'Приложение 8'!R657</f>
        <v>0</v>
      </c>
      <c r="H200" s="278">
        <f>'Приложение 8'!S657</f>
        <v>0</v>
      </c>
    </row>
    <row r="201" spans="1:8" ht="48.75" customHeight="1">
      <c r="A201" s="274" t="s">
        <v>884</v>
      </c>
      <c r="B201" s="276" t="s">
        <v>887</v>
      </c>
      <c r="C201" s="282"/>
      <c r="D201" s="282"/>
      <c r="E201" s="248"/>
      <c r="F201" s="278">
        <f>F202</f>
        <v>88</v>
      </c>
      <c r="G201" s="278">
        <f>G202</f>
        <v>0</v>
      </c>
      <c r="H201" s="278">
        <f>H202</f>
        <v>0</v>
      </c>
    </row>
    <row r="202" spans="1:8" ht="33.75" customHeight="1">
      <c r="A202" s="21" t="s">
        <v>319</v>
      </c>
      <c r="B202" s="276" t="s">
        <v>887</v>
      </c>
      <c r="C202" s="277" t="s">
        <v>463</v>
      </c>
      <c r="D202" s="277" t="s">
        <v>149</v>
      </c>
      <c r="E202" s="248">
        <v>120</v>
      </c>
      <c r="F202" s="278">
        <f>'Приложение 8'!Q659</f>
        <v>88</v>
      </c>
      <c r="G202" s="278">
        <v>0</v>
      </c>
      <c r="H202" s="278">
        <v>0</v>
      </c>
    </row>
    <row r="203" spans="1:8" ht="52.5" customHeight="1">
      <c r="A203" s="229" t="s">
        <v>595</v>
      </c>
      <c r="B203" s="276" t="s">
        <v>483</v>
      </c>
      <c r="C203" s="282"/>
      <c r="D203" s="282"/>
      <c r="E203" s="248"/>
      <c r="F203" s="278">
        <f>F204</f>
        <v>713.6</v>
      </c>
      <c r="G203" s="278">
        <f>G204</f>
        <v>588.6</v>
      </c>
      <c r="H203" s="278">
        <f>H204</f>
        <v>588.6</v>
      </c>
    </row>
    <row r="204" spans="1:8" ht="29.25" customHeight="1">
      <c r="A204" s="21" t="s">
        <v>319</v>
      </c>
      <c r="B204" s="276" t="s">
        <v>483</v>
      </c>
      <c r="C204" s="277" t="s">
        <v>463</v>
      </c>
      <c r="D204" s="277" t="s">
        <v>149</v>
      </c>
      <c r="E204" s="248">
        <v>120</v>
      </c>
      <c r="F204" s="278">
        <f>'Приложение 8'!Q661</f>
        <v>713.6</v>
      </c>
      <c r="G204" s="278">
        <f>'Приложение 8'!R661</f>
        <v>588.6</v>
      </c>
      <c r="H204" s="278">
        <f>'Приложение 8'!S661</f>
        <v>588.6</v>
      </c>
    </row>
    <row r="205" spans="1:8" ht="78.75" customHeight="1" hidden="1">
      <c r="A205" s="281" t="s">
        <v>249</v>
      </c>
      <c r="B205" s="276" t="s">
        <v>484</v>
      </c>
      <c r="C205" s="282"/>
      <c r="D205" s="282"/>
      <c r="E205" s="248"/>
      <c r="F205" s="278">
        <f>SUM(F206:F208)</f>
        <v>0</v>
      </c>
      <c r="G205" s="278">
        <f>SUM(G206:G208)</f>
        <v>0</v>
      </c>
      <c r="H205" s="278">
        <f>SUM(H206:H208)</f>
        <v>0</v>
      </c>
    </row>
    <row r="206" spans="1:8" ht="25.5" customHeight="1" hidden="1">
      <c r="A206" s="281" t="s">
        <v>457</v>
      </c>
      <c r="B206" s="276" t="s">
        <v>484</v>
      </c>
      <c r="C206" s="282" t="s">
        <v>463</v>
      </c>
      <c r="D206" s="282" t="s">
        <v>149</v>
      </c>
      <c r="E206" s="248">
        <v>110</v>
      </c>
      <c r="F206" s="278">
        <f>'Приложение 8'!Q663</f>
        <v>0</v>
      </c>
      <c r="G206" s="278">
        <f>'Приложение 8'!R663</f>
        <v>0</v>
      </c>
      <c r="H206" s="278">
        <f>'Приложение 8'!S663</f>
        <v>0</v>
      </c>
    </row>
    <row r="207" spans="1:8" ht="41.25" customHeight="1" hidden="1">
      <c r="A207" s="281" t="s">
        <v>454</v>
      </c>
      <c r="B207" s="276" t="s">
        <v>484</v>
      </c>
      <c r="C207" s="282" t="s">
        <v>463</v>
      </c>
      <c r="D207" s="282" t="s">
        <v>149</v>
      </c>
      <c r="E207" s="248">
        <v>240</v>
      </c>
      <c r="F207" s="278">
        <f>'Приложение 8'!Q664</f>
        <v>0</v>
      </c>
      <c r="G207" s="278">
        <f>'Приложение 8'!R664</f>
        <v>0</v>
      </c>
      <c r="H207" s="278">
        <f>'Приложение 8'!S664</f>
        <v>0</v>
      </c>
    </row>
    <row r="208" spans="1:8" ht="15.75" hidden="1">
      <c r="A208" s="10" t="s">
        <v>455</v>
      </c>
      <c r="B208" s="276" t="s">
        <v>484</v>
      </c>
      <c r="C208" s="282" t="s">
        <v>463</v>
      </c>
      <c r="D208" s="282" t="s">
        <v>149</v>
      </c>
      <c r="E208" s="248">
        <v>850</v>
      </c>
      <c r="F208" s="278">
        <f>'Приложение 8'!Q665</f>
        <v>0</v>
      </c>
      <c r="G208" s="278">
        <f>'Приложение 8'!R665</f>
        <v>0</v>
      </c>
      <c r="H208" s="278">
        <f>'Приложение 8'!S665</f>
        <v>0</v>
      </c>
    </row>
    <row r="209" spans="1:8" ht="45" customHeight="1">
      <c r="A209" s="295" t="s">
        <v>706</v>
      </c>
      <c r="B209" s="276" t="s">
        <v>485</v>
      </c>
      <c r="C209" s="282"/>
      <c r="D209" s="282"/>
      <c r="E209" s="248"/>
      <c r="F209" s="278">
        <f aca="true" t="shared" si="9" ref="F209:H210">F210</f>
        <v>0</v>
      </c>
      <c r="G209" s="278">
        <f t="shared" si="9"/>
        <v>0</v>
      </c>
      <c r="H209" s="278">
        <f t="shared" si="9"/>
        <v>4705.9</v>
      </c>
    </row>
    <row r="210" spans="1:8" ht="90" customHeight="1">
      <c r="A210" s="281" t="s">
        <v>444</v>
      </c>
      <c r="B210" s="276" t="s">
        <v>486</v>
      </c>
      <c r="C210" s="282"/>
      <c r="D210" s="282"/>
      <c r="E210" s="248"/>
      <c r="F210" s="278">
        <f t="shared" si="9"/>
        <v>0</v>
      </c>
      <c r="G210" s="278">
        <f t="shared" si="9"/>
        <v>0</v>
      </c>
      <c r="H210" s="278">
        <f t="shared" si="9"/>
        <v>4705.9</v>
      </c>
    </row>
    <row r="211" spans="1:8" ht="15.75">
      <c r="A211" s="281" t="s">
        <v>456</v>
      </c>
      <c r="B211" s="276" t="s">
        <v>486</v>
      </c>
      <c r="C211" s="282" t="s">
        <v>463</v>
      </c>
      <c r="D211" s="277" t="s">
        <v>151</v>
      </c>
      <c r="E211" s="248">
        <v>610</v>
      </c>
      <c r="F211" s="278">
        <f>'Приложение 8'!Q592</f>
        <v>0</v>
      </c>
      <c r="G211" s="278">
        <f>'Приложение 8'!R592</f>
        <v>0</v>
      </c>
      <c r="H211" s="278">
        <f>'Приложение 8'!S592</f>
        <v>4705.9</v>
      </c>
    </row>
    <row r="212" spans="1:8" ht="31.5">
      <c r="A212" s="295" t="s">
        <v>488</v>
      </c>
      <c r="B212" s="276" t="s">
        <v>662</v>
      </c>
      <c r="C212" s="282"/>
      <c r="D212" s="277"/>
      <c r="E212" s="248"/>
      <c r="F212" s="278">
        <f aca="true" t="shared" si="10" ref="F212:H213">F213</f>
        <v>0</v>
      </c>
      <c r="G212" s="278">
        <f t="shared" si="10"/>
        <v>3310.2</v>
      </c>
      <c r="H212" s="278">
        <f t="shared" si="10"/>
        <v>3266.8</v>
      </c>
    </row>
    <row r="213" spans="1:8" ht="47.25" customHeight="1">
      <c r="A213" s="281" t="s">
        <v>487</v>
      </c>
      <c r="B213" s="276" t="s">
        <v>663</v>
      </c>
      <c r="C213" s="282"/>
      <c r="D213" s="277"/>
      <c r="E213" s="248"/>
      <c r="F213" s="278">
        <f t="shared" si="10"/>
        <v>0</v>
      </c>
      <c r="G213" s="278">
        <f t="shared" si="10"/>
        <v>3310.2</v>
      </c>
      <c r="H213" s="278">
        <f t="shared" si="10"/>
        <v>3266.8</v>
      </c>
    </row>
    <row r="214" spans="1:8" ht="15.75">
      <c r="A214" s="281" t="s">
        <v>456</v>
      </c>
      <c r="B214" s="276" t="s">
        <v>663</v>
      </c>
      <c r="C214" s="282" t="s">
        <v>463</v>
      </c>
      <c r="D214" s="277" t="s">
        <v>151</v>
      </c>
      <c r="E214" s="248">
        <v>610</v>
      </c>
      <c r="F214" s="278">
        <f>'Приложение 8'!Q595</f>
        <v>0</v>
      </c>
      <c r="G214" s="344">
        <f>'Приложение 8'!R595</f>
        <v>3310.2</v>
      </c>
      <c r="H214" s="344">
        <f>'Приложение 8'!S595</f>
        <v>3266.8</v>
      </c>
    </row>
    <row r="215" spans="1:8" s="341" customFormat="1" ht="47.25">
      <c r="A215" s="308" t="s">
        <v>139</v>
      </c>
      <c r="B215" s="322" t="s">
        <v>185</v>
      </c>
      <c r="C215" s="339"/>
      <c r="D215" s="339"/>
      <c r="E215" s="322"/>
      <c r="F215" s="340">
        <f>F216+F230+F219+F223+F227+F235</f>
        <v>9209.2</v>
      </c>
      <c r="G215" s="340">
        <f>G216+G230+G219+G223+G227+G235</f>
        <v>6656.700000000001</v>
      </c>
      <c r="H215" s="340">
        <f>H216+H230+H219+H223+H227+H235</f>
        <v>6656.700000000001</v>
      </c>
    </row>
    <row r="216" spans="1:8" ht="63">
      <c r="A216" s="104" t="s">
        <v>106</v>
      </c>
      <c r="B216" s="276" t="s">
        <v>186</v>
      </c>
      <c r="C216" s="282"/>
      <c r="D216" s="277"/>
      <c r="E216" s="248"/>
      <c r="F216" s="278">
        <f aca="true" t="shared" si="11" ref="F216:H217">F217</f>
        <v>240</v>
      </c>
      <c r="G216" s="278">
        <f t="shared" si="11"/>
        <v>200</v>
      </c>
      <c r="H216" s="278">
        <f t="shared" si="11"/>
        <v>200</v>
      </c>
    </row>
    <row r="217" spans="1:8" ht="15.75">
      <c r="A217" s="104" t="s">
        <v>22</v>
      </c>
      <c r="B217" s="276" t="s">
        <v>187</v>
      </c>
      <c r="C217" s="282"/>
      <c r="D217" s="277"/>
      <c r="E217" s="248"/>
      <c r="F217" s="278">
        <f t="shared" si="11"/>
        <v>240</v>
      </c>
      <c r="G217" s="278">
        <f t="shared" si="11"/>
        <v>200</v>
      </c>
      <c r="H217" s="278">
        <f t="shared" si="11"/>
        <v>200</v>
      </c>
    </row>
    <row r="218" spans="1:8" ht="15.75">
      <c r="A218" s="104" t="s">
        <v>456</v>
      </c>
      <c r="B218" s="276" t="s">
        <v>187</v>
      </c>
      <c r="C218" s="282" t="s">
        <v>462</v>
      </c>
      <c r="D218" s="277" t="s">
        <v>153</v>
      </c>
      <c r="E218" s="248">
        <v>610</v>
      </c>
      <c r="F218" s="278">
        <f>'Приложение 8'!Q169</f>
        <v>240</v>
      </c>
      <c r="G218" s="278">
        <f>'Приложение 8'!R169</f>
        <v>200</v>
      </c>
      <c r="H218" s="278">
        <f>'Приложение 8'!S169</f>
        <v>200</v>
      </c>
    </row>
    <row r="219" spans="1:8" ht="15.75">
      <c r="A219" s="104" t="s">
        <v>742</v>
      </c>
      <c r="B219" s="276" t="s">
        <v>798</v>
      </c>
      <c r="C219" s="282"/>
      <c r="D219" s="277"/>
      <c r="E219" s="248"/>
      <c r="F219" s="278">
        <f>F220</f>
        <v>158</v>
      </c>
      <c r="G219" s="278">
        <f>G220</f>
        <v>118</v>
      </c>
      <c r="H219" s="278">
        <f>H220</f>
        <v>118</v>
      </c>
    </row>
    <row r="220" spans="1:8" ht="15.75">
      <c r="A220" s="104" t="s">
        <v>22</v>
      </c>
      <c r="B220" s="276" t="s">
        <v>799</v>
      </c>
      <c r="C220" s="282"/>
      <c r="D220" s="277"/>
      <c r="E220" s="248"/>
      <c r="F220" s="278">
        <f>F221+F222</f>
        <v>158</v>
      </c>
      <c r="G220" s="278">
        <f>G221+G222</f>
        <v>118</v>
      </c>
      <c r="H220" s="278">
        <f>H221+H222</f>
        <v>118</v>
      </c>
    </row>
    <row r="221" spans="1:8" ht="31.5">
      <c r="A221" s="4" t="s">
        <v>454</v>
      </c>
      <c r="B221" s="276" t="s">
        <v>799</v>
      </c>
      <c r="C221" s="277" t="s">
        <v>462</v>
      </c>
      <c r="D221" s="277" t="s">
        <v>153</v>
      </c>
      <c r="E221" s="248">
        <v>240</v>
      </c>
      <c r="F221" s="278">
        <f>'Приложение 8'!Q172</f>
        <v>30</v>
      </c>
      <c r="G221" s="278">
        <f>'Приложение 8'!R172</f>
        <v>0</v>
      </c>
      <c r="H221" s="278">
        <f>'Приложение 8'!S172</f>
        <v>0</v>
      </c>
    </row>
    <row r="222" spans="1:8" ht="15.75">
      <c r="A222" s="104" t="s">
        <v>456</v>
      </c>
      <c r="B222" s="276" t="s">
        <v>799</v>
      </c>
      <c r="C222" s="277" t="s">
        <v>462</v>
      </c>
      <c r="D222" s="277" t="s">
        <v>153</v>
      </c>
      <c r="E222" s="248">
        <v>610</v>
      </c>
      <c r="F222" s="278">
        <f>'Приложение 8'!Q173</f>
        <v>128</v>
      </c>
      <c r="G222" s="278">
        <f>'Приложение 8'!R173</f>
        <v>118</v>
      </c>
      <c r="H222" s="278">
        <f>'Приложение 8'!S173</f>
        <v>118</v>
      </c>
    </row>
    <row r="223" spans="1:8" ht="31.5">
      <c r="A223" s="104" t="s">
        <v>800</v>
      </c>
      <c r="B223" s="276" t="s">
        <v>802</v>
      </c>
      <c r="C223" s="277"/>
      <c r="D223" s="277"/>
      <c r="E223" s="248"/>
      <c r="F223" s="278">
        <f>F224</f>
        <v>2530</v>
      </c>
      <c r="G223" s="278">
        <f>G224</f>
        <v>20</v>
      </c>
      <c r="H223" s="278">
        <f>H224</f>
        <v>20</v>
      </c>
    </row>
    <row r="224" spans="1:8" ht="15.75">
      <c r="A224" s="104" t="s">
        <v>22</v>
      </c>
      <c r="B224" s="276" t="s">
        <v>803</v>
      </c>
      <c r="C224" s="277"/>
      <c r="D224" s="277"/>
      <c r="E224" s="248"/>
      <c r="F224" s="278">
        <f>F226+F225</f>
        <v>2530</v>
      </c>
      <c r="G224" s="278">
        <f>G226+G225</f>
        <v>20</v>
      </c>
      <c r="H224" s="278">
        <f>H226+H225</f>
        <v>20</v>
      </c>
    </row>
    <row r="225" spans="1:8" ht="31.5" hidden="1">
      <c r="A225" s="4" t="s">
        <v>454</v>
      </c>
      <c r="B225" s="276" t="s">
        <v>803</v>
      </c>
      <c r="C225" s="277" t="s">
        <v>462</v>
      </c>
      <c r="D225" s="277" t="s">
        <v>153</v>
      </c>
      <c r="E225" s="248">
        <v>240</v>
      </c>
      <c r="F225" s="278">
        <f>'Приложение 8'!Q176</f>
        <v>2500</v>
      </c>
      <c r="G225" s="278">
        <f>'Приложение 8'!R176</f>
        <v>0</v>
      </c>
      <c r="H225" s="278">
        <f>'Приложение 8'!S176</f>
        <v>0</v>
      </c>
    </row>
    <row r="226" spans="1:8" ht="15.75">
      <c r="A226" s="104" t="s">
        <v>456</v>
      </c>
      <c r="B226" s="276" t="s">
        <v>803</v>
      </c>
      <c r="C226" s="277" t="s">
        <v>462</v>
      </c>
      <c r="D226" s="277" t="s">
        <v>153</v>
      </c>
      <c r="E226" s="248">
        <v>610</v>
      </c>
      <c r="F226" s="278">
        <f>'Приложение 8'!Q177</f>
        <v>30</v>
      </c>
      <c r="G226" s="278">
        <f>'Приложение 8'!R177</f>
        <v>20</v>
      </c>
      <c r="H226" s="278">
        <f>'Приложение 8'!S177</f>
        <v>20</v>
      </c>
    </row>
    <row r="227" spans="1:8" ht="63">
      <c r="A227" s="104" t="s">
        <v>801</v>
      </c>
      <c r="B227" s="276" t="s">
        <v>804</v>
      </c>
      <c r="C227" s="277"/>
      <c r="D227" s="277"/>
      <c r="E227" s="248"/>
      <c r="F227" s="278">
        <f aca="true" t="shared" si="12" ref="F227:H228">F228</f>
        <v>10</v>
      </c>
      <c r="G227" s="278">
        <f t="shared" si="12"/>
        <v>100</v>
      </c>
      <c r="H227" s="278">
        <f t="shared" si="12"/>
        <v>100</v>
      </c>
    </row>
    <row r="228" spans="1:8" ht="15.75">
      <c r="A228" s="104" t="s">
        <v>22</v>
      </c>
      <c r="B228" s="276" t="s">
        <v>805</v>
      </c>
      <c r="C228" s="277"/>
      <c r="D228" s="277"/>
      <c r="E228" s="248"/>
      <c r="F228" s="278">
        <f t="shared" si="12"/>
        <v>10</v>
      </c>
      <c r="G228" s="278">
        <f t="shared" si="12"/>
        <v>100</v>
      </c>
      <c r="H228" s="278">
        <f t="shared" si="12"/>
        <v>100</v>
      </c>
    </row>
    <row r="229" spans="1:8" ht="15.75">
      <c r="A229" s="104" t="s">
        <v>456</v>
      </c>
      <c r="B229" s="276" t="s">
        <v>805</v>
      </c>
      <c r="C229" s="277" t="s">
        <v>462</v>
      </c>
      <c r="D229" s="277" t="s">
        <v>153</v>
      </c>
      <c r="E229" s="248">
        <v>610</v>
      </c>
      <c r="F229" s="278">
        <f>'Приложение 8'!Q180</f>
        <v>10</v>
      </c>
      <c r="G229" s="278">
        <f>'Приложение 8'!R180</f>
        <v>100</v>
      </c>
      <c r="H229" s="278">
        <f>'Приложение 8'!S180</f>
        <v>100</v>
      </c>
    </row>
    <row r="230" spans="1:8" ht="31.5">
      <c r="A230" s="4" t="s">
        <v>409</v>
      </c>
      <c r="B230" s="276" t="s">
        <v>188</v>
      </c>
      <c r="C230" s="282"/>
      <c r="D230" s="277"/>
      <c r="E230" s="248"/>
      <c r="F230" s="278">
        <f>F231+F233</f>
        <v>6121.200000000001</v>
      </c>
      <c r="G230" s="278">
        <f>G231+G233</f>
        <v>6068.700000000001</v>
      </c>
      <c r="H230" s="278">
        <f>H231+H233</f>
        <v>6068.700000000001</v>
      </c>
    </row>
    <row r="231" spans="1:8" ht="15.75">
      <c r="A231" s="4" t="s">
        <v>22</v>
      </c>
      <c r="B231" s="276" t="s">
        <v>189</v>
      </c>
      <c r="C231" s="282"/>
      <c r="D231" s="277"/>
      <c r="E231" s="248"/>
      <c r="F231" s="278">
        <f>F232</f>
        <v>5479.6</v>
      </c>
      <c r="G231" s="278">
        <f>G232</f>
        <v>5427.1</v>
      </c>
      <c r="H231" s="278">
        <f>H232</f>
        <v>5427.1</v>
      </c>
    </row>
    <row r="232" spans="1:8" ht="15.75">
      <c r="A232" s="4" t="s">
        <v>456</v>
      </c>
      <c r="B232" s="276" t="s">
        <v>189</v>
      </c>
      <c r="C232" s="282" t="s">
        <v>462</v>
      </c>
      <c r="D232" s="277" t="s">
        <v>153</v>
      </c>
      <c r="E232" s="248">
        <v>610</v>
      </c>
      <c r="F232" s="278">
        <f>'Приложение 8'!Q183</f>
        <v>5479.6</v>
      </c>
      <c r="G232" s="278">
        <f>'Приложение 8'!R183</f>
        <v>5427.1</v>
      </c>
      <c r="H232" s="278">
        <f>'Приложение 8'!S183</f>
        <v>5427.1</v>
      </c>
    </row>
    <row r="233" spans="1:8" ht="63">
      <c r="A233" s="4" t="s">
        <v>595</v>
      </c>
      <c r="B233" s="276" t="s">
        <v>596</v>
      </c>
      <c r="C233" s="282"/>
      <c r="D233" s="277"/>
      <c r="E233" s="248"/>
      <c r="F233" s="278">
        <f>F234</f>
        <v>641.6</v>
      </c>
      <c r="G233" s="278">
        <f>G234</f>
        <v>641.6</v>
      </c>
      <c r="H233" s="278">
        <f>H234</f>
        <v>641.6</v>
      </c>
    </row>
    <row r="234" spans="1:8" ht="15.75">
      <c r="A234" s="4" t="s">
        <v>456</v>
      </c>
      <c r="B234" s="276" t="s">
        <v>596</v>
      </c>
      <c r="C234" s="282" t="s">
        <v>462</v>
      </c>
      <c r="D234" s="277" t="s">
        <v>153</v>
      </c>
      <c r="E234" s="248">
        <v>610</v>
      </c>
      <c r="F234" s="278">
        <f>'Приложение 8'!Q185</f>
        <v>641.6</v>
      </c>
      <c r="G234" s="278">
        <f>'Приложение 8'!R185</f>
        <v>641.6</v>
      </c>
      <c r="H234" s="278">
        <f>'Приложение 8'!S185</f>
        <v>641.6</v>
      </c>
    </row>
    <row r="235" spans="1:8" ht="47.25">
      <c r="A235" s="4" t="s">
        <v>43</v>
      </c>
      <c r="B235" s="276" t="s">
        <v>828</v>
      </c>
      <c r="C235" s="282"/>
      <c r="D235" s="277"/>
      <c r="E235" s="248"/>
      <c r="F235" s="278">
        <f aca="true" t="shared" si="13" ref="F235:H236">F236</f>
        <v>150</v>
      </c>
      <c r="G235" s="278">
        <f t="shared" si="13"/>
        <v>150</v>
      </c>
      <c r="H235" s="278">
        <f t="shared" si="13"/>
        <v>150</v>
      </c>
    </row>
    <row r="236" spans="1:8" ht="15.75">
      <c r="A236" s="4" t="s">
        <v>22</v>
      </c>
      <c r="B236" s="276" t="s">
        <v>829</v>
      </c>
      <c r="C236" s="282"/>
      <c r="D236" s="277"/>
      <c r="E236" s="248"/>
      <c r="F236" s="278">
        <f t="shared" si="13"/>
        <v>150</v>
      </c>
      <c r="G236" s="278">
        <f t="shared" si="13"/>
        <v>150</v>
      </c>
      <c r="H236" s="278">
        <f t="shared" si="13"/>
        <v>150</v>
      </c>
    </row>
    <row r="237" spans="1:8" ht="15.75">
      <c r="A237" s="4" t="s">
        <v>456</v>
      </c>
      <c r="B237" s="276" t="s">
        <v>829</v>
      </c>
      <c r="C237" s="277" t="s">
        <v>462</v>
      </c>
      <c r="D237" s="277" t="s">
        <v>153</v>
      </c>
      <c r="E237" s="248">
        <v>610</v>
      </c>
      <c r="F237" s="278">
        <f>'Приложение 8'!Q188</f>
        <v>150</v>
      </c>
      <c r="G237" s="278">
        <f>'Приложение 8'!R188</f>
        <v>150</v>
      </c>
      <c r="H237" s="278">
        <f>'Приложение 8'!S188</f>
        <v>150</v>
      </c>
    </row>
    <row r="238" spans="1:8" s="341" customFormat="1" ht="47.25">
      <c r="A238" s="309" t="s">
        <v>778</v>
      </c>
      <c r="B238" s="322" t="s">
        <v>779</v>
      </c>
      <c r="C238" s="339"/>
      <c r="D238" s="339"/>
      <c r="E238" s="322"/>
      <c r="F238" s="340">
        <f>F239+F244+F248</f>
        <v>22568.6</v>
      </c>
      <c r="G238" s="340">
        <f>G239+G244+G248</f>
        <v>19860.4</v>
      </c>
      <c r="H238" s="340">
        <f>H239+H244+H248</f>
        <v>1000</v>
      </c>
    </row>
    <row r="239" spans="1:8" ht="63">
      <c r="A239" s="17" t="s">
        <v>623</v>
      </c>
      <c r="B239" s="276" t="s">
        <v>782</v>
      </c>
      <c r="C239" s="282"/>
      <c r="D239" s="277"/>
      <c r="E239" s="248"/>
      <c r="F239" s="278">
        <f>F240+F242</f>
        <v>21968.6</v>
      </c>
      <c r="G239" s="278">
        <f>G240+G242</f>
        <v>0</v>
      </c>
      <c r="H239" s="278">
        <f>H240+H242</f>
        <v>500</v>
      </c>
    </row>
    <row r="240" spans="1:8" ht="15.75">
      <c r="A240" s="17" t="s">
        <v>29</v>
      </c>
      <c r="B240" s="276" t="s">
        <v>783</v>
      </c>
      <c r="C240" s="282"/>
      <c r="D240" s="277"/>
      <c r="E240" s="248"/>
      <c r="F240" s="278">
        <f>F241</f>
        <v>0</v>
      </c>
      <c r="G240" s="278">
        <f>G241</f>
        <v>0</v>
      </c>
      <c r="H240" s="278">
        <f>H241</f>
        <v>500</v>
      </c>
    </row>
    <row r="241" spans="1:8" ht="31.5">
      <c r="A241" s="17" t="s">
        <v>454</v>
      </c>
      <c r="B241" s="276" t="s">
        <v>783</v>
      </c>
      <c r="C241" s="282" t="s">
        <v>462</v>
      </c>
      <c r="D241" s="277" t="s">
        <v>154</v>
      </c>
      <c r="E241" s="248">
        <v>240</v>
      </c>
      <c r="F241" s="278">
        <f>'Приложение 8'!Q220</f>
        <v>0</v>
      </c>
      <c r="G241" s="278">
        <f>'Приложение 8'!R220</f>
        <v>0</v>
      </c>
      <c r="H241" s="278">
        <f>'Приложение 8'!S220</f>
        <v>500</v>
      </c>
    </row>
    <row r="242" spans="1:8" ht="47.25">
      <c r="A242" s="17" t="s">
        <v>625</v>
      </c>
      <c r="B242" s="276" t="s">
        <v>279</v>
      </c>
      <c r="C242" s="282"/>
      <c r="D242" s="277"/>
      <c r="E242" s="248"/>
      <c r="F242" s="278">
        <f>F243</f>
        <v>21968.6</v>
      </c>
      <c r="G242" s="278">
        <f>G243</f>
        <v>0</v>
      </c>
      <c r="H242" s="278">
        <f>H243</f>
        <v>0</v>
      </c>
    </row>
    <row r="243" spans="1:8" ht="31.5">
      <c r="A243" s="17" t="s">
        <v>454</v>
      </c>
      <c r="B243" s="276" t="s">
        <v>279</v>
      </c>
      <c r="C243" s="282" t="s">
        <v>462</v>
      </c>
      <c r="D243" s="277" t="s">
        <v>154</v>
      </c>
      <c r="E243" s="248">
        <v>240</v>
      </c>
      <c r="F243" s="278">
        <f>'Приложение 8'!Q222</f>
        <v>21968.6</v>
      </c>
      <c r="G243" s="278">
        <f>'Приложение 8'!R222</f>
        <v>0</v>
      </c>
      <c r="H243" s="278">
        <f>'Приложение 8'!S222</f>
        <v>0</v>
      </c>
    </row>
    <row r="244" spans="1:8" ht="15.75">
      <c r="A244" s="112" t="s">
        <v>29</v>
      </c>
      <c r="B244" s="276" t="s">
        <v>785</v>
      </c>
      <c r="C244" s="282"/>
      <c r="D244" s="277"/>
      <c r="E244" s="248"/>
      <c r="F244" s="278">
        <f>F245+F246</f>
        <v>600</v>
      </c>
      <c r="G244" s="278">
        <f>G245+G246</f>
        <v>9410</v>
      </c>
      <c r="H244" s="278">
        <f>H245+H246</f>
        <v>500</v>
      </c>
    </row>
    <row r="245" spans="1:8" ht="31.5">
      <c r="A245" s="112" t="s">
        <v>454</v>
      </c>
      <c r="B245" s="276" t="s">
        <v>786</v>
      </c>
      <c r="C245" s="282" t="s">
        <v>462</v>
      </c>
      <c r="D245" s="277" t="s">
        <v>155</v>
      </c>
      <c r="E245" s="248">
        <v>240</v>
      </c>
      <c r="F245" s="278">
        <f>'Приложение 8'!Q260</f>
        <v>600</v>
      </c>
      <c r="G245" s="278">
        <f>'Приложение 8'!R260</f>
        <v>500</v>
      </c>
      <c r="H245" s="278">
        <f>'Приложение 8'!S260</f>
        <v>500</v>
      </c>
    </row>
    <row r="246" spans="1:8" ht="47.25">
      <c r="A246" s="112" t="s">
        <v>854</v>
      </c>
      <c r="B246" s="276" t="s">
        <v>855</v>
      </c>
      <c r="C246" s="282"/>
      <c r="D246" s="277"/>
      <c r="E246" s="248"/>
      <c r="F246" s="278">
        <f>F247</f>
        <v>0</v>
      </c>
      <c r="G246" s="278">
        <f>G247</f>
        <v>8910</v>
      </c>
      <c r="H246" s="278">
        <f>H247</f>
        <v>0</v>
      </c>
    </row>
    <row r="247" spans="1:8" ht="31.5">
      <c r="A247" s="112" t="s">
        <v>454</v>
      </c>
      <c r="B247" s="276" t="s">
        <v>855</v>
      </c>
      <c r="C247" s="277" t="s">
        <v>462</v>
      </c>
      <c r="D247" s="277" t="s">
        <v>155</v>
      </c>
      <c r="E247" s="248">
        <v>240</v>
      </c>
      <c r="F247" s="278">
        <f>'Приложение 8'!Q262</f>
        <v>0</v>
      </c>
      <c r="G247" s="278">
        <f>'Приложение 8'!R262</f>
        <v>8910</v>
      </c>
      <c r="H247" s="278">
        <f>'Приложение 8'!S262</f>
        <v>0</v>
      </c>
    </row>
    <row r="248" spans="1:8" ht="63">
      <c r="A248" s="112" t="s">
        <v>700</v>
      </c>
      <c r="B248" s="276" t="s">
        <v>863</v>
      </c>
      <c r="C248" s="282"/>
      <c r="D248" s="277"/>
      <c r="E248" s="248"/>
      <c r="F248" s="278">
        <f aca="true" t="shared" si="14" ref="F248:H249">F249</f>
        <v>0</v>
      </c>
      <c r="G248" s="278">
        <f t="shared" si="14"/>
        <v>10450.4</v>
      </c>
      <c r="H248" s="278">
        <f t="shared" si="14"/>
        <v>0</v>
      </c>
    </row>
    <row r="249" spans="1:8" ht="31.5">
      <c r="A249" s="17" t="s">
        <v>412</v>
      </c>
      <c r="B249" s="276" t="s">
        <v>864</v>
      </c>
      <c r="C249" s="282"/>
      <c r="D249" s="277"/>
      <c r="E249" s="248"/>
      <c r="F249" s="278">
        <f t="shared" si="14"/>
        <v>0</v>
      </c>
      <c r="G249" s="278">
        <f t="shared" si="14"/>
        <v>10450.4</v>
      </c>
      <c r="H249" s="278">
        <f t="shared" si="14"/>
        <v>0</v>
      </c>
    </row>
    <row r="250" spans="1:8" ht="31.5">
      <c r="A250" s="17" t="s">
        <v>454</v>
      </c>
      <c r="B250" s="276" t="s">
        <v>864</v>
      </c>
      <c r="C250" s="282" t="s">
        <v>462</v>
      </c>
      <c r="D250" s="277" t="s">
        <v>154</v>
      </c>
      <c r="E250" s="248">
        <v>240</v>
      </c>
      <c r="F250" s="278">
        <f>'Приложение 8'!Q225</f>
        <v>0</v>
      </c>
      <c r="G250" s="278">
        <f>'Приложение 8'!R225</f>
        <v>10450.4</v>
      </c>
      <c r="H250" s="278">
        <f>'Приложение 8'!S225</f>
        <v>0</v>
      </c>
    </row>
    <row r="251" spans="1:8" s="341" customFormat="1" ht="60.75" customHeight="1">
      <c r="A251" s="338" t="s">
        <v>446</v>
      </c>
      <c r="B251" s="322" t="s">
        <v>192</v>
      </c>
      <c r="C251" s="339"/>
      <c r="D251" s="339"/>
      <c r="E251" s="322"/>
      <c r="F251" s="340">
        <f>F252+F256+F267+F271+F297</f>
        <v>61139.7</v>
      </c>
      <c r="G251" s="340">
        <f>G252+G256+G267+G271+G297</f>
        <v>39673.100000000006</v>
      </c>
      <c r="H251" s="340">
        <f>H252+H256+H267+H271+H297</f>
        <v>41680.6</v>
      </c>
    </row>
    <row r="252" spans="1:8" ht="49.5" customHeight="1">
      <c r="A252" s="281" t="s">
        <v>652</v>
      </c>
      <c r="B252" s="248" t="s">
        <v>193</v>
      </c>
      <c r="C252" s="282"/>
      <c r="D252" s="282"/>
      <c r="E252" s="248"/>
      <c r="F252" s="278">
        <f>F253</f>
        <v>50</v>
      </c>
      <c r="G252" s="278">
        <f aca="true" t="shared" si="15" ref="G252:H254">G253</f>
        <v>50</v>
      </c>
      <c r="H252" s="278">
        <f t="shared" si="15"/>
        <v>50</v>
      </c>
    </row>
    <row r="253" spans="1:8" ht="60" customHeight="1">
      <c r="A253" s="295" t="s">
        <v>830</v>
      </c>
      <c r="B253" s="276" t="s">
        <v>831</v>
      </c>
      <c r="C253" s="282"/>
      <c r="D253" s="282"/>
      <c r="E253" s="248"/>
      <c r="F253" s="278">
        <f>F254</f>
        <v>50</v>
      </c>
      <c r="G253" s="278">
        <f t="shared" si="15"/>
        <v>50</v>
      </c>
      <c r="H253" s="278">
        <f t="shared" si="15"/>
        <v>50</v>
      </c>
    </row>
    <row r="254" spans="1:8" ht="31.5">
      <c r="A254" s="281" t="s">
        <v>100</v>
      </c>
      <c r="B254" s="276" t="s">
        <v>832</v>
      </c>
      <c r="C254" s="282"/>
      <c r="D254" s="282"/>
      <c r="E254" s="248"/>
      <c r="F254" s="278">
        <f>F255</f>
        <v>50</v>
      </c>
      <c r="G254" s="278">
        <f t="shared" si="15"/>
        <v>50</v>
      </c>
      <c r="H254" s="278">
        <f t="shared" si="15"/>
        <v>50</v>
      </c>
    </row>
    <row r="255" spans="1:8" ht="30" customHeight="1">
      <c r="A255" s="281" t="s">
        <v>454</v>
      </c>
      <c r="B255" s="276" t="s">
        <v>832</v>
      </c>
      <c r="C255" s="282" t="s">
        <v>157</v>
      </c>
      <c r="D255" s="282" t="s">
        <v>156</v>
      </c>
      <c r="E255" s="248">
        <v>240</v>
      </c>
      <c r="F255" s="278">
        <f>'Приложение 8'!Q465</f>
        <v>50</v>
      </c>
      <c r="G255" s="278">
        <f>'Приложение 8'!R465</f>
        <v>50</v>
      </c>
      <c r="H255" s="278">
        <f>'Приложение 8'!S465</f>
        <v>50</v>
      </c>
    </row>
    <row r="256" spans="1:8" ht="64.5" customHeight="1">
      <c r="A256" s="281" t="s">
        <v>449</v>
      </c>
      <c r="B256" s="248" t="s">
        <v>196</v>
      </c>
      <c r="C256" s="282"/>
      <c r="D256" s="282"/>
      <c r="E256" s="248"/>
      <c r="F256" s="278">
        <f>F257+F262</f>
        <v>35351.4</v>
      </c>
      <c r="G256" s="278">
        <f>G257+G262</f>
        <v>19143.600000000002</v>
      </c>
      <c r="H256" s="278">
        <f>H257+H262</f>
        <v>21151.1</v>
      </c>
    </row>
    <row r="257" spans="1:8" ht="47.25">
      <c r="A257" s="281" t="s">
        <v>584</v>
      </c>
      <c r="B257" s="248" t="s">
        <v>197</v>
      </c>
      <c r="C257" s="282"/>
      <c r="D257" s="282"/>
      <c r="E257" s="248"/>
      <c r="F257" s="278">
        <f>F258+F260</f>
        <v>5126</v>
      </c>
      <c r="G257" s="278">
        <f>G258+G260</f>
        <v>5225.3</v>
      </c>
      <c r="H257" s="278">
        <f>H258+H260</f>
        <v>5640.5</v>
      </c>
    </row>
    <row r="258" spans="1:8" ht="131.25" customHeight="1">
      <c r="A258" s="281" t="s">
        <v>589</v>
      </c>
      <c r="B258" s="248" t="s">
        <v>198</v>
      </c>
      <c r="C258" s="282"/>
      <c r="D258" s="282"/>
      <c r="E258" s="248"/>
      <c r="F258" s="278">
        <f>F259</f>
        <v>3131.5</v>
      </c>
      <c r="G258" s="278">
        <f>G259</f>
        <v>2993</v>
      </c>
      <c r="H258" s="278">
        <f>H259</f>
        <v>3211.5</v>
      </c>
    </row>
    <row r="259" spans="1:8" ht="15.75">
      <c r="A259" s="281" t="s">
        <v>460</v>
      </c>
      <c r="B259" s="248" t="s">
        <v>198</v>
      </c>
      <c r="C259" s="282" t="s">
        <v>157</v>
      </c>
      <c r="D259" s="282" t="s">
        <v>158</v>
      </c>
      <c r="E259" s="248">
        <v>510</v>
      </c>
      <c r="F259" s="278">
        <f>'Приложение 8'!Q515</f>
        <v>3131.5</v>
      </c>
      <c r="G259" s="278">
        <f>'Приложение 8'!R515</f>
        <v>2993</v>
      </c>
      <c r="H259" s="278">
        <f>'Приложение 8'!S515</f>
        <v>3211.5</v>
      </c>
    </row>
    <row r="260" spans="1:8" ht="31.5">
      <c r="A260" s="281" t="s">
        <v>590</v>
      </c>
      <c r="B260" s="276" t="s">
        <v>610</v>
      </c>
      <c r="C260" s="282"/>
      <c r="D260" s="282"/>
      <c r="E260" s="248"/>
      <c r="F260" s="278">
        <f>F261</f>
        <v>1994.5</v>
      </c>
      <c r="G260" s="278">
        <f>G261</f>
        <v>2232.3</v>
      </c>
      <c r="H260" s="278">
        <f>H261</f>
        <v>2429</v>
      </c>
    </row>
    <row r="261" spans="1:8" ht="15.75">
      <c r="A261" s="281" t="s">
        <v>460</v>
      </c>
      <c r="B261" s="276" t="s">
        <v>610</v>
      </c>
      <c r="C261" s="282" t="s">
        <v>157</v>
      </c>
      <c r="D261" s="282" t="s">
        <v>158</v>
      </c>
      <c r="E261" s="248">
        <v>510</v>
      </c>
      <c r="F261" s="278">
        <f>'Приложение 8'!Q513</f>
        <v>1994.5</v>
      </c>
      <c r="G261" s="278">
        <f>'Приложение 8'!R513</f>
        <v>2232.3</v>
      </c>
      <c r="H261" s="278">
        <f>'Приложение 8'!S513</f>
        <v>2429</v>
      </c>
    </row>
    <row r="262" spans="1:8" ht="47.25">
      <c r="A262" s="281" t="s">
        <v>586</v>
      </c>
      <c r="B262" s="248" t="s">
        <v>199</v>
      </c>
      <c r="C262" s="282"/>
      <c r="D262" s="282"/>
      <c r="E262" s="248"/>
      <c r="F262" s="278">
        <f>F263+F265</f>
        <v>30225.4</v>
      </c>
      <c r="G262" s="278">
        <f>G263+G265</f>
        <v>13918.300000000001</v>
      </c>
      <c r="H262" s="278">
        <f>H263+H265</f>
        <v>15510.6</v>
      </c>
    </row>
    <row r="263" spans="1:8" ht="36" customHeight="1">
      <c r="A263" s="281" t="s">
        <v>585</v>
      </c>
      <c r="B263" s="276" t="s">
        <v>611</v>
      </c>
      <c r="C263" s="282"/>
      <c r="D263" s="282"/>
      <c r="E263" s="248"/>
      <c r="F263" s="278">
        <f>F264</f>
        <v>26266.5</v>
      </c>
      <c r="G263" s="278">
        <f>G264</f>
        <v>10798.2</v>
      </c>
      <c r="H263" s="278">
        <f>H264</f>
        <v>12390.5</v>
      </c>
    </row>
    <row r="264" spans="1:8" ht="15.75">
      <c r="A264" s="281" t="s">
        <v>460</v>
      </c>
      <c r="B264" s="276" t="s">
        <v>611</v>
      </c>
      <c r="C264" s="282" t="s">
        <v>157</v>
      </c>
      <c r="D264" s="282" t="s">
        <v>159</v>
      </c>
      <c r="E264" s="248">
        <v>510</v>
      </c>
      <c r="F264" s="278">
        <f>'Приложение 8'!Q521</f>
        <v>26266.5</v>
      </c>
      <c r="G264" s="278">
        <f>'Приложение 8'!R521</f>
        <v>10798.2</v>
      </c>
      <c r="H264" s="278">
        <f>'Приложение 8'!S521</f>
        <v>12390.5</v>
      </c>
    </row>
    <row r="265" spans="1:8" ht="63.75" customHeight="1">
      <c r="A265" s="10" t="s">
        <v>595</v>
      </c>
      <c r="B265" s="276" t="s">
        <v>653</v>
      </c>
      <c r="C265" s="282"/>
      <c r="D265" s="282"/>
      <c r="E265" s="248"/>
      <c r="F265" s="278">
        <f>F266</f>
        <v>3958.8999999999996</v>
      </c>
      <c r="G265" s="278">
        <f>G266</f>
        <v>3120.1</v>
      </c>
      <c r="H265" s="278">
        <f>H266</f>
        <v>3120.1</v>
      </c>
    </row>
    <row r="266" spans="1:8" ht="15.75">
      <c r="A266" s="10" t="s">
        <v>460</v>
      </c>
      <c r="B266" s="276" t="s">
        <v>653</v>
      </c>
      <c r="C266" s="277" t="s">
        <v>157</v>
      </c>
      <c r="D266" s="277" t="s">
        <v>159</v>
      </c>
      <c r="E266" s="248">
        <v>510</v>
      </c>
      <c r="F266" s="278">
        <f>'Приложение 8'!Q523</f>
        <v>3958.8999999999996</v>
      </c>
      <c r="G266" s="278">
        <f>'Приложение 8'!R523</f>
        <v>3120.1</v>
      </c>
      <c r="H266" s="278">
        <f>'Приложение 8'!S523</f>
        <v>3120.1</v>
      </c>
    </row>
    <row r="267" spans="1:8" ht="31.5">
      <c r="A267" s="281" t="s">
        <v>583</v>
      </c>
      <c r="B267" s="248" t="s">
        <v>654</v>
      </c>
      <c r="C267" s="282"/>
      <c r="D267" s="282"/>
      <c r="E267" s="248"/>
      <c r="F267" s="278">
        <f>F268</f>
        <v>10</v>
      </c>
      <c r="G267" s="278">
        <f aca="true" t="shared" si="16" ref="G267:H269">G268</f>
        <v>0</v>
      </c>
      <c r="H267" s="278">
        <f t="shared" si="16"/>
        <v>0</v>
      </c>
    </row>
    <row r="268" spans="1:8" ht="31.5">
      <c r="A268" s="281" t="s">
        <v>582</v>
      </c>
      <c r="B268" s="248" t="s">
        <v>655</v>
      </c>
      <c r="C268" s="282"/>
      <c r="D268" s="282"/>
      <c r="E268" s="248"/>
      <c r="F268" s="278">
        <f>F269</f>
        <v>10</v>
      </c>
      <c r="G268" s="278">
        <f t="shared" si="16"/>
        <v>0</v>
      </c>
      <c r="H268" s="278">
        <f t="shared" si="16"/>
        <v>0</v>
      </c>
    </row>
    <row r="269" spans="1:8" ht="31.5">
      <c r="A269" s="281" t="s">
        <v>77</v>
      </c>
      <c r="B269" s="248" t="s">
        <v>656</v>
      </c>
      <c r="C269" s="282"/>
      <c r="D269" s="282"/>
      <c r="E269" s="248"/>
      <c r="F269" s="278">
        <f>F270</f>
        <v>10</v>
      </c>
      <c r="G269" s="278">
        <f t="shared" si="16"/>
        <v>0</v>
      </c>
      <c r="H269" s="278">
        <f t="shared" si="16"/>
        <v>0</v>
      </c>
    </row>
    <row r="270" spans="1:8" ht="15.75">
      <c r="A270" s="281" t="s">
        <v>227</v>
      </c>
      <c r="B270" s="248" t="s">
        <v>656</v>
      </c>
      <c r="C270" s="282" t="s">
        <v>157</v>
      </c>
      <c r="D270" s="282" t="s">
        <v>160</v>
      </c>
      <c r="E270" s="248">
        <v>730</v>
      </c>
      <c r="F270" s="278">
        <f>'Приложение 8'!Q506</f>
        <v>10</v>
      </c>
      <c r="G270" s="278">
        <f>'Приложение 8'!R506</f>
        <v>0</v>
      </c>
      <c r="H270" s="278">
        <f>'Приложение 8'!S506</f>
        <v>0</v>
      </c>
    </row>
    <row r="271" spans="1:8" ht="57.75" customHeight="1">
      <c r="A271" s="281" t="s">
        <v>450</v>
      </c>
      <c r="B271" s="248" t="s">
        <v>200</v>
      </c>
      <c r="C271" s="282"/>
      <c r="D271" s="282"/>
      <c r="E271" s="248"/>
      <c r="F271" s="278">
        <f>F272+F287</f>
        <v>25708.3</v>
      </c>
      <c r="G271" s="278">
        <f>G272+G287</f>
        <v>20459.5</v>
      </c>
      <c r="H271" s="278">
        <f>H272+H287</f>
        <v>20459.5</v>
      </c>
    </row>
    <row r="272" spans="1:8" ht="138" customHeight="1">
      <c r="A272" s="281" t="s">
        <v>579</v>
      </c>
      <c r="B272" s="248" t="s">
        <v>201</v>
      </c>
      <c r="C272" s="282"/>
      <c r="D272" s="282"/>
      <c r="E272" s="248"/>
      <c r="F272" s="278">
        <f>F273+F281+F284+F279+F277</f>
        <v>8595</v>
      </c>
      <c r="G272" s="278">
        <f>G273+G281+G284+G279</f>
        <v>5793</v>
      </c>
      <c r="H272" s="278">
        <f>H273+H281+H284+H279</f>
        <v>5793</v>
      </c>
    </row>
    <row r="273" spans="1:8" ht="31.5">
      <c r="A273" s="281" t="s">
        <v>100</v>
      </c>
      <c r="B273" s="248" t="s">
        <v>202</v>
      </c>
      <c r="C273" s="282"/>
      <c r="D273" s="282"/>
      <c r="E273" s="248"/>
      <c r="F273" s="278">
        <f>SUM(F274:F276)</f>
        <v>6244.1</v>
      </c>
      <c r="G273" s="278">
        <f>SUM(G274:G276)</f>
        <v>5229</v>
      </c>
      <c r="H273" s="278">
        <f>SUM(H274:H276)</f>
        <v>5229</v>
      </c>
    </row>
    <row r="274" spans="1:8" ht="29.25" customHeight="1">
      <c r="A274" s="281" t="s">
        <v>319</v>
      </c>
      <c r="B274" s="248" t="s">
        <v>202</v>
      </c>
      <c r="C274" s="282" t="s">
        <v>157</v>
      </c>
      <c r="D274" s="282" t="s">
        <v>156</v>
      </c>
      <c r="E274" s="248">
        <v>120</v>
      </c>
      <c r="F274" s="278">
        <f>'Приложение 8'!Q469</f>
        <v>4363.1</v>
      </c>
      <c r="G274" s="278">
        <f>'Приложение 8'!R469</f>
        <v>4318.5</v>
      </c>
      <c r="H274" s="278">
        <f>'Приложение 8'!S469</f>
        <v>4318.5</v>
      </c>
    </row>
    <row r="275" spans="1:8" ht="32.25" customHeight="1">
      <c r="A275" s="281" t="s">
        <v>454</v>
      </c>
      <c r="B275" s="248" t="s">
        <v>202</v>
      </c>
      <c r="C275" s="282" t="s">
        <v>157</v>
      </c>
      <c r="D275" s="282" t="s">
        <v>156</v>
      </c>
      <c r="E275" s="248">
        <v>240</v>
      </c>
      <c r="F275" s="278">
        <f>'Приложение 8'!Q470</f>
        <v>1861</v>
      </c>
      <c r="G275" s="278">
        <f>'Приложение 8'!R470</f>
        <v>885.5</v>
      </c>
      <c r="H275" s="278">
        <f>'Приложение 8'!S470</f>
        <v>885.5</v>
      </c>
    </row>
    <row r="276" spans="1:8" ht="15.75">
      <c r="A276" s="281" t="s">
        <v>455</v>
      </c>
      <c r="B276" s="248" t="s">
        <v>202</v>
      </c>
      <c r="C276" s="282" t="s">
        <v>157</v>
      </c>
      <c r="D276" s="282" t="s">
        <v>156</v>
      </c>
      <c r="E276" s="248">
        <v>850</v>
      </c>
      <c r="F276" s="278">
        <f>'Приложение 8'!Q471</f>
        <v>20</v>
      </c>
      <c r="G276" s="278">
        <f>'Приложение 8'!R471</f>
        <v>25</v>
      </c>
      <c r="H276" s="278">
        <f>'Приложение 8'!S471</f>
        <v>25</v>
      </c>
    </row>
    <row r="277" spans="1:8" ht="63">
      <c r="A277" s="104" t="s">
        <v>884</v>
      </c>
      <c r="B277" s="276" t="s">
        <v>886</v>
      </c>
      <c r="C277" s="282"/>
      <c r="D277" s="282"/>
      <c r="E277" s="248"/>
      <c r="F277" s="278">
        <f>F278</f>
        <v>163</v>
      </c>
      <c r="G277" s="278">
        <f>G278</f>
        <v>0</v>
      </c>
      <c r="H277" s="278">
        <f>H278</f>
        <v>0</v>
      </c>
    </row>
    <row r="278" spans="1:8" ht="31.5">
      <c r="A278" s="10" t="s">
        <v>319</v>
      </c>
      <c r="B278" s="276" t="s">
        <v>886</v>
      </c>
      <c r="C278" s="277" t="s">
        <v>157</v>
      </c>
      <c r="D278" s="277" t="s">
        <v>156</v>
      </c>
      <c r="E278" s="248">
        <v>120</v>
      </c>
      <c r="F278" s="278">
        <f>'Приложение 8'!Q473</f>
        <v>163</v>
      </c>
      <c r="G278" s="278">
        <v>0</v>
      </c>
      <c r="H278" s="278">
        <v>0</v>
      </c>
    </row>
    <row r="279" spans="1:8" ht="67.5" customHeight="1">
      <c r="A279" s="10" t="s">
        <v>595</v>
      </c>
      <c r="B279" s="276" t="s">
        <v>657</v>
      </c>
      <c r="C279" s="282"/>
      <c r="D279" s="282"/>
      <c r="E279" s="248"/>
      <c r="F279" s="278">
        <f>F280</f>
        <v>711</v>
      </c>
      <c r="G279" s="278">
        <f>G280</f>
        <v>564</v>
      </c>
      <c r="H279" s="278">
        <f>H280</f>
        <v>564</v>
      </c>
    </row>
    <row r="280" spans="1:8" ht="37.5" customHeight="1">
      <c r="A280" s="10" t="s">
        <v>319</v>
      </c>
      <c r="B280" s="276" t="s">
        <v>657</v>
      </c>
      <c r="C280" s="277" t="s">
        <v>157</v>
      </c>
      <c r="D280" s="277" t="s">
        <v>156</v>
      </c>
      <c r="E280" s="248">
        <v>120</v>
      </c>
      <c r="F280" s="278">
        <f>'Приложение 8'!Q475</f>
        <v>711</v>
      </c>
      <c r="G280" s="278">
        <f>'Приложение 8'!R475</f>
        <v>564</v>
      </c>
      <c r="H280" s="278">
        <f>'Приложение 8'!S475</f>
        <v>564</v>
      </c>
    </row>
    <row r="281" spans="1:8" ht="47.25">
      <c r="A281" s="10" t="s">
        <v>9</v>
      </c>
      <c r="B281" s="248" t="s">
        <v>658</v>
      </c>
      <c r="C281" s="282"/>
      <c r="D281" s="282"/>
      <c r="E281" s="248"/>
      <c r="F281" s="278">
        <f>SUM(F282:F283)</f>
        <v>372.9</v>
      </c>
      <c r="G281" s="278">
        <f>SUM(G282:G283)</f>
        <v>0</v>
      </c>
      <c r="H281" s="278">
        <f>SUM(H282:H283)</f>
        <v>0</v>
      </c>
    </row>
    <row r="282" spans="1:8" ht="32.25" customHeight="1">
      <c r="A282" s="281" t="s">
        <v>319</v>
      </c>
      <c r="B282" s="248" t="s">
        <v>658</v>
      </c>
      <c r="C282" s="282" t="s">
        <v>161</v>
      </c>
      <c r="D282" s="282" t="s">
        <v>156</v>
      </c>
      <c r="E282" s="248">
        <v>120</v>
      </c>
      <c r="F282" s="278">
        <f>'Приложение 8'!Q477</f>
        <v>371.9</v>
      </c>
      <c r="G282" s="278">
        <f>'Приложение 8'!R477</f>
        <v>0</v>
      </c>
      <c r="H282" s="278">
        <f>'Приложение 8'!S477</f>
        <v>0</v>
      </c>
    </row>
    <row r="283" spans="1:8" ht="31.5" customHeight="1">
      <c r="A283" s="281" t="s">
        <v>454</v>
      </c>
      <c r="B283" s="248" t="s">
        <v>658</v>
      </c>
      <c r="C283" s="282" t="s">
        <v>161</v>
      </c>
      <c r="D283" s="282" t="s">
        <v>156</v>
      </c>
      <c r="E283" s="248">
        <v>240</v>
      </c>
      <c r="F283" s="278">
        <f>'Приложение 8'!Q478</f>
        <v>1</v>
      </c>
      <c r="G283" s="278">
        <f>'Приложение 8'!R478</f>
        <v>0</v>
      </c>
      <c r="H283" s="278">
        <f>'Приложение 8'!S478</f>
        <v>0</v>
      </c>
    </row>
    <row r="284" spans="1:8" ht="81" customHeight="1">
      <c r="A284" s="10" t="s">
        <v>10</v>
      </c>
      <c r="B284" s="248" t="s">
        <v>659</v>
      </c>
      <c r="C284" s="282"/>
      <c r="D284" s="282"/>
      <c r="E284" s="248"/>
      <c r="F284" s="278">
        <f>SUM(F285:F286)</f>
        <v>1104</v>
      </c>
      <c r="G284" s="278">
        <f>SUM(G285:G286)</f>
        <v>0</v>
      </c>
      <c r="H284" s="278">
        <f>SUM(H285:H286)</f>
        <v>0</v>
      </c>
    </row>
    <row r="285" spans="1:8" ht="39" customHeight="1">
      <c r="A285" s="281" t="s">
        <v>319</v>
      </c>
      <c r="B285" s="248" t="s">
        <v>659</v>
      </c>
      <c r="C285" s="282" t="s">
        <v>157</v>
      </c>
      <c r="D285" s="282" t="s">
        <v>156</v>
      </c>
      <c r="E285" s="248">
        <v>120</v>
      </c>
      <c r="F285" s="278">
        <f>'Приложение 8'!Q480</f>
        <v>1042</v>
      </c>
      <c r="G285" s="278">
        <f>'Приложение 8'!R480</f>
        <v>0</v>
      </c>
      <c r="H285" s="278">
        <f>'Приложение 8'!S480</f>
        <v>0</v>
      </c>
    </row>
    <row r="286" spans="1:8" ht="36.75" customHeight="1">
      <c r="A286" s="281" t="s">
        <v>454</v>
      </c>
      <c r="B286" s="248" t="s">
        <v>659</v>
      </c>
      <c r="C286" s="282" t="s">
        <v>157</v>
      </c>
      <c r="D286" s="282" t="s">
        <v>156</v>
      </c>
      <c r="E286" s="248">
        <v>240</v>
      </c>
      <c r="F286" s="278">
        <f>'Приложение 8'!Q481</f>
        <v>62</v>
      </c>
      <c r="G286" s="278">
        <f>'Приложение 8'!R481</f>
        <v>0</v>
      </c>
      <c r="H286" s="278">
        <f>'Приложение 8'!S481</f>
        <v>0</v>
      </c>
    </row>
    <row r="287" spans="1:8" ht="47.25" customHeight="1">
      <c r="A287" s="281" t="s">
        <v>451</v>
      </c>
      <c r="B287" s="248" t="s">
        <v>203</v>
      </c>
      <c r="C287" s="282"/>
      <c r="D287" s="282"/>
      <c r="E287" s="248"/>
      <c r="F287" s="278">
        <f>F288+F294+F292</f>
        <v>17113.3</v>
      </c>
      <c r="G287" s="278">
        <f>G288+G294+G292</f>
        <v>14666.5</v>
      </c>
      <c r="H287" s="278">
        <f>H288+H294+H292</f>
        <v>14666.5</v>
      </c>
    </row>
    <row r="288" spans="1:8" ht="31.5" customHeight="1">
      <c r="A288" s="281" t="s">
        <v>102</v>
      </c>
      <c r="B288" s="248" t="s">
        <v>204</v>
      </c>
      <c r="C288" s="282"/>
      <c r="D288" s="282"/>
      <c r="E288" s="248"/>
      <c r="F288" s="278">
        <f>SUM(F289:F291)</f>
        <v>12009.199999999999</v>
      </c>
      <c r="G288" s="278">
        <f>SUM(G289:G291)</f>
        <v>12431.199999999999</v>
      </c>
      <c r="H288" s="278">
        <f>SUM(H289:H291)</f>
        <v>12431.199999999999</v>
      </c>
    </row>
    <row r="289" spans="1:8" ht="19.5" customHeight="1">
      <c r="A289" s="281" t="s">
        <v>457</v>
      </c>
      <c r="B289" s="248" t="s">
        <v>204</v>
      </c>
      <c r="C289" s="282" t="s">
        <v>157</v>
      </c>
      <c r="D289" s="282" t="s">
        <v>143</v>
      </c>
      <c r="E289" s="248">
        <v>110</v>
      </c>
      <c r="F289" s="278">
        <f>'Приложение 8'!Q492</f>
        <v>10890.4</v>
      </c>
      <c r="G289" s="278">
        <f>'Приложение 8'!R492</f>
        <v>10890.4</v>
      </c>
      <c r="H289" s="278">
        <f>'Приложение 8'!S492</f>
        <v>10890.4</v>
      </c>
    </row>
    <row r="290" spans="1:8" ht="31.5" customHeight="1">
      <c r="A290" s="281" t="s">
        <v>454</v>
      </c>
      <c r="B290" s="248" t="s">
        <v>204</v>
      </c>
      <c r="C290" s="282" t="s">
        <v>157</v>
      </c>
      <c r="D290" s="282" t="s">
        <v>143</v>
      </c>
      <c r="E290" s="248">
        <v>240</v>
      </c>
      <c r="F290" s="278">
        <f>'Приложение 8'!Q493</f>
        <v>1118.4</v>
      </c>
      <c r="G290" s="278">
        <f>'Приложение 8'!R493</f>
        <v>1540.4</v>
      </c>
      <c r="H290" s="278">
        <f>'Приложение 8'!S493</f>
        <v>1540.4</v>
      </c>
    </row>
    <row r="291" spans="1:8" ht="31.5" customHeight="1">
      <c r="A291" s="10" t="s">
        <v>455</v>
      </c>
      <c r="B291" s="248" t="s">
        <v>204</v>
      </c>
      <c r="C291" s="282" t="s">
        <v>157</v>
      </c>
      <c r="D291" s="282" t="s">
        <v>143</v>
      </c>
      <c r="E291" s="248">
        <v>850</v>
      </c>
      <c r="F291" s="278">
        <f>'Приложение 8'!Q494</f>
        <v>0.4</v>
      </c>
      <c r="G291" s="278">
        <f>'Приложение 8'!R494</f>
        <v>0.4</v>
      </c>
      <c r="H291" s="278">
        <f>'Приложение 8'!S494</f>
        <v>0.4</v>
      </c>
    </row>
    <row r="292" spans="1:8" ht="63" customHeight="1">
      <c r="A292" s="10" t="s">
        <v>595</v>
      </c>
      <c r="B292" s="276" t="s">
        <v>660</v>
      </c>
      <c r="C292" s="282"/>
      <c r="D292" s="282"/>
      <c r="E292" s="248"/>
      <c r="F292" s="278">
        <f>F293</f>
        <v>2628.4</v>
      </c>
      <c r="G292" s="278">
        <f>G293</f>
        <v>2235.3</v>
      </c>
      <c r="H292" s="278">
        <f>H293</f>
        <v>2235.3</v>
      </c>
    </row>
    <row r="293" spans="1:8" ht="18" customHeight="1">
      <c r="A293" s="10" t="s">
        <v>517</v>
      </c>
      <c r="B293" s="276" t="s">
        <v>660</v>
      </c>
      <c r="C293" s="277" t="s">
        <v>161</v>
      </c>
      <c r="D293" s="277" t="s">
        <v>143</v>
      </c>
      <c r="E293" s="248">
        <v>110</v>
      </c>
      <c r="F293" s="278">
        <f>'Приложение 8'!Q496</f>
        <v>2628.4</v>
      </c>
      <c r="G293" s="278">
        <f>'Приложение 8'!R496</f>
        <v>2235.3</v>
      </c>
      <c r="H293" s="278">
        <f>'Приложение 8'!S496</f>
        <v>2235.3</v>
      </c>
    </row>
    <row r="294" spans="1:8" ht="49.5" customHeight="1">
      <c r="A294" s="10" t="s">
        <v>495</v>
      </c>
      <c r="B294" s="248" t="s">
        <v>661</v>
      </c>
      <c r="C294" s="282"/>
      <c r="D294" s="282"/>
      <c r="E294" s="248"/>
      <c r="F294" s="278">
        <f>SUM(F295:F296)</f>
        <v>2475.7</v>
      </c>
      <c r="G294" s="278">
        <f>SUM(G295:G296)</f>
        <v>0</v>
      </c>
      <c r="H294" s="278">
        <f>SUM(H295:H296)</f>
        <v>0</v>
      </c>
    </row>
    <row r="295" spans="1:8" ht="24.75" customHeight="1">
      <c r="A295" s="281" t="s">
        <v>457</v>
      </c>
      <c r="B295" s="248" t="s">
        <v>661</v>
      </c>
      <c r="C295" s="282" t="s">
        <v>157</v>
      </c>
      <c r="D295" s="282" t="s">
        <v>143</v>
      </c>
      <c r="E295" s="248">
        <v>110</v>
      </c>
      <c r="F295" s="278">
        <f>'Приложение 8'!Q498</f>
        <v>2410.7</v>
      </c>
      <c r="G295" s="278">
        <f>'Приложение 8'!R498</f>
        <v>0</v>
      </c>
      <c r="H295" s="278">
        <f>'Приложение 8'!S498</f>
        <v>0</v>
      </c>
    </row>
    <row r="296" spans="1:8" ht="35.25" customHeight="1">
      <c r="A296" s="281" t="s">
        <v>454</v>
      </c>
      <c r="B296" s="248" t="s">
        <v>661</v>
      </c>
      <c r="C296" s="282" t="s">
        <v>157</v>
      </c>
      <c r="D296" s="282" t="s">
        <v>143</v>
      </c>
      <c r="E296" s="248">
        <v>240</v>
      </c>
      <c r="F296" s="278">
        <f>'Приложение 8'!Q499</f>
        <v>65</v>
      </c>
      <c r="G296" s="278">
        <f>'Приложение 8'!R499</f>
        <v>0</v>
      </c>
      <c r="H296" s="278">
        <f>'Приложение 8'!S499</f>
        <v>0</v>
      </c>
    </row>
    <row r="297" spans="1:8" ht="35.25" customHeight="1">
      <c r="A297" s="10" t="s">
        <v>834</v>
      </c>
      <c r="B297" s="276" t="s">
        <v>837</v>
      </c>
      <c r="C297" s="282"/>
      <c r="D297" s="282"/>
      <c r="E297" s="248"/>
      <c r="F297" s="278">
        <f>F298</f>
        <v>20</v>
      </c>
      <c r="G297" s="278">
        <f aca="true" t="shared" si="17" ref="G297:H299">G298</f>
        <v>20</v>
      </c>
      <c r="H297" s="278">
        <f t="shared" si="17"/>
        <v>20</v>
      </c>
    </row>
    <row r="298" spans="1:8" ht="35.25" customHeight="1">
      <c r="A298" s="10" t="s">
        <v>835</v>
      </c>
      <c r="B298" s="276" t="s">
        <v>838</v>
      </c>
      <c r="C298" s="282"/>
      <c r="D298" s="282"/>
      <c r="E298" s="248"/>
      <c r="F298" s="278">
        <f>F299</f>
        <v>20</v>
      </c>
      <c r="G298" s="278">
        <f t="shared" si="17"/>
        <v>20</v>
      </c>
      <c r="H298" s="278">
        <f t="shared" si="17"/>
        <v>20</v>
      </c>
    </row>
    <row r="299" spans="1:8" ht="35.25" customHeight="1">
      <c r="A299" s="10" t="s">
        <v>836</v>
      </c>
      <c r="B299" s="276" t="s">
        <v>839</v>
      </c>
      <c r="C299" s="282"/>
      <c r="D299" s="282"/>
      <c r="E299" s="248"/>
      <c r="F299" s="278">
        <f>F300</f>
        <v>20</v>
      </c>
      <c r="G299" s="278">
        <f t="shared" si="17"/>
        <v>20</v>
      </c>
      <c r="H299" s="278">
        <f t="shared" si="17"/>
        <v>20</v>
      </c>
    </row>
    <row r="300" spans="1:8" ht="35.25" customHeight="1">
      <c r="A300" s="10" t="s">
        <v>454</v>
      </c>
      <c r="B300" s="276" t="s">
        <v>839</v>
      </c>
      <c r="C300" s="277" t="s">
        <v>157</v>
      </c>
      <c r="D300" s="277" t="s">
        <v>156</v>
      </c>
      <c r="E300" s="248">
        <v>240</v>
      </c>
      <c r="F300" s="278">
        <f>'Приложение 8'!Q485</f>
        <v>20</v>
      </c>
      <c r="G300" s="278">
        <f>'Приложение 8'!R485</f>
        <v>20</v>
      </c>
      <c r="H300" s="278">
        <f>'Приложение 8'!S485</f>
        <v>20</v>
      </c>
    </row>
    <row r="301" spans="1:8" s="341" customFormat="1" ht="48.75" customHeight="1">
      <c r="A301" s="120" t="s">
        <v>421</v>
      </c>
      <c r="B301" s="322" t="s">
        <v>230</v>
      </c>
      <c r="C301" s="339"/>
      <c r="D301" s="339"/>
      <c r="E301" s="322"/>
      <c r="F301" s="340">
        <f>F302+F311+F316+F325+F333+F330</f>
        <v>41084.799999999996</v>
      </c>
      <c r="G301" s="340">
        <f>G302+G311+G316+G325+G333+G330</f>
        <v>38165.1</v>
      </c>
      <c r="H301" s="340">
        <f>H302+H311+H316+H325+H333+H330</f>
        <v>35965.2</v>
      </c>
    </row>
    <row r="302" spans="1:8" ht="53.25" customHeight="1">
      <c r="A302" s="17" t="s">
        <v>64</v>
      </c>
      <c r="B302" s="248" t="s">
        <v>231</v>
      </c>
      <c r="C302" s="282"/>
      <c r="D302" s="282"/>
      <c r="E302" s="248"/>
      <c r="F302" s="278">
        <f>F303+F305+F307+F309</f>
        <v>13689</v>
      </c>
      <c r="G302" s="278">
        <f>G303+G305+G307+G309</f>
        <v>13411</v>
      </c>
      <c r="H302" s="278">
        <f>H303+H305+H307+H309</f>
        <v>13411</v>
      </c>
    </row>
    <row r="303" spans="1:8" ht="15.75">
      <c r="A303" s="17" t="s">
        <v>66</v>
      </c>
      <c r="B303" s="248" t="s">
        <v>232</v>
      </c>
      <c r="C303" s="282"/>
      <c r="D303" s="282"/>
      <c r="E303" s="248"/>
      <c r="F303" s="278">
        <f>F304</f>
        <v>10478.5</v>
      </c>
      <c r="G303" s="278">
        <f>G304</f>
        <v>10300.5</v>
      </c>
      <c r="H303" s="278">
        <f>H304</f>
        <v>10300.5</v>
      </c>
    </row>
    <row r="304" spans="1:8" ht="15.75">
      <c r="A304" s="281" t="s">
        <v>456</v>
      </c>
      <c r="B304" s="248" t="s">
        <v>232</v>
      </c>
      <c r="C304" s="282" t="s">
        <v>462</v>
      </c>
      <c r="D304" s="282" t="s">
        <v>233</v>
      </c>
      <c r="E304" s="248">
        <v>610</v>
      </c>
      <c r="F304" s="278">
        <f>'Приложение 8'!Q307</f>
        <v>10478.5</v>
      </c>
      <c r="G304" s="278">
        <f>'Приложение 8'!R307</f>
        <v>10300.5</v>
      </c>
      <c r="H304" s="278">
        <f>'Приложение 8'!S307</f>
        <v>10300.5</v>
      </c>
    </row>
    <row r="305" spans="1:8" ht="64.5" customHeight="1">
      <c r="A305" s="227" t="s">
        <v>595</v>
      </c>
      <c r="B305" s="276" t="s">
        <v>598</v>
      </c>
      <c r="C305" s="282"/>
      <c r="D305" s="282"/>
      <c r="E305" s="248"/>
      <c r="F305" s="278">
        <f>F306</f>
        <v>1224.1</v>
      </c>
      <c r="G305" s="278">
        <f>G306</f>
        <v>1224.1</v>
      </c>
      <c r="H305" s="278">
        <f>H306</f>
        <v>1224.1</v>
      </c>
    </row>
    <row r="306" spans="1:8" ht="15.75">
      <c r="A306" s="227" t="s">
        <v>456</v>
      </c>
      <c r="B306" s="276" t="s">
        <v>598</v>
      </c>
      <c r="C306" s="277" t="s">
        <v>462</v>
      </c>
      <c r="D306" s="277" t="s">
        <v>233</v>
      </c>
      <c r="E306" s="248">
        <v>610</v>
      </c>
      <c r="F306" s="278">
        <f>'Приложение 8'!Q309</f>
        <v>1224.1</v>
      </c>
      <c r="G306" s="278">
        <f>'Приложение 8'!R309</f>
        <v>1224.1</v>
      </c>
      <c r="H306" s="278">
        <f>'Приложение 8'!S309</f>
        <v>1224.1</v>
      </c>
    </row>
    <row r="307" spans="1:8" ht="36.75" customHeight="1">
      <c r="A307" s="4" t="s">
        <v>536</v>
      </c>
      <c r="B307" s="248" t="s">
        <v>234</v>
      </c>
      <c r="C307" s="282"/>
      <c r="D307" s="282"/>
      <c r="E307" s="248"/>
      <c r="F307" s="278">
        <f>F308</f>
        <v>340</v>
      </c>
      <c r="G307" s="278">
        <f>G308</f>
        <v>340</v>
      </c>
      <c r="H307" s="278">
        <f>H308</f>
        <v>340</v>
      </c>
    </row>
    <row r="308" spans="1:8" ht="15.75">
      <c r="A308" s="281" t="s">
        <v>456</v>
      </c>
      <c r="B308" s="248" t="s">
        <v>234</v>
      </c>
      <c r="C308" s="282" t="s">
        <v>462</v>
      </c>
      <c r="D308" s="282" t="s">
        <v>233</v>
      </c>
      <c r="E308" s="248">
        <v>610</v>
      </c>
      <c r="F308" s="278">
        <f>'Приложение 8'!Q311</f>
        <v>340</v>
      </c>
      <c r="G308" s="278">
        <f>'Приложение 8'!R311</f>
        <v>340</v>
      </c>
      <c r="H308" s="278">
        <f>'Приложение 8'!S311</f>
        <v>340</v>
      </c>
    </row>
    <row r="309" spans="1:8" ht="36" customHeight="1">
      <c r="A309" s="4" t="s">
        <v>431</v>
      </c>
      <c r="B309" s="248" t="s">
        <v>235</v>
      </c>
      <c r="C309" s="282"/>
      <c r="D309" s="282"/>
      <c r="E309" s="248"/>
      <c r="F309" s="278">
        <f>F310</f>
        <v>1646.4</v>
      </c>
      <c r="G309" s="278">
        <f>G310</f>
        <v>1546.4</v>
      </c>
      <c r="H309" s="278">
        <f>H310</f>
        <v>1546.4</v>
      </c>
    </row>
    <row r="310" spans="1:8" ht="15.75">
      <c r="A310" s="281" t="s">
        <v>456</v>
      </c>
      <c r="B310" s="248" t="s">
        <v>235</v>
      </c>
      <c r="C310" s="282" t="s">
        <v>462</v>
      </c>
      <c r="D310" s="282" t="s">
        <v>233</v>
      </c>
      <c r="E310" s="248">
        <v>610</v>
      </c>
      <c r="F310" s="278">
        <f>'Приложение 8'!Q313</f>
        <v>1646.4</v>
      </c>
      <c r="G310" s="278">
        <f>'Приложение 8'!R313</f>
        <v>1546.4</v>
      </c>
      <c r="H310" s="278">
        <f>'Приложение 8'!S313</f>
        <v>1546.4</v>
      </c>
    </row>
    <row r="311" spans="1:8" ht="52.5" customHeight="1">
      <c r="A311" s="4" t="s">
        <v>432</v>
      </c>
      <c r="B311" s="248" t="s">
        <v>236</v>
      </c>
      <c r="C311" s="282"/>
      <c r="D311" s="282"/>
      <c r="E311" s="248"/>
      <c r="F311" s="278">
        <f>F312+F314</f>
        <v>14511.2</v>
      </c>
      <c r="G311" s="278">
        <f>G312+G314</f>
        <v>13007.8</v>
      </c>
      <c r="H311" s="278">
        <f>H312+H314</f>
        <v>13007.8</v>
      </c>
    </row>
    <row r="312" spans="1:8" ht="15.75">
      <c r="A312" s="4" t="s">
        <v>22</v>
      </c>
      <c r="B312" s="248" t="s">
        <v>237</v>
      </c>
      <c r="C312" s="282"/>
      <c r="D312" s="282"/>
      <c r="E312" s="248"/>
      <c r="F312" s="278">
        <f>F313</f>
        <v>11232.2</v>
      </c>
      <c r="G312" s="278">
        <f>G313</f>
        <v>10334.8</v>
      </c>
      <c r="H312" s="278">
        <f>H313</f>
        <v>10334.8</v>
      </c>
    </row>
    <row r="313" spans="1:8" ht="15.75">
      <c r="A313" s="281" t="s">
        <v>456</v>
      </c>
      <c r="B313" s="248" t="s">
        <v>237</v>
      </c>
      <c r="C313" s="282" t="s">
        <v>462</v>
      </c>
      <c r="D313" s="282" t="s">
        <v>233</v>
      </c>
      <c r="E313" s="248">
        <v>610</v>
      </c>
      <c r="F313" s="278">
        <f>'Приложение 8'!Q316</f>
        <v>11232.2</v>
      </c>
      <c r="G313" s="278">
        <f>'Приложение 8'!R316</f>
        <v>10334.8</v>
      </c>
      <c r="H313" s="278">
        <f>'Приложение 8'!S316</f>
        <v>10334.8</v>
      </c>
    </row>
    <row r="314" spans="1:8" ht="64.5" customHeight="1">
      <c r="A314" s="227" t="s">
        <v>595</v>
      </c>
      <c r="B314" s="276" t="s">
        <v>599</v>
      </c>
      <c r="C314" s="282"/>
      <c r="D314" s="282"/>
      <c r="E314" s="248"/>
      <c r="F314" s="278">
        <f>F315</f>
        <v>3279</v>
      </c>
      <c r="G314" s="278">
        <f>G315</f>
        <v>2673</v>
      </c>
      <c r="H314" s="278">
        <f>H315</f>
        <v>2673</v>
      </c>
    </row>
    <row r="315" spans="1:8" ht="15.75">
      <c r="A315" s="227" t="s">
        <v>456</v>
      </c>
      <c r="B315" s="276" t="s">
        <v>599</v>
      </c>
      <c r="C315" s="277" t="s">
        <v>462</v>
      </c>
      <c r="D315" s="277" t="s">
        <v>233</v>
      </c>
      <c r="E315" s="248">
        <v>610</v>
      </c>
      <c r="F315" s="278">
        <f>'Приложение 8'!Q318</f>
        <v>3279</v>
      </c>
      <c r="G315" s="278">
        <f>'Приложение 8'!R318</f>
        <v>2673</v>
      </c>
      <c r="H315" s="278">
        <f>'Приложение 8'!S318</f>
        <v>2673</v>
      </c>
    </row>
    <row r="316" spans="1:8" ht="63">
      <c r="A316" s="4" t="s">
        <v>117</v>
      </c>
      <c r="B316" s="248" t="s">
        <v>238</v>
      </c>
      <c r="C316" s="282"/>
      <c r="D316" s="282"/>
      <c r="E316" s="248"/>
      <c r="F316" s="278">
        <f>F317+F320+F323</f>
        <v>2230.3999999999987</v>
      </c>
      <c r="G316" s="278">
        <f>G317+G320+G323</f>
        <v>4429.7</v>
      </c>
      <c r="H316" s="278">
        <f>H317+H320+H323</f>
        <v>2229.8</v>
      </c>
    </row>
    <row r="317" spans="1:8" ht="15.75">
      <c r="A317" s="4" t="s">
        <v>22</v>
      </c>
      <c r="B317" s="276" t="s">
        <v>612</v>
      </c>
      <c r="C317" s="282"/>
      <c r="D317" s="282"/>
      <c r="E317" s="248"/>
      <c r="F317" s="278">
        <f>F319+F318</f>
        <v>2230.3999999999987</v>
      </c>
      <c r="G317" s="278">
        <f>G319+G318</f>
        <v>4429.7</v>
      </c>
      <c r="H317" s="278">
        <f>H319</f>
        <v>2229.8</v>
      </c>
    </row>
    <row r="318" spans="1:8" ht="31.5">
      <c r="A318" s="32" t="s">
        <v>454</v>
      </c>
      <c r="B318" s="276" t="s">
        <v>612</v>
      </c>
      <c r="C318" s="277" t="s">
        <v>462</v>
      </c>
      <c r="D318" s="277" t="s">
        <v>233</v>
      </c>
      <c r="E318" s="248">
        <v>240</v>
      </c>
      <c r="F318" s="278">
        <f>'Приложение 8'!Q321</f>
        <v>0</v>
      </c>
      <c r="G318" s="278">
        <f>'Приложение 8'!R321</f>
        <v>2200</v>
      </c>
      <c r="H318" s="278">
        <f>'Приложение 8'!S321</f>
        <v>0</v>
      </c>
    </row>
    <row r="319" spans="1:8" ht="15.75">
      <c r="A319" s="4" t="s">
        <v>456</v>
      </c>
      <c r="B319" s="276" t="s">
        <v>612</v>
      </c>
      <c r="C319" s="277" t="s">
        <v>462</v>
      </c>
      <c r="D319" s="277" t="s">
        <v>233</v>
      </c>
      <c r="E319" s="248">
        <v>610</v>
      </c>
      <c r="F319" s="278">
        <f>'Приложение 8'!Q322</f>
        <v>2230.3999999999987</v>
      </c>
      <c r="G319" s="278">
        <f>'Приложение 8'!R322</f>
        <v>2229.7</v>
      </c>
      <c r="H319" s="278">
        <f>'Приложение 8'!S322</f>
        <v>2229.8</v>
      </c>
    </row>
    <row r="320" spans="1:8" ht="15.75" hidden="1">
      <c r="A320" s="4" t="s">
        <v>433</v>
      </c>
      <c r="B320" s="248" t="s">
        <v>239</v>
      </c>
      <c r="C320" s="282"/>
      <c r="D320" s="282"/>
      <c r="E320" s="248"/>
      <c r="F320" s="278">
        <f>F322+F321</f>
        <v>0</v>
      </c>
      <c r="G320" s="278">
        <f>G322+G321</f>
        <v>0</v>
      </c>
      <c r="H320" s="278">
        <f>H322+H321</f>
        <v>0</v>
      </c>
    </row>
    <row r="321" spans="1:8" ht="15.75" hidden="1">
      <c r="A321" s="4" t="s">
        <v>552</v>
      </c>
      <c r="B321" s="248" t="s">
        <v>239</v>
      </c>
      <c r="C321" s="277" t="s">
        <v>462</v>
      </c>
      <c r="D321" s="277" t="s">
        <v>233</v>
      </c>
      <c r="E321" s="248">
        <v>350</v>
      </c>
      <c r="F321" s="278">
        <f>'Приложение 8'!Q324</f>
        <v>0</v>
      </c>
      <c r="G321" s="278">
        <f>'Приложение 8'!R324</f>
        <v>0</v>
      </c>
      <c r="H321" s="278">
        <f>'Приложение 8'!S324</f>
        <v>0</v>
      </c>
    </row>
    <row r="322" spans="1:8" ht="15.75" hidden="1">
      <c r="A322" s="4" t="s">
        <v>456</v>
      </c>
      <c r="B322" s="248" t="s">
        <v>239</v>
      </c>
      <c r="C322" s="282" t="s">
        <v>462</v>
      </c>
      <c r="D322" s="282" t="s">
        <v>233</v>
      </c>
      <c r="E322" s="248">
        <v>610</v>
      </c>
      <c r="F322" s="278">
        <f>'Приложение 8'!Q325</f>
        <v>0</v>
      </c>
      <c r="G322" s="278">
        <f>'Приложение 8'!R325</f>
        <v>0</v>
      </c>
      <c r="H322" s="278">
        <f>'Приложение 8'!S325</f>
        <v>0</v>
      </c>
    </row>
    <row r="323" spans="1:8" ht="48.75" customHeight="1" hidden="1">
      <c r="A323" s="4" t="s">
        <v>49</v>
      </c>
      <c r="B323" s="248" t="s">
        <v>240</v>
      </c>
      <c r="C323" s="282"/>
      <c r="D323" s="282"/>
      <c r="E323" s="248"/>
      <c r="F323" s="278">
        <f>F324</f>
        <v>0</v>
      </c>
      <c r="G323" s="278">
        <f>G324</f>
        <v>0</v>
      </c>
      <c r="H323" s="278">
        <f>H324</f>
        <v>0</v>
      </c>
    </row>
    <row r="324" spans="1:8" ht="15.75" hidden="1">
      <c r="A324" s="281" t="s">
        <v>456</v>
      </c>
      <c r="B324" s="248" t="s">
        <v>240</v>
      </c>
      <c r="C324" s="282" t="s">
        <v>462</v>
      </c>
      <c r="D324" s="282" t="s">
        <v>233</v>
      </c>
      <c r="E324" s="248">
        <v>610</v>
      </c>
      <c r="F324" s="278">
        <f>'Приложение 8'!Q327</f>
        <v>0</v>
      </c>
      <c r="G324" s="278">
        <f>'Приложение 8'!R327</f>
        <v>0</v>
      </c>
      <c r="H324" s="278">
        <f>'Приложение 8'!S327</f>
        <v>0</v>
      </c>
    </row>
    <row r="325" spans="1:8" ht="70.5" customHeight="1">
      <c r="A325" s="227" t="s">
        <v>423</v>
      </c>
      <c r="B325" s="248" t="s">
        <v>241</v>
      </c>
      <c r="C325" s="282"/>
      <c r="D325" s="282"/>
      <c r="E325" s="248"/>
      <c r="F325" s="278">
        <f>F326+F328</f>
        <v>8316.8</v>
      </c>
      <c r="G325" s="278">
        <f>G326+G328</f>
        <v>7298</v>
      </c>
      <c r="H325" s="278">
        <f>H326+H328</f>
        <v>7298</v>
      </c>
    </row>
    <row r="326" spans="1:8" ht="21.75" customHeight="1">
      <c r="A326" s="227" t="s">
        <v>94</v>
      </c>
      <c r="B326" s="248" t="s">
        <v>242</v>
      </c>
      <c r="C326" s="282"/>
      <c r="D326" s="282"/>
      <c r="E326" s="248"/>
      <c r="F326" s="278">
        <f>F327</f>
        <v>6509.2</v>
      </c>
      <c r="G326" s="278">
        <f>G327</f>
        <v>5859.9</v>
      </c>
      <c r="H326" s="278">
        <f>H327</f>
        <v>5859.9</v>
      </c>
    </row>
    <row r="327" spans="1:8" ht="15.75">
      <c r="A327" s="281" t="s">
        <v>456</v>
      </c>
      <c r="B327" s="248" t="s">
        <v>242</v>
      </c>
      <c r="C327" s="282" t="s">
        <v>462</v>
      </c>
      <c r="D327" s="282" t="s">
        <v>152</v>
      </c>
      <c r="E327" s="248">
        <v>610</v>
      </c>
      <c r="F327" s="278">
        <f>'Приложение 8'!Q284</f>
        <v>6509.2</v>
      </c>
      <c r="G327" s="278">
        <f>'Приложение 8'!R284</f>
        <v>5859.9</v>
      </c>
      <c r="H327" s="278">
        <f>'Приложение 8'!S284</f>
        <v>5859.9</v>
      </c>
    </row>
    <row r="328" spans="1:8" ht="66.75" customHeight="1">
      <c r="A328" s="227" t="s">
        <v>595</v>
      </c>
      <c r="B328" s="276" t="s">
        <v>597</v>
      </c>
      <c r="C328" s="282"/>
      <c r="D328" s="282"/>
      <c r="E328" s="248"/>
      <c r="F328" s="278">
        <f>F329</f>
        <v>1807.6</v>
      </c>
      <c r="G328" s="278">
        <f>G329</f>
        <v>1438.1</v>
      </c>
      <c r="H328" s="278">
        <f>H329</f>
        <v>1438.1</v>
      </c>
    </row>
    <row r="329" spans="1:8" ht="15.75">
      <c r="A329" s="227" t="s">
        <v>456</v>
      </c>
      <c r="B329" s="276" t="s">
        <v>597</v>
      </c>
      <c r="C329" s="277" t="s">
        <v>462</v>
      </c>
      <c r="D329" s="277" t="s">
        <v>152</v>
      </c>
      <c r="E329" s="248">
        <v>610</v>
      </c>
      <c r="F329" s="278">
        <f>'Приложение 8'!Q286</f>
        <v>1807.6</v>
      </c>
      <c r="G329" s="278">
        <f>'Приложение 8'!R286</f>
        <v>1438.1</v>
      </c>
      <c r="H329" s="278">
        <f>'Приложение 8'!S286</f>
        <v>1438.1</v>
      </c>
    </row>
    <row r="330" spans="1:8" ht="47.25">
      <c r="A330" s="4" t="s">
        <v>840</v>
      </c>
      <c r="B330" s="276" t="s">
        <v>841</v>
      </c>
      <c r="C330" s="277"/>
      <c r="D330" s="277"/>
      <c r="E330" s="248"/>
      <c r="F330" s="278">
        <f aca="true" t="shared" si="18" ref="F330:H331">F331</f>
        <v>18.6</v>
      </c>
      <c r="G330" s="278">
        <f t="shared" si="18"/>
        <v>18.6</v>
      </c>
      <c r="H330" s="278">
        <f t="shared" si="18"/>
        <v>18.6</v>
      </c>
    </row>
    <row r="331" spans="1:8" ht="15.75">
      <c r="A331" s="4" t="s">
        <v>66</v>
      </c>
      <c r="B331" s="276" t="s">
        <v>842</v>
      </c>
      <c r="C331" s="277"/>
      <c r="D331" s="277"/>
      <c r="E331" s="248"/>
      <c r="F331" s="278">
        <f t="shared" si="18"/>
        <v>18.6</v>
      </c>
      <c r="G331" s="278">
        <f t="shared" si="18"/>
        <v>18.6</v>
      </c>
      <c r="H331" s="278">
        <f t="shared" si="18"/>
        <v>18.6</v>
      </c>
    </row>
    <row r="332" spans="1:8" ht="15.75">
      <c r="A332" s="4" t="s">
        <v>456</v>
      </c>
      <c r="B332" s="276" t="s">
        <v>842</v>
      </c>
      <c r="C332" s="277" t="s">
        <v>462</v>
      </c>
      <c r="D332" s="277" t="s">
        <v>233</v>
      </c>
      <c r="E332" s="248">
        <v>610</v>
      </c>
      <c r="F332" s="278">
        <f>'Приложение 8'!Q333</f>
        <v>18.6</v>
      </c>
      <c r="G332" s="278">
        <f>'Приложение 8'!R333</f>
        <v>18.6</v>
      </c>
      <c r="H332" s="278">
        <f>'Приложение 8'!S333</f>
        <v>18.6</v>
      </c>
    </row>
    <row r="333" spans="1:8" ht="31.5">
      <c r="A333" s="295" t="s">
        <v>703</v>
      </c>
      <c r="B333" s="276" t="s">
        <v>704</v>
      </c>
      <c r="C333" s="282"/>
      <c r="D333" s="282"/>
      <c r="E333" s="248"/>
      <c r="F333" s="278">
        <f aca="true" t="shared" si="19" ref="F333:H334">F334</f>
        <v>2318.7999999999997</v>
      </c>
      <c r="G333" s="278">
        <f t="shared" si="19"/>
        <v>0</v>
      </c>
      <c r="H333" s="278">
        <f t="shared" si="19"/>
        <v>0</v>
      </c>
    </row>
    <row r="334" spans="1:8" ht="69.75" customHeight="1">
      <c r="A334" s="269" t="s">
        <v>528</v>
      </c>
      <c r="B334" s="276" t="s">
        <v>614</v>
      </c>
      <c r="C334" s="282"/>
      <c r="D334" s="282"/>
      <c r="E334" s="248"/>
      <c r="F334" s="278">
        <f t="shared" si="19"/>
        <v>2318.7999999999997</v>
      </c>
      <c r="G334" s="278">
        <f t="shared" si="19"/>
        <v>0</v>
      </c>
      <c r="H334" s="278">
        <f t="shared" si="19"/>
        <v>0</v>
      </c>
    </row>
    <row r="335" spans="1:8" ht="15.75">
      <c r="A335" s="281" t="s">
        <v>456</v>
      </c>
      <c r="B335" s="276" t="s">
        <v>614</v>
      </c>
      <c r="C335" s="282" t="s">
        <v>462</v>
      </c>
      <c r="D335" s="282" t="s">
        <v>233</v>
      </c>
      <c r="E335" s="248">
        <v>610</v>
      </c>
      <c r="F335" s="278">
        <f>'Приложение 8'!Q330</f>
        <v>2318.7999999999997</v>
      </c>
      <c r="G335" s="278">
        <f>'Приложение 8'!R330</f>
        <v>0</v>
      </c>
      <c r="H335" s="278">
        <f>'Приложение 8'!S330</f>
        <v>0</v>
      </c>
    </row>
    <row r="336" spans="1:8" s="341" customFormat="1" ht="63">
      <c r="A336" s="61" t="s">
        <v>629</v>
      </c>
      <c r="B336" s="322" t="s">
        <v>281</v>
      </c>
      <c r="C336" s="339"/>
      <c r="D336" s="339"/>
      <c r="E336" s="322"/>
      <c r="F336" s="340">
        <f>F337+F344+F351</f>
        <v>255.9</v>
      </c>
      <c r="G336" s="340">
        <f>G337+G344+G351</f>
        <v>240.9</v>
      </c>
      <c r="H336" s="340">
        <f>H337+H344+H351</f>
        <v>240.9</v>
      </c>
    </row>
    <row r="337" spans="1:8" ht="31.5">
      <c r="A337" s="10" t="s">
        <v>404</v>
      </c>
      <c r="B337" s="276" t="s">
        <v>282</v>
      </c>
      <c r="C337" s="282"/>
      <c r="D337" s="282"/>
      <c r="E337" s="248"/>
      <c r="F337" s="278">
        <f>F338+F341</f>
        <v>195.9</v>
      </c>
      <c r="G337" s="278">
        <f>G338+G341</f>
        <v>195.9</v>
      </c>
      <c r="H337" s="278">
        <f>H338+H341</f>
        <v>195.9</v>
      </c>
    </row>
    <row r="338" spans="1:8" ht="47.25">
      <c r="A338" s="10" t="s">
        <v>639</v>
      </c>
      <c r="B338" s="276" t="s">
        <v>283</v>
      </c>
      <c r="C338" s="282"/>
      <c r="D338" s="282"/>
      <c r="E338" s="248"/>
      <c r="F338" s="278">
        <f aca="true" t="shared" si="20" ref="F338:H339">F339</f>
        <v>0</v>
      </c>
      <c r="G338" s="278">
        <f t="shared" si="20"/>
        <v>35</v>
      </c>
      <c r="H338" s="278">
        <f t="shared" si="20"/>
        <v>35</v>
      </c>
    </row>
    <row r="339" spans="1:8" ht="31.5">
      <c r="A339" s="10" t="s">
        <v>771</v>
      </c>
      <c r="B339" s="276" t="s">
        <v>284</v>
      </c>
      <c r="C339" s="282"/>
      <c r="D339" s="282"/>
      <c r="E339" s="248"/>
      <c r="F339" s="278">
        <f t="shared" si="20"/>
        <v>0</v>
      </c>
      <c r="G339" s="278">
        <f t="shared" si="20"/>
        <v>35</v>
      </c>
      <c r="H339" s="278">
        <f t="shared" si="20"/>
        <v>35</v>
      </c>
    </row>
    <row r="340" spans="1:8" ht="31.5">
      <c r="A340" s="4" t="s">
        <v>454</v>
      </c>
      <c r="B340" s="276" t="s">
        <v>284</v>
      </c>
      <c r="C340" s="282" t="s">
        <v>462</v>
      </c>
      <c r="D340" s="282" t="s">
        <v>162</v>
      </c>
      <c r="E340" s="248">
        <v>240</v>
      </c>
      <c r="F340" s="278">
        <f>'Приложение 8'!Q107</f>
        <v>0</v>
      </c>
      <c r="G340" s="278">
        <f>'Приложение 8'!R107</f>
        <v>35</v>
      </c>
      <c r="H340" s="278">
        <f>'Приложение 8'!S107</f>
        <v>35</v>
      </c>
    </row>
    <row r="341" spans="1:8" ht="31.5">
      <c r="A341" s="10" t="s">
        <v>638</v>
      </c>
      <c r="B341" s="276" t="s">
        <v>285</v>
      </c>
      <c r="C341" s="282"/>
      <c r="D341" s="282"/>
      <c r="E341" s="248"/>
      <c r="F341" s="278">
        <f aca="true" t="shared" si="21" ref="F341:H342">F342</f>
        <v>195.9</v>
      </c>
      <c r="G341" s="278">
        <f t="shared" si="21"/>
        <v>160.9</v>
      </c>
      <c r="H341" s="278">
        <f t="shared" si="21"/>
        <v>160.9</v>
      </c>
    </row>
    <row r="342" spans="1:8" ht="31.5">
      <c r="A342" s="10" t="s">
        <v>452</v>
      </c>
      <c r="B342" s="276" t="s">
        <v>286</v>
      </c>
      <c r="C342" s="282"/>
      <c r="D342" s="282"/>
      <c r="E342" s="248"/>
      <c r="F342" s="278">
        <f t="shared" si="21"/>
        <v>195.9</v>
      </c>
      <c r="G342" s="278">
        <f t="shared" si="21"/>
        <v>160.9</v>
      </c>
      <c r="H342" s="278">
        <f t="shared" si="21"/>
        <v>160.9</v>
      </c>
    </row>
    <row r="343" spans="1:8" ht="31.5">
      <c r="A343" s="4" t="s">
        <v>454</v>
      </c>
      <c r="B343" s="276" t="s">
        <v>286</v>
      </c>
      <c r="C343" s="282" t="s">
        <v>462</v>
      </c>
      <c r="D343" s="282" t="s">
        <v>162</v>
      </c>
      <c r="E343" s="248">
        <v>240</v>
      </c>
      <c r="F343" s="278">
        <f>'Приложение 8'!Q110</f>
        <v>195.9</v>
      </c>
      <c r="G343" s="278">
        <f>'Приложение 8'!R110</f>
        <v>160.9</v>
      </c>
      <c r="H343" s="278">
        <f>'Приложение 8'!S110</f>
        <v>160.9</v>
      </c>
    </row>
    <row r="344" spans="1:8" ht="47.25">
      <c r="A344" s="10" t="s">
        <v>640</v>
      </c>
      <c r="B344" s="276" t="s">
        <v>287</v>
      </c>
      <c r="C344" s="282"/>
      <c r="D344" s="282"/>
      <c r="E344" s="248"/>
      <c r="F344" s="278">
        <f>F345+F348</f>
        <v>50</v>
      </c>
      <c r="G344" s="278">
        <f>G345+G348</f>
        <v>35</v>
      </c>
      <c r="H344" s="278">
        <f>H345+H348</f>
        <v>35</v>
      </c>
    </row>
    <row r="345" spans="1:8" ht="47.25">
      <c r="A345" s="10" t="s">
        <v>641</v>
      </c>
      <c r="B345" s="276" t="s">
        <v>288</v>
      </c>
      <c r="C345" s="282"/>
      <c r="D345" s="282"/>
      <c r="E345" s="248"/>
      <c r="F345" s="278">
        <f aca="true" t="shared" si="22" ref="F345:H346">F346</f>
        <v>50</v>
      </c>
      <c r="G345" s="278">
        <f t="shared" si="22"/>
        <v>20</v>
      </c>
      <c r="H345" s="278">
        <f t="shared" si="22"/>
        <v>20</v>
      </c>
    </row>
    <row r="346" spans="1:8" ht="110.25">
      <c r="A346" s="10" t="s">
        <v>642</v>
      </c>
      <c r="B346" s="276" t="s">
        <v>289</v>
      </c>
      <c r="C346" s="282"/>
      <c r="D346" s="282"/>
      <c r="E346" s="248"/>
      <c r="F346" s="278">
        <f t="shared" si="22"/>
        <v>50</v>
      </c>
      <c r="G346" s="278">
        <f t="shared" si="22"/>
        <v>20</v>
      </c>
      <c r="H346" s="278">
        <f t="shared" si="22"/>
        <v>20</v>
      </c>
    </row>
    <row r="347" spans="1:8" ht="31.5">
      <c r="A347" s="10" t="s">
        <v>454</v>
      </c>
      <c r="B347" s="276" t="s">
        <v>289</v>
      </c>
      <c r="C347" s="282" t="s">
        <v>462</v>
      </c>
      <c r="D347" s="282" t="s">
        <v>143</v>
      </c>
      <c r="E347" s="248">
        <v>240</v>
      </c>
      <c r="F347" s="278">
        <f>'Приложение 8'!Q55</f>
        <v>50</v>
      </c>
      <c r="G347" s="278">
        <f>'Приложение 8'!R55</f>
        <v>20</v>
      </c>
      <c r="H347" s="278">
        <f>'Приложение 8'!S55</f>
        <v>20</v>
      </c>
    </row>
    <row r="348" spans="1:8" ht="78.75">
      <c r="A348" s="10" t="s">
        <v>643</v>
      </c>
      <c r="B348" s="276" t="s">
        <v>290</v>
      </c>
      <c r="C348" s="282"/>
      <c r="D348" s="282"/>
      <c r="E348" s="248"/>
      <c r="F348" s="278">
        <f aca="true" t="shared" si="23" ref="F348:H349">F349</f>
        <v>0</v>
      </c>
      <c r="G348" s="278">
        <f t="shared" si="23"/>
        <v>15</v>
      </c>
      <c r="H348" s="278">
        <f t="shared" si="23"/>
        <v>15</v>
      </c>
    </row>
    <row r="349" spans="1:8" ht="110.25">
      <c r="A349" s="10" t="s">
        <v>642</v>
      </c>
      <c r="B349" s="276" t="s">
        <v>291</v>
      </c>
      <c r="C349" s="282"/>
      <c r="D349" s="282"/>
      <c r="E349" s="248"/>
      <c r="F349" s="278">
        <f t="shared" si="23"/>
        <v>0</v>
      </c>
      <c r="G349" s="278">
        <f t="shared" si="23"/>
        <v>15</v>
      </c>
      <c r="H349" s="278">
        <f t="shared" si="23"/>
        <v>15</v>
      </c>
    </row>
    <row r="350" spans="1:8" ht="31.5">
      <c r="A350" s="10" t="s">
        <v>454</v>
      </c>
      <c r="B350" s="276" t="s">
        <v>291</v>
      </c>
      <c r="C350" s="282" t="s">
        <v>462</v>
      </c>
      <c r="D350" s="282" t="s">
        <v>143</v>
      </c>
      <c r="E350" s="248">
        <v>240</v>
      </c>
      <c r="F350" s="278">
        <f>'Приложение 8'!Q58</f>
        <v>0</v>
      </c>
      <c r="G350" s="278">
        <f>'Приложение 8'!R58</f>
        <v>15</v>
      </c>
      <c r="H350" s="278">
        <f>'Приложение 8'!S58</f>
        <v>15</v>
      </c>
    </row>
    <row r="351" spans="1:8" ht="63">
      <c r="A351" s="32" t="s">
        <v>637</v>
      </c>
      <c r="B351" s="276" t="s">
        <v>292</v>
      </c>
      <c r="C351" s="282"/>
      <c r="D351" s="282"/>
      <c r="E351" s="248"/>
      <c r="F351" s="278">
        <f>F352</f>
        <v>10</v>
      </c>
      <c r="G351" s="278">
        <f aca="true" t="shared" si="24" ref="G351:H353">G352</f>
        <v>10</v>
      </c>
      <c r="H351" s="278">
        <f t="shared" si="24"/>
        <v>10</v>
      </c>
    </row>
    <row r="352" spans="1:8" ht="63">
      <c r="A352" s="10" t="s">
        <v>636</v>
      </c>
      <c r="B352" s="276" t="s">
        <v>293</v>
      </c>
      <c r="C352" s="282"/>
      <c r="D352" s="282"/>
      <c r="E352" s="248"/>
      <c r="F352" s="278">
        <f>F353</f>
        <v>10</v>
      </c>
      <c r="G352" s="278">
        <f t="shared" si="24"/>
        <v>10</v>
      </c>
      <c r="H352" s="278">
        <f t="shared" si="24"/>
        <v>10</v>
      </c>
    </row>
    <row r="353" spans="1:8" ht="31.5">
      <c r="A353" s="10" t="s">
        <v>635</v>
      </c>
      <c r="B353" s="276" t="s">
        <v>294</v>
      </c>
      <c r="C353" s="282"/>
      <c r="D353" s="282"/>
      <c r="E353" s="248"/>
      <c r="F353" s="278">
        <f>F354</f>
        <v>10</v>
      </c>
      <c r="G353" s="278">
        <f t="shared" si="24"/>
        <v>10</v>
      </c>
      <c r="H353" s="278">
        <f t="shared" si="24"/>
        <v>10</v>
      </c>
    </row>
    <row r="354" spans="1:8" ht="31.5">
      <c r="A354" s="4" t="s">
        <v>454</v>
      </c>
      <c r="B354" s="276" t="s">
        <v>294</v>
      </c>
      <c r="C354" s="282" t="s">
        <v>462</v>
      </c>
      <c r="D354" s="282" t="s">
        <v>162</v>
      </c>
      <c r="E354" s="248">
        <v>240</v>
      </c>
      <c r="F354" s="278">
        <f>'Приложение 8'!Q114</f>
        <v>10</v>
      </c>
      <c r="G354" s="278">
        <f>'Приложение 8'!R114</f>
        <v>10</v>
      </c>
      <c r="H354" s="278">
        <f>'Приложение 8'!S114</f>
        <v>10</v>
      </c>
    </row>
    <row r="355" spans="1:8" s="341" customFormat="1" ht="40.5" customHeight="1">
      <c r="A355" s="338" t="s">
        <v>425</v>
      </c>
      <c r="B355" s="322" t="s">
        <v>205</v>
      </c>
      <c r="C355" s="339"/>
      <c r="D355" s="339"/>
      <c r="E355" s="322"/>
      <c r="F355" s="340">
        <f>F356+F364+F367+F370</f>
        <v>1269.3</v>
      </c>
      <c r="G355" s="340">
        <f>G356+G364+G367+G370</f>
        <v>1218.8</v>
      </c>
      <c r="H355" s="340">
        <f>H356+H364+H367+H370</f>
        <v>1189.1</v>
      </c>
    </row>
    <row r="356" spans="1:8" ht="66.75" customHeight="1">
      <c r="A356" s="281" t="s">
        <v>427</v>
      </c>
      <c r="B356" s="248" t="s">
        <v>206</v>
      </c>
      <c r="C356" s="282"/>
      <c r="D356" s="282"/>
      <c r="E356" s="248"/>
      <c r="F356" s="278">
        <f>F357+F362+F360</f>
        <v>209.8</v>
      </c>
      <c r="G356" s="278">
        <f>G357+G362+G360</f>
        <v>159.3</v>
      </c>
      <c r="H356" s="278">
        <f>H357+H362+H360</f>
        <v>159.3</v>
      </c>
    </row>
    <row r="357" spans="1:8" ht="15.75">
      <c r="A357" s="281" t="s">
        <v>22</v>
      </c>
      <c r="B357" s="248" t="s">
        <v>207</v>
      </c>
      <c r="C357" s="282"/>
      <c r="D357" s="282"/>
      <c r="E357" s="248"/>
      <c r="F357" s="278">
        <f>F359+F358</f>
        <v>169.8</v>
      </c>
      <c r="G357" s="278">
        <f>G359</f>
        <v>159.3</v>
      </c>
      <c r="H357" s="278">
        <f>H359</f>
        <v>159.3</v>
      </c>
    </row>
    <row r="358" spans="1:8" ht="15.75">
      <c r="A358" s="281" t="s">
        <v>456</v>
      </c>
      <c r="B358" s="248" t="s">
        <v>207</v>
      </c>
      <c r="C358" s="277" t="s">
        <v>462</v>
      </c>
      <c r="D358" s="277" t="s">
        <v>155</v>
      </c>
      <c r="E358" s="248">
        <v>610</v>
      </c>
      <c r="F358" s="278">
        <f>'Приложение 8'!Q266</f>
        <v>10.5</v>
      </c>
      <c r="G358" s="278">
        <f>'Приложение 8'!R266</f>
        <v>0</v>
      </c>
      <c r="H358" s="278">
        <f>'Приложение 8'!S266</f>
        <v>0</v>
      </c>
    </row>
    <row r="359" spans="1:8" ht="15.75">
      <c r="A359" s="281" t="s">
        <v>456</v>
      </c>
      <c r="B359" s="248" t="s">
        <v>207</v>
      </c>
      <c r="C359" s="282" t="s">
        <v>462</v>
      </c>
      <c r="D359" s="282" t="s">
        <v>208</v>
      </c>
      <c r="E359" s="248">
        <v>610</v>
      </c>
      <c r="F359" s="278">
        <f>'Приложение 8'!Q291</f>
        <v>159.3</v>
      </c>
      <c r="G359" s="278">
        <f>'Приложение 8'!R291</f>
        <v>159.3</v>
      </c>
      <c r="H359" s="278">
        <f>'Приложение 8'!S291</f>
        <v>159.3</v>
      </c>
    </row>
    <row r="360" spans="1:8" ht="21" customHeight="1" hidden="1">
      <c r="A360" s="227" t="s">
        <v>775</v>
      </c>
      <c r="B360" s="276" t="s">
        <v>776</v>
      </c>
      <c r="C360" s="282"/>
      <c r="D360" s="282"/>
      <c r="E360" s="248"/>
      <c r="F360" s="278">
        <f>F361</f>
        <v>0</v>
      </c>
      <c r="G360" s="278">
        <f>G361</f>
        <v>0</v>
      </c>
      <c r="H360" s="278">
        <f>H361</f>
        <v>0</v>
      </c>
    </row>
    <row r="361" spans="1:8" ht="33.75" customHeight="1" hidden="1">
      <c r="A361" s="112" t="s">
        <v>454</v>
      </c>
      <c r="B361" s="276" t="s">
        <v>776</v>
      </c>
      <c r="C361" s="277" t="s">
        <v>462</v>
      </c>
      <c r="D361" s="277" t="s">
        <v>208</v>
      </c>
      <c r="E361" s="248">
        <v>240</v>
      </c>
      <c r="F361" s="278">
        <f>'Приложение 8'!Q293</f>
        <v>0</v>
      </c>
      <c r="G361" s="278">
        <f>'Приложение 8'!R293</f>
        <v>0</v>
      </c>
      <c r="H361" s="278">
        <f>'Приложение 8'!S293</f>
        <v>0</v>
      </c>
    </row>
    <row r="362" spans="1:8" ht="48" customHeight="1">
      <c r="A362" s="281" t="s">
        <v>426</v>
      </c>
      <c r="B362" s="248" t="s">
        <v>209</v>
      </c>
      <c r="C362" s="282"/>
      <c r="D362" s="282"/>
      <c r="E362" s="248"/>
      <c r="F362" s="278">
        <f>F363</f>
        <v>40</v>
      </c>
      <c r="G362" s="278">
        <f>G363</f>
        <v>0</v>
      </c>
      <c r="H362" s="278">
        <f>H363</f>
        <v>0</v>
      </c>
    </row>
    <row r="363" spans="1:8" ht="15.75">
      <c r="A363" s="281" t="s">
        <v>456</v>
      </c>
      <c r="B363" s="248" t="s">
        <v>209</v>
      </c>
      <c r="C363" s="282" t="s">
        <v>462</v>
      </c>
      <c r="D363" s="282" t="s">
        <v>208</v>
      </c>
      <c r="E363" s="248">
        <v>610</v>
      </c>
      <c r="F363" s="278">
        <f>'Приложение 8'!Q295</f>
        <v>40</v>
      </c>
      <c r="G363" s="278">
        <f>'Приложение 8'!R295</f>
        <v>0</v>
      </c>
      <c r="H363" s="278">
        <f>'Приложение 8'!S295</f>
        <v>0</v>
      </c>
    </row>
    <row r="364" spans="1:8" ht="59.25" customHeight="1">
      <c r="A364" s="281" t="s">
        <v>428</v>
      </c>
      <c r="B364" s="248" t="s">
        <v>210</v>
      </c>
      <c r="C364" s="282"/>
      <c r="D364" s="282"/>
      <c r="E364" s="248"/>
      <c r="F364" s="278">
        <f aca="true" t="shared" si="25" ref="F364:H365">F365</f>
        <v>60</v>
      </c>
      <c r="G364" s="278">
        <f t="shared" si="25"/>
        <v>60</v>
      </c>
      <c r="H364" s="278">
        <f t="shared" si="25"/>
        <v>60</v>
      </c>
    </row>
    <row r="365" spans="1:8" ht="15.75">
      <c r="A365" s="281" t="s">
        <v>22</v>
      </c>
      <c r="B365" s="248" t="s">
        <v>211</v>
      </c>
      <c r="C365" s="282"/>
      <c r="D365" s="282"/>
      <c r="E365" s="248"/>
      <c r="F365" s="278">
        <f t="shared" si="25"/>
        <v>60</v>
      </c>
      <c r="G365" s="278">
        <f t="shared" si="25"/>
        <v>60</v>
      </c>
      <c r="H365" s="278">
        <f t="shared" si="25"/>
        <v>60</v>
      </c>
    </row>
    <row r="366" spans="1:8" ht="15.75">
      <c r="A366" s="281" t="s">
        <v>456</v>
      </c>
      <c r="B366" s="248" t="s">
        <v>211</v>
      </c>
      <c r="C366" s="282" t="s">
        <v>462</v>
      </c>
      <c r="D366" s="282" t="s">
        <v>208</v>
      </c>
      <c r="E366" s="248">
        <v>610</v>
      </c>
      <c r="F366" s="278">
        <f>'Приложение 8'!Q298</f>
        <v>60</v>
      </c>
      <c r="G366" s="278">
        <f>'Приложение 8'!R298</f>
        <v>60</v>
      </c>
      <c r="H366" s="278">
        <f>'Приложение 8'!S298</f>
        <v>60</v>
      </c>
    </row>
    <row r="367" spans="1:8" ht="47.25" customHeight="1">
      <c r="A367" s="281" t="s">
        <v>429</v>
      </c>
      <c r="B367" s="248" t="s">
        <v>212</v>
      </c>
      <c r="C367" s="282"/>
      <c r="D367" s="282"/>
      <c r="E367" s="248"/>
      <c r="F367" s="278">
        <f aca="true" t="shared" si="26" ref="F367:H368">F368</f>
        <v>100</v>
      </c>
      <c r="G367" s="278">
        <f t="shared" si="26"/>
        <v>100</v>
      </c>
      <c r="H367" s="278">
        <f t="shared" si="26"/>
        <v>100</v>
      </c>
    </row>
    <row r="368" spans="1:8" ht="15.75">
      <c r="A368" s="281" t="s">
        <v>22</v>
      </c>
      <c r="B368" s="248" t="s">
        <v>213</v>
      </c>
      <c r="C368" s="282"/>
      <c r="D368" s="282"/>
      <c r="E368" s="248"/>
      <c r="F368" s="278">
        <f t="shared" si="26"/>
        <v>100</v>
      </c>
      <c r="G368" s="278">
        <f t="shared" si="26"/>
        <v>100</v>
      </c>
      <c r="H368" s="278">
        <f t="shared" si="26"/>
        <v>100</v>
      </c>
    </row>
    <row r="369" spans="1:8" ht="15.75">
      <c r="A369" s="281" t="s">
        <v>456</v>
      </c>
      <c r="B369" s="248" t="s">
        <v>213</v>
      </c>
      <c r="C369" s="282" t="s">
        <v>462</v>
      </c>
      <c r="D369" s="282" t="s">
        <v>208</v>
      </c>
      <c r="E369" s="248">
        <v>610</v>
      </c>
      <c r="F369" s="278">
        <f>'Приложение 8'!Q301</f>
        <v>100</v>
      </c>
      <c r="G369" s="278">
        <f>'Приложение 8'!R301</f>
        <v>100</v>
      </c>
      <c r="H369" s="278">
        <f>'Приложение 8'!S301</f>
        <v>100</v>
      </c>
    </row>
    <row r="370" spans="1:8" ht="31.5">
      <c r="A370" s="281" t="s">
        <v>434</v>
      </c>
      <c r="B370" s="248" t="s">
        <v>214</v>
      </c>
      <c r="C370" s="282"/>
      <c r="D370" s="282"/>
      <c r="E370" s="248"/>
      <c r="F370" s="278">
        <f aca="true" t="shared" si="27" ref="F370:H371">F371</f>
        <v>899.5</v>
      </c>
      <c r="G370" s="278">
        <f t="shared" si="27"/>
        <v>899.5</v>
      </c>
      <c r="H370" s="278">
        <f t="shared" si="27"/>
        <v>869.8</v>
      </c>
    </row>
    <row r="371" spans="1:8" ht="31.5">
      <c r="A371" s="281" t="s">
        <v>435</v>
      </c>
      <c r="B371" s="248" t="s">
        <v>215</v>
      </c>
      <c r="C371" s="282"/>
      <c r="D371" s="282"/>
      <c r="E371" s="248"/>
      <c r="F371" s="278">
        <f t="shared" si="27"/>
        <v>899.5</v>
      </c>
      <c r="G371" s="278">
        <f t="shared" si="27"/>
        <v>899.5</v>
      </c>
      <c r="H371" s="278">
        <f t="shared" si="27"/>
        <v>869.8</v>
      </c>
    </row>
    <row r="372" spans="1:8" ht="28.5" customHeight="1">
      <c r="A372" s="281" t="s">
        <v>459</v>
      </c>
      <c r="B372" s="248" t="s">
        <v>215</v>
      </c>
      <c r="C372" s="282" t="s">
        <v>462</v>
      </c>
      <c r="D372" s="282" t="s">
        <v>145</v>
      </c>
      <c r="E372" s="248">
        <v>320</v>
      </c>
      <c r="F372" s="278">
        <f>'Приложение 8'!Q354</f>
        <v>899.5</v>
      </c>
      <c r="G372" s="278">
        <f>'Приложение 8'!R354</f>
        <v>899.5</v>
      </c>
      <c r="H372" s="278">
        <f>'Приложение 8'!S354</f>
        <v>869.8</v>
      </c>
    </row>
    <row r="373" spans="1:8" s="341" customFormat="1" ht="66" customHeight="1">
      <c r="A373" s="310" t="s">
        <v>630</v>
      </c>
      <c r="B373" s="322" t="s">
        <v>295</v>
      </c>
      <c r="C373" s="339"/>
      <c r="D373" s="339"/>
      <c r="E373" s="322"/>
      <c r="F373" s="340">
        <f>F374+F377</f>
        <v>130</v>
      </c>
      <c r="G373" s="340">
        <f>G374+G377</f>
        <v>130</v>
      </c>
      <c r="H373" s="340">
        <f>H374+H377</f>
        <v>130</v>
      </c>
    </row>
    <row r="374" spans="1:8" ht="28.5" customHeight="1">
      <c r="A374" s="32" t="s">
        <v>772</v>
      </c>
      <c r="B374" s="248" t="s">
        <v>296</v>
      </c>
      <c r="C374" s="282"/>
      <c r="D374" s="282"/>
      <c r="E374" s="248"/>
      <c r="F374" s="278">
        <f aca="true" t="shared" si="28" ref="F374:H375">F375</f>
        <v>60</v>
      </c>
      <c r="G374" s="278">
        <f t="shared" si="28"/>
        <v>60</v>
      </c>
      <c r="H374" s="278">
        <f t="shared" si="28"/>
        <v>60</v>
      </c>
    </row>
    <row r="375" spans="1:8" ht="28.5" customHeight="1">
      <c r="A375" s="32" t="s">
        <v>631</v>
      </c>
      <c r="B375" s="248" t="s">
        <v>297</v>
      </c>
      <c r="C375" s="282"/>
      <c r="D375" s="282"/>
      <c r="E375" s="248"/>
      <c r="F375" s="278">
        <f t="shared" si="28"/>
        <v>60</v>
      </c>
      <c r="G375" s="278">
        <f t="shared" si="28"/>
        <v>60</v>
      </c>
      <c r="H375" s="278">
        <f t="shared" si="28"/>
        <v>60</v>
      </c>
    </row>
    <row r="376" spans="1:8" ht="28.5" customHeight="1">
      <c r="A376" s="32" t="s">
        <v>454</v>
      </c>
      <c r="B376" s="248" t="s">
        <v>297</v>
      </c>
      <c r="C376" s="282" t="s">
        <v>462</v>
      </c>
      <c r="D376" s="282" t="s">
        <v>162</v>
      </c>
      <c r="E376" s="248">
        <v>240</v>
      </c>
      <c r="F376" s="278">
        <f>'Приложение 8'!Q118</f>
        <v>60</v>
      </c>
      <c r="G376" s="278">
        <f>'Приложение 8'!R118</f>
        <v>60</v>
      </c>
      <c r="H376" s="278">
        <f>'Приложение 8'!S118</f>
        <v>60</v>
      </c>
    </row>
    <row r="377" spans="1:8" ht="28.5" customHeight="1">
      <c r="A377" s="4" t="s">
        <v>633</v>
      </c>
      <c r="B377" s="248" t="s">
        <v>298</v>
      </c>
      <c r="C377" s="282"/>
      <c r="D377" s="282"/>
      <c r="E377" s="248"/>
      <c r="F377" s="278">
        <f aca="true" t="shared" si="29" ref="F377:H378">F378</f>
        <v>70</v>
      </c>
      <c r="G377" s="278">
        <f t="shared" si="29"/>
        <v>70</v>
      </c>
      <c r="H377" s="278">
        <f t="shared" si="29"/>
        <v>70</v>
      </c>
    </row>
    <row r="378" spans="1:8" ht="28.5" customHeight="1">
      <c r="A378" s="4" t="s">
        <v>634</v>
      </c>
      <c r="B378" s="248" t="s">
        <v>299</v>
      </c>
      <c r="C378" s="282"/>
      <c r="D378" s="282"/>
      <c r="E378" s="248"/>
      <c r="F378" s="278">
        <f t="shared" si="29"/>
        <v>70</v>
      </c>
      <c r="G378" s="278">
        <f t="shared" si="29"/>
        <v>70</v>
      </c>
      <c r="H378" s="278">
        <f t="shared" si="29"/>
        <v>70</v>
      </c>
    </row>
    <row r="379" spans="1:8" ht="28.5" customHeight="1">
      <c r="A379" s="4" t="s">
        <v>454</v>
      </c>
      <c r="B379" s="248" t="s">
        <v>299</v>
      </c>
      <c r="C379" s="282" t="s">
        <v>463</v>
      </c>
      <c r="D379" s="282" t="s">
        <v>149</v>
      </c>
      <c r="E379" s="248">
        <v>240</v>
      </c>
      <c r="F379" s="278">
        <f>'Приложение 8'!Q669</f>
        <v>70</v>
      </c>
      <c r="G379" s="278">
        <f>'Приложение 8'!R669</f>
        <v>70</v>
      </c>
      <c r="H379" s="278">
        <f>'Приложение 8'!S669</f>
        <v>70</v>
      </c>
    </row>
    <row r="380" spans="1:8" s="341" customFormat="1" ht="49.5" customHeight="1">
      <c r="A380" s="120" t="s">
        <v>628</v>
      </c>
      <c r="B380" s="322" t="s">
        <v>300</v>
      </c>
      <c r="C380" s="339"/>
      <c r="D380" s="339"/>
      <c r="E380" s="322"/>
      <c r="F380" s="340">
        <f>F381+F387</f>
        <v>519.7</v>
      </c>
      <c r="G380" s="340">
        <f>G381+G387</f>
        <v>493.6</v>
      </c>
      <c r="H380" s="340">
        <f>H381+H387</f>
        <v>493.6</v>
      </c>
    </row>
    <row r="381" spans="1:8" ht="28.5" customHeight="1">
      <c r="A381" s="17" t="s">
        <v>577</v>
      </c>
      <c r="B381" s="248" t="s">
        <v>301</v>
      </c>
      <c r="C381" s="282"/>
      <c r="D381" s="282"/>
      <c r="E381" s="248"/>
      <c r="F381" s="278">
        <f>F382+F385</f>
        <v>441</v>
      </c>
      <c r="G381" s="278">
        <f>G382+G385</f>
        <v>413.6</v>
      </c>
      <c r="H381" s="278">
        <f>H382+H385</f>
        <v>413.6</v>
      </c>
    </row>
    <row r="382" spans="1:8" ht="28.5" customHeight="1">
      <c r="A382" s="17" t="s">
        <v>19</v>
      </c>
      <c r="B382" s="248" t="s">
        <v>302</v>
      </c>
      <c r="C382" s="282"/>
      <c r="D382" s="282"/>
      <c r="E382" s="248"/>
      <c r="F382" s="278">
        <f>F383+F384</f>
        <v>30</v>
      </c>
      <c r="G382" s="278">
        <f>G383+G384</f>
        <v>30</v>
      </c>
      <c r="H382" s="278">
        <f>H383+H384</f>
        <v>30</v>
      </c>
    </row>
    <row r="383" spans="1:8" ht="28.5" customHeight="1">
      <c r="A383" s="17" t="s">
        <v>454</v>
      </c>
      <c r="B383" s="248" t="s">
        <v>302</v>
      </c>
      <c r="C383" s="282" t="s">
        <v>462</v>
      </c>
      <c r="D383" s="282" t="s">
        <v>153</v>
      </c>
      <c r="E383" s="248">
        <v>240</v>
      </c>
      <c r="F383" s="278">
        <f>'Приложение 8'!Q192</f>
        <v>10</v>
      </c>
      <c r="G383" s="278">
        <f>'Приложение 8'!R192</f>
        <v>10</v>
      </c>
      <c r="H383" s="278">
        <f>'Приложение 8'!S192</f>
        <v>10</v>
      </c>
    </row>
    <row r="384" spans="1:8" ht="28.5" customHeight="1">
      <c r="A384" s="4" t="s">
        <v>567</v>
      </c>
      <c r="B384" s="248" t="s">
        <v>302</v>
      </c>
      <c r="C384" s="282" t="s">
        <v>462</v>
      </c>
      <c r="D384" s="282" t="s">
        <v>153</v>
      </c>
      <c r="E384" s="248">
        <v>810</v>
      </c>
      <c r="F384" s="278">
        <f>'Приложение 8'!Q193</f>
        <v>20</v>
      </c>
      <c r="G384" s="278">
        <f>'Приложение 8'!R193</f>
        <v>20</v>
      </c>
      <c r="H384" s="278">
        <f>'Приложение 8'!S193</f>
        <v>20</v>
      </c>
    </row>
    <row r="385" spans="1:8" ht="28.5" customHeight="1">
      <c r="A385" s="4" t="s">
        <v>566</v>
      </c>
      <c r="B385" s="248" t="s">
        <v>303</v>
      </c>
      <c r="C385" s="282"/>
      <c r="D385" s="282"/>
      <c r="E385" s="248"/>
      <c r="F385" s="278">
        <f>F386</f>
        <v>411</v>
      </c>
      <c r="G385" s="278">
        <f>G386</f>
        <v>383.6</v>
      </c>
      <c r="H385" s="278">
        <f>H386</f>
        <v>383.6</v>
      </c>
    </row>
    <row r="386" spans="1:8" ht="28.5" customHeight="1">
      <c r="A386" s="4" t="s">
        <v>567</v>
      </c>
      <c r="B386" s="248" t="s">
        <v>303</v>
      </c>
      <c r="C386" s="282" t="s">
        <v>462</v>
      </c>
      <c r="D386" s="282" t="s">
        <v>153</v>
      </c>
      <c r="E386" s="248">
        <v>810</v>
      </c>
      <c r="F386" s="278">
        <f>'Приложение 8'!Q195</f>
        <v>411</v>
      </c>
      <c r="G386" s="278">
        <f>'Приложение 8'!R195</f>
        <v>383.6</v>
      </c>
      <c r="H386" s="278">
        <f>'Приложение 8'!S195</f>
        <v>383.6</v>
      </c>
    </row>
    <row r="387" spans="1:8" ht="36.75" customHeight="1">
      <c r="A387" s="4" t="s">
        <v>578</v>
      </c>
      <c r="B387" s="248" t="s">
        <v>304</v>
      </c>
      <c r="C387" s="282"/>
      <c r="D387" s="282"/>
      <c r="E387" s="248"/>
      <c r="F387" s="278">
        <f aca="true" t="shared" si="30" ref="F387:H388">F388</f>
        <v>78.69999999999999</v>
      </c>
      <c r="G387" s="278">
        <f t="shared" si="30"/>
        <v>80</v>
      </c>
      <c r="H387" s="278">
        <f t="shared" si="30"/>
        <v>80</v>
      </c>
    </row>
    <row r="388" spans="1:8" ht="39.75" customHeight="1">
      <c r="A388" s="4" t="s">
        <v>21</v>
      </c>
      <c r="B388" s="248" t="s">
        <v>305</v>
      </c>
      <c r="C388" s="282"/>
      <c r="D388" s="282"/>
      <c r="E388" s="248"/>
      <c r="F388" s="278">
        <f t="shared" si="30"/>
        <v>78.69999999999999</v>
      </c>
      <c r="G388" s="278">
        <f t="shared" si="30"/>
        <v>80</v>
      </c>
      <c r="H388" s="278">
        <f t="shared" si="30"/>
        <v>80</v>
      </c>
    </row>
    <row r="389" spans="1:8" ht="28.5" customHeight="1">
      <c r="A389" s="4" t="s">
        <v>454</v>
      </c>
      <c r="B389" s="248" t="s">
        <v>305</v>
      </c>
      <c r="C389" s="282" t="s">
        <v>462</v>
      </c>
      <c r="D389" s="282" t="s">
        <v>153</v>
      </c>
      <c r="E389" s="248">
        <v>240</v>
      </c>
      <c r="F389" s="278">
        <f>'Приложение 8'!Q198</f>
        <v>78.69999999999999</v>
      </c>
      <c r="G389" s="278">
        <f>'Приложение 8'!R198</f>
        <v>80</v>
      </c>
      <c r="H389" s="278">
        <f>'Приложение 8'!S198</f>
        <v>80</v>
      </c>
    </row>
    <row r="390" spans="1:8" s="341" customFormat="1" ht="63.75" customHeight="1">
      <c r="A390" s="338" t="s">
        <v>531</v>
      </c>
      <c r="B390" s="322" t="s">
        <v>532</v>
      </c>
      <c r="C390" s="339"/>
      <c r="D390" s="339"/>
      <c r="E390" s="322"/>
      <c r="F390" s="340">
        <f>F391</f>
        <v>250.8</v>
      </c>
      <c r="G390" s="340">
        <f aca="true" t="shared" si="31" ref="G390:H392">G391</f>
        <v>203.4</v>
      </c>
      <c r="H390" s="340">
        <f t="shared" si="31"/>
        <v>0</v>
      </c>
    </row>
    <row r="391" spans="1:8" ht="63.75" customHeight="1">
      <c r="A391" s="295" t="s">
        <v>701</v>
      </c>
      <c r="B391" s="276" t="s">
        <v>702</v>
      </c>
      <c r="C391" s="277"/>
      <c r="D391" s="277"/>
      <c r="E391" s="276"/>
      <c r="F391" s="343">
        <f>F392</f>
        <v>250.8</v>
      </c>
      <c r="G391" s="343">
        <f t="shared" si="31"/>
        <v>203.4</v>
      </c>
      <c r="H391" s="343">
        <f t="shared" si="31"/>
        <v>0</v>
      </c>
    </row>
    <row r="392" spans="1:8" ht="25.5" customHeight="1">
      <c r="A392" s="281" t="s">
        <v>530</v>
      </c>
      <c r="B392" s="248" t="s">
        <v>216</v>
      </c>
      <c r="C392" s="282"/>
      <c r="D392" s="282"/>
      <c r="E392" s="248"/>
      <c r="F392" s="278">
        <f>F393</f>
        <v>250.8</v>
      </c>
      <c r="G392" s="278">
        <f t="shared" si="31"/>
        <v>203.4</v>
      </c>
      <c r="H392" s="278">
        <f t="shared" si="31"/>
        <v>0</v>
      </c>
    </row>
    <row r="393" spans="1:8" ht="36.75" customHeight="1">
      <c r="A393" s="281" t="s">
        <v>454</v>
      </c>
      <c r="B393" s="248" t="s">
        <v>216</v>
      </c>
      <c r="C393" s="282" t="s">
        <v>462</v>
      </c>
      <c r="D393" s="282" t="s">
        <v>217</v>
      </c>
      <c r="E393" s="248">
        <v>240</v>
      </c>
      <c r="F393" s="278">
        <f>'Приложение 8'!Q234</f>
        <v>250.8</v>
      </c>
      <c r="G393" s="278">
        <f>'Приложение 8'!R234</f>
        <v>203.4</v>
      </c>
      <c r="H393" s="278">
        <f>'Приложение 8'!S234</f>
        <v>0</v>
      </c>
    </row>
    <row r="394" spans="1:8" s="341" customFormat="1" ht="68.25" customHeight="1">
      <c r="A394" s="4" t="s">
        <v>522</v>
      </c>
      <c r="B394" s="322" t="s">
        <v>218</v>
      </c>
      <c r="C394" s="339"/>
      <c r="D394" s="339"/>
      <c r="E394" s="322"/>
      <c r="F394" s="340">
        <v>0</v>
      </c>
      <c r="G394" s="340">
        <f>G395+G398+G401</f>
        <v>14674.4</v>
      </c>
      <c r="H394" s="340">
        <f>H395+H398+H401</f>
        <v>15332.4</v>
      </c>
    </row>
    <row r="395" spans="1:8" ht="31.5">
      <c r="A395" s="10" t="s">
        <v>411</v>
      </c>
      <c r="B395" s="276" t="s">
        <v>219</v>
      </c>
      <c r="C395" s="282"/>
      <c r="D395" s="282"/>
      <c r="E395" s="248"/>
      <c r="F395" s="278">
        <f>F396</f>
        <v>0</v>
      </c>
      <c r="G395" s="278">
        <f>G396</f>
        <v>3241.5</v>
      </c>
      <c r="H395" s="278">
        <f>H396</f>
        <v>3241.5</v>
      </c>
    </row>
    <row r="396" spans="1:8" ht="47.25">
      <c r="A396" s="10" t="s">
        <v>469</v>
      </c>
      <c r="B396" s="276" t="s">
        <v>220</v>
      </c>
      <c r="C396" s="282"/>
      <c r="D396" s="282"/>
      <c r="E396" s="248"/>
      <c r="F396" s="278">
        <f>SUM(F397:F397)</f>
        <v>0</v>
      </c>
      <c r="G396" s="278">
        <f>G397</f>
        <v>3241.5</v>
      </c>
      <c r="H396" s="278">
        <f>H397</f>
        <v>3241.5</v>
      </c>
    </row>
    <row r="397" spans="1:8" ht="31.5">
      <c r="A397" s="29" t="s">
        <v>454</v>
      </c>
      <c r="B397" s="276" t="s">
        <v>220</v>
      </c>
      <c r="C397" s="282" t="s">
        <v>462</v>
      </c>
      <c r="D397" s="282" t="s">
        <v>146</v>
      </c>
      <c r="E397" s="248">
        <v>240</v>
      </c>
      <c r="F397" s="278">
        <f>'Приложение 8'!Q156</f>
        <v>0</v>
      </c>
      <c r="G397" s="278">
        <f>'Приложение 8'!R156</f>
        <v>3241.5</v>
      </c>
      <c r="H397" s="278">
        <f>'Приложение 8'!S156</f>
        <v>3241.5</v>
      </c>
    </row>
    <row r="398" spans="1:8" ht="31.5">
      <c r="A398" s="10" t="s">
        <v>525</v>
      </c>
      <c r="B398" s="276" t="s">
        <v>523</v>
      </c>
      <c r="C398" s="282"/>
      <c r="D398" s="282"/>
      <c r="E398" s="248"/>
      <c r="F398" s="278">
        <f aca="true" t="shared" si="32" ref="F398:H399">F399</f>
        <v>0</v>
      </c>
      <c r="G398" s="278">
        <f t="shared" si="32"/>
        <v>10401.8</v>
      </c>
      <c r="H398" s="278">
        <f t="shared" si="32"/>
        <v>11059.8</v>
      </c>
    </row>
    <row r="399" spans="1:8" ht="47.25">
      <c r="A399" s="10" t="s">
        <v>469</v>
      </c>
      <c r="B399" s="276" t="s">
        <v>524</v>
      </c>
      <c r="C399" s="282"/>
      <c r="D399" s="282"/>
      <c r="E399" s="248"/>
      <c r="F399" s="278">
        <f t="shared" si="32"/>
        <v>0</v>
      </c>
      <c r="G399" s="278">
        <f t="shared" si="32"/>
        <v>10401.8</v>
      </c>
      <c r="H399" s="278">
        <f t="shared" si="32"/>
        <v>11059.8</v>
      </c>
    </row>
    <row r="400" spans="1:8" ht="31.5">
      <c r="A400" s="29" t="s">
        <v>454</v>
      </c>
      <c r="B400" s="276" t="s">
        <v>524</v>
      </c>
      <c r="C400" s="282" t="s">
        <v>462</v>
      </c>
      <c r="D400" s="282" t="s">
        <v>146</v>
      </c>
      <c r="E400" s="248">
        <v>240</v>
      </c>
      <c r="F400" s="278">
        <f>'Приложение 8'!Q159</f>
        <v>0</v>
      </c>
      <c r="G400" s="278">
        <f>'Приложение 8'!R159</f>
        <v>10401.8</v>
      </c>
      <c r="H400" s="278">
        <f>'Приложение 8'!S159</f>
        <v>11059.8</v>
      </c>
    </row>
    <row r="401" spans="1:8" ht="33" customHeight="1">
      <c r="A401" s="4" t="s">
        <v>555</v>
      </c>
      <c r="B401" s="248" t="s">
        <v>221</v>
      </c>
      <c r="C401" s="282"/>
      <c r="D401" s="282"/>
      <c r="E401" s="248"/>
      <c r="F401" s="278">
        <f aca="true" t="shared" si="33" ref="F401:H402">F402</f>
        <v>0</v>
      </c>
      <c r="G401" s="278">
        <f t="shared" si="33"/>
        <v>1031.1</v>
      </c>
      <c r="H401" s="278">
        <f t="shared" si="33"/>
        <v>1031.1</v>
      </c>
    </row>
    <row r="402" spans="1:8" ht="78.75">
      <c r="A402" s="4" t="s">
        <v>33</v>
      </c>
      <c r="B402" s="276" t="s">
        <v>280</v>
      </c>
      <c r="C402" s="282"/>
      <c r="D402" s="282"/>
      <c r="E402" s="248"/>
      <c r="F402" s="278">
        <f t="shared" si="33"/>
        <v>0</v>
      </c>
      <c r="G402" s="278">
        <f t="shared" si="33"/>
        <v>1031.1</v>
      </c>
      <c r="H402" s="278">
        <f t="shared" si="33"/>
        <v>1031.1</v>
      </c>
    </row>
    <row r="403" spans="1:8" ht="31.5">
      <c r="A403" s="4" t="s">
        <v>454</v>
      </c>
      <c r="B403" s="276" t="s">
        <v>280</v>
      </c>
      <c r="C403" s="282" t="s">
        <v>462</v>
      </c>
      <c r="D403" s="282" t="s">
        <v>146</v>
      </c>
      <c r="E403" s="248">
        <v>240</v>
      </c>
      <c r="F403" s="278">
        <f>'Приложение 8'!Q162</f>
        <v>0</v>
      </c>
      <c r="G403" s="278">
        <f>'Приложение 8'!R162</f>
        <v>1031.1</v>
      </c>
      <c r="H403" s="278">
        <f>'Приложение 8'!S162</f>
        <v>1031.1</v>
      </c>
    </row>
    <row r="404" spans="1:8" ht="61.5" customHeight="1">
      <c r="A404" s="338" t="s">
        <v>746</v>
      </c>
      <c r="B404" s="322" t="s">
        <v>755</v>
      </c>
      <c r="C404" s="339"/>
      <c r="D404" s="339"/>
      <c r="E404" s="322"/>
      <c r="F404" s="340">
        <f>F405+F408+F411+F415+F431</f>
        <v>13405.2</v>
      </c>
      <c r="G404" s="340">
        <f>G405+G408+G411+G415+G431</f>
        <v>10090</v>
      </c>
      <c r="H404" s="340">
        <f>H405+H408+H411+H415+H431</f>
        <v>10090</v>
      </c>
    </row>
    <row r="405" spans="1:8" ht="47.25">
      <c r="A405" s="10" t="s">
        <v>748</v>
      </c>
      <c r="B405" s="276" t="s">
        <v>756</v>
      </c>
      <c r="C405" s="282"/>
      <c r="D405" s="282"/>
      <c r="E405" s="248"/>
      <c r="F405" s="278">
        <f aca="true" t="shared" si="34" ref="F405:H406">F406</f>
        <v>520</v>
      </c>
      <c r="G405" s="278">
        <f t="shared" si="34"/>
        <v>470</v>
      </c>
      <c r="H405" s="278">
        <f t="shared" si="34"/>
        <v>470</v>
      </c>
    </row>
    <row r="406" spans="1:8" ht="21.75" customHeight="1">
      <c r="A406" s="10" t="s">
        <v>118</v>
      </c>
      <c r="B406" s="276" t="s">
        <v>757</v>
      </c>
      <c r="C406" s="282"/>
      <c r="D406" s="282"/>
      <c r="E406" s="248"/>
      <c r="F406" s="278">
        <f t="shared" si="34"/>
        <v>520</v>
      </c>
      <c r="G406" s="278">
        <f t="shared" si="34"/>
        <v>470</v>
      </c>
      <c r="H406" s="278">
        <f t="shared" si="34"/>
        <v>470</v>
      </c>
    </row>
    <row r="407" spans="1:8" ht="39" customHeight="1">
      <c r="A407" s="10" t="s">
        <v>454</v>
      </c>
      <c r="B407" s="276" t="s">
        <v>757</v>
      </c>
      <c r="C407" s="277" t="s">
        <v>147</v>
      </c>
      <c r="D407" s="277" t="s">
        <v>143</v>
      </c>
      <c r="E407" s="248">
        <v>240</v>
      </c>
      <c r="F407" s="278">
        <f>'Приложение 8'!Q683</f>
        <v>520</v>
      </c>
      <c r="G407" s="278">
        <f>'Приложение 8'!R683</f>
        <v>470</v>
      </c>
      <c r="H407" s="278">
        <f>'Приложение 8'!S683</f>
        <v>470</v>
      </c>
    </row>
    <row r="408" spans="1:8" ht="43.5" customHeight="1">
      <c r="A408" s="10" t="s">
        <v>749</v>
      </c>
      <c r="B408" s="276" t="s">
        <v>758</v>
      </c>
      <c r="C408" s="282"/>
      <c r="D408" s="282"/>
      <c r="E408" s="248"/>
      <c r="F408" s="278">
        <f aca="true" t="shared" si="35" ref="F408:H409">F409</f>
        <v>100</v>
      </c>
      <c r="G408" s="278">
        <f t="shared" si="35"/>
        <v>100</v>
      </c>
      <c r="H408" s="278">
        <f t="shared" si="35"/>
        <v>100</v>
      </c>
    </row>
    <row r="409" spans="1:8" ht="47.25" customHeight="1">
      <c r="A409" s="10" t="s">
        <v>750</v>
      </c>
      <c r="B409" s="276" t="s">
        <v>759</v>
      </c>
      <c r="C409" s="282"/>
      <c r="D409" s="282"/>
      <c r="E409" s="248"/>
      <c r="F409" s="278">
        <f t="shared" si="35"/>
        <v>100</v>
      </c>
      <c r="G409" s="278">
        <f t="shared" si="35"/>
        <v>100</v>
      </c>
      <c r="H409" s="278">
        <f t="shared" si="35"/>
        <v>100</v>
      </c>
    </row>
    <row r="410" spans="1:8" ht="35.25" customHeight="1">
      <c r="A410" s="10" t="s">
        <v>454</v>
      </c>
      <c r="B410" s="276" t="s">
        <v>759</v>
      </c>
      <c r="C410" s="277" t="s">
        <v>147</v>
      </c>
      <c r="D410" s="277" t="s">
        <v>143</v>
      </c>
      <c r="E410" s="248">
        <v>240</v>
      </c>
      <c r="F410" s="278">
        <f>'Приложение 8'!Q686</f>
        <v>100</v>
      </c>
      <c r="G410" s="278">
        <f>'Приложение 8'!R686</f>
        <v>100</v>
      </c>
      <c r="H410" s="278">
        <f>'Приложение 8'!S686</f>
        <v>100</v>
      </c>
    </row>
    <row r="411" spans="1:8" ht="66.75" customHeight="1">
      <c r="A411" s="10" t="s">
        <v>751</v>
      </c>
      <c r="B411" s="276" t="s">
        <v>760</v>
      </c>
      <c r="C411" s="282"/>
      <c r="D411" s="282"/>
      <c r="E411" s="248"/>
      <c r="F411" s="278">
        <f>F412</f>
        <v>93.6</v>
      </c>
      <c r="G411" s="278">
        <f>G412</f>
        <v>143.6</v>
      </c>
      <c r="H411" s="278">
        <f>H412</f>
        <v>143.6</v>
      </c>
    </row>
    <row r="412" spans="1:8" ht="47.25">
      <c r="A412" s="10" t="s">
        <v>37</v>
      </c>
      <c r="B412" s="276" t="s">
        <v>761</v>
      </c>
      <c r="C412" s="282"/>
      <c r="D412" s="282"/>
      <c r="E412" s="248"/>
      <c r="F412" s="278">
        <f>SUM(F413:F414)</f>
        <v>93.6</v>
      </c>
      <c r="G412" s="278">
        <f>SUM(G413:G414)</f>
        <v>143.6</v>
      </c>
      <c r="H412" s="278">
        <f>SUM(H413:H414)</f>
        <v>143.6</v>
      </c>
    </row>
    <row r="413" spans="1:8" ht="35.25" customHeight="1">
      <c r="A413" s="10" t="s">
        <v>454</v>
      </c>
      <c r="B413" s="276" t="s">
        <v>761</v>
      </c>
      <c r="C413" s="277" t="s">
        <v>147</v>
      </c>
      <c r="D413" s="277" t="s">
        <v>143</v>
      </c>
      <c r="E413" s="248">
        <v>240</v>
      </c>
      <c r="F413" s="278">
        <f>'Приложение 8'!Q689</f>
        <v>58</v>
      </c>
      <c r="G413" s="278">
        <f>'Приложение 8'!R689</f>
        <v>108</v>
      </c>
      <c r="H413" s="278">
        <f>'Приложение 8'!S689</f>
        <v>108</v>
      </c>
    </row>
    <row r="414" spans="1:8" ht="15.75">
      <c r="A414" s="4" t="s">
        <v>455</v>
      </c>
      <c r="B414" s="276" t="s">
        <v>761</v>
      </c>
      <c r="C414" s="277" t="s">
        <v>147</v>
      </c>
      <c r="D414" s="277" t="s">
        <v>143</v>
      </c>
      <c r="E414" s="248">
        <v>850</v>
      </c>
      <c r="F414" s="278">
        <f>'Приложение 8'!Q690</f>
        <v>35.6</v>
      </c>
      <c r="G414" s="278">
        <f>'Приложение 8'!R690</f>
        <v>35.6</v>
      </c>
      <c r="H414" s="278">
        <f>'Приложение 8'!S690</f>
        <v>35.6</v>
      </c>
    </row>
    <row r="415" spans="1:8" ht="36" customHeight="1">
      <c r="A415" s="10" t="s">
        <v>752</v>
      </c>
      <c r="B415" s="276" t="s">
        <v>762</v>
      </c>
      <c r="C415" s="282"/>
      <c r="D415" s="282"/>
      <c r="E415" s="248"/>
      <c r="F415" s="278">
        <f>F416+F423+F425+F428+F421</f>
        <v>5208.8</v>
      </c>
      <c r="G415" s="278">
        <f>G416+G423+G425+G428</f>
        <v>4161.1</v>
      </c>
      <c r="H415" s="278">
        <f>H416+H423+H425+H428</f>
        <v>4161.1</v>
      </c>
    </row>
    <row r="416" spans="1:8" ht="31.5">
      <c r="A416" s="10" t="s">
        <v>100</v>
      </c>
      <c r="B416" s="276" t="s">
        <v>763</v>
      </c>
      <c r="C416" s="282"/>
      <c r="D416" s="282"/>
      <c r="E416" s="248"/>
      <c r="F416" s="278">
        <f>F417+F418+F419+F420</f>
        <v>3585.8</v>
      </c>
      <c r="G416" s="278">
        <f>G417+G418+G419+G420</f>
        <v>3564.9</v>
      </c>
      <c r="H416" s="278">
        <f>H417+H418+H419+H420</f>
        <v>3564.9</v>
      </c>
    </row>
    <row r="417" spans="1:8" ht="36" customHeight="1">
      <c r="A417" s="10" t="s">
        <v>319</v>
      </c>
      <c r="B417" s="276" t="s">
        <v>763</v>
      </c>
      <c r="C417" s="277" t="s">
        <v>147</v>
      </c>
      <c r="D417" s="277" t="s">
        <v>143</v>
      </c>
      <c r="E417" s="248">
        <v>120</v>
      </c>
      <c r="F417" s="278">
        <f>'Приложение 8'!Q693</f>
        <v>3056.2000000000003</v>
      </c>
      <c r="G417" s="278">
        <f>'Приложение 8'!R693</f>
        <v>3035.3</v>
      </c>
      <c r="H417" s="278">
        <f>'Приложение 8'!S693</f>
        <v>3035.3</v>
      </c>
    </row>
    <row r="418" spans="1:8" ht="37.5" customHeight="1">
      <c r="A418" s="10" t="s">
        <v>454</v>
      </c>
      <c r="B418" s="276" t="s">
        <v>763</v>
      </c>
      <c r="C418" s="277" t="s">
        <v>147</v>
      </c>
      <c r="D418" s="277" t="s">
        <v>143</v>
      </c>
      <c r="E418" s="248">
        <v>240</v>
      </c>
      <c r="F418" s="278">
        <f>'Приложение 8'!Q694</f>
        <v>499.5</v>
      </c>
      <c r="G418" s="278">
        <f>'Приложение 8'!R694</f>
        <v>499.6</v>
      </c>
      <c r="H418" s="278">
        <f>'Приложение 8'!S694</f>
        <v>499.6</v>
      </c>
    </row>
    <row r="419" spans="1:8" ht="15.75">
      <c r="A419" s="4" t="s">
        <v>461</v>
      </c>
      <c r="B419" s="276" t="s">
        <v>763</v>
      </c>
      <c r="C419" s="277" t="s">
        <v>147</v>
      </c>
      <c r="D419" s="277" t="s">
        <v>143</v>
      </c>
      <c r="E419" s="248">
        <v>830</v>
      </c>
      <c r="F419" s="278">
        <f>'Приложение 8'!Q695</f>
        <v>10</v>
      </c>
      <c r="G419" s="278">
        <f>'Приложение 8'!R695</f>
        <v>10</v>
      </c>
      <c r="H419" s="278">
        <f>'Приложение 8'!S695</f>
        <v>10</v>
      </c>
    </row>
    <row r="420" spans="1:8" ht="15.75">
      <c r="A420" s="4" t="s">
        <v>455</v>
      </c>
      <c r="B420" s="276" t="s">
        <v>763</v>
      </c>
      <c r="C420" s="277" t="s">
        <v>147</v>
      </c>
      <c r="D420" s="277" t="s">
        <v>143</v>
      </c>
      <c r="E420" s="248">
        <v>850</v>
      </c>
      <c r="F420" s="278">
        <f>'Приложение 8'!Q696</f>
        <v>20.1</v>
      </c>
      <c r="G420" s="278">
        <f>'Приложение 8'!R696</f>
        <v>20</v>
      </c>
      <c r="H420" s="278">
        <f>'Приложение 8'!S696</f>
        <v>20</v>
      </c>
    </row>
    <row r="421" spans="1:8" ht="63">
      <c r="A421" s="10" t="s">
        <v>884</v>
      </c>
      <c r="B421" s="276" t="s">
        <v>888</v>
      </c>
      <c r="C421" s="277"/>
      <c r="D421" s="277"/>
      <c r="E421" s="248"/>
      <c r="F421" s="278">
        <f>F422</f>
        <v>135.8</v>
      </c>
      <c r="G421" s="278">
        <f>G422</f>
        <v>0</v>
      </c>
      <c r="H421" s="278">
        <f>H422</f>
        <v>0</v>
      </c>
    </row>
    <row r="422" spans="1:8" ht="31.5">
      <c r="A422" s="10" t="s">
        <v>319</v>
      </c>
      <c r="B422" s="276" t="s">
        <v>888</v>
      </c>
      <c r="C422" s="277" t="s">
        <v>147</v>
      </c>
      <c r="D422" s="277" t="s">
        <v>143</v>
      </c>
      <c r="E422" s="248">
        <v>120</v>
      </c>
      <c r="F422" s="278">
        <f>'Приложение 8'!Q698</f>
        <v>135.8</v>
      </c>
      <c r="G422" s="278">
        <v>0</v>
      </c>
      <c r="H422" s="278">
        <v>0</v>
      </c>
    </row>
    <row r="423" spans="1:8" ht="66.75" customHeight="1">
      <c r="A423" s="10" t="s">
        <v>595</v>
      </c>
      <c r="B423" s="276" t="s">
        <v>764</v>
      </c>
      <c r="C423" s="282"/>
      <c r="D423" s="282"/>
      <c r="E423" s="248"/>
      <c r="F423" s="278">
        <f>F424</f>
        <v>707.6</v>
      </c>
      <c r="G423" s="278">
        <f>G424</f>
        <v>596.2</v>
      </c>
      <c r="H423" s="278">
        <f>H424</f>
        <v>596.2</v>
      </c>
    </row>
    <row r="424" spans="1:8" ht="33" customHeight="1">
      <c r="A424" s="10" t="s">
        <v>319</v>
      </c>
      <c r="B424" s="276" t="s">
        <v>764</v>
      </c>
      <c r="C424" s="277" t="s">
        <v>147</v>
      </c>
      <c r="D424" s="277" t="s">
        <v>143</v>
      </c>
      <c r="E424" s="248">
        <v>120</v>
      </c>
      <c r="F424" s="278">
        <f>'Приложение 8'!Q700</f>
        <v>707.6</v>
      </c>
      <c r="G424" s="278">
        <f>'Приложение 8'!R700</f>
        <v>596.2</v>
      </c>
      <c r="H424" s="278">
        <f>'Приложение 8'!S700</f>
        <v>596.2</v>
      </c>
    </row>
    <row r="425" spans="1:8" ht="98.25" customHeight="1">
      <c r="A425" s="10" t="s">
        <v>753</v>
      </c>
      <c r="B425" s="276" t="s">
        <v>765</v>
      </c>
      <c r="C425" s="277"/>
      <c r="D425" s="277"/>
      <c r="E425" s="248"/>
      <c r="F425" s="278">
        <f>F426+F427</f>
        <v>344.2</v>
      </c>
      <c r="G425" s="278">
        <f>G426+G427</f>
        <v>0</v>
      </c>
      <c r="H425" s="278">
        <f>H426+H427</f>
        <v>0</v>
      </c>
    </row>
    <row r="426" spans="1:8" ht="35.25" customHeight="1">
      <c r="A426" s="10" t="s">
        <v>319</v>
      </c>
      <c r="B426" s="276" t="s">
        <v>765</v>
      </c>
      <c r="C426" s="277" t="s">
        <v>147</v>
      </c>
      <c r="D426" s="277" t="s">
        <v>143</v>
      </c>
      <c r="E426" s="248">
        <v>120</v>
      </c>
      <c r="F426" s="278">
        <f>'Приложение 8'!Q702</f>
        <v>335.7</v>
      </c>
      <c r="G426" s="278">
        <f>'Приложение 8'!R702</f>
        <v>0</v>
      </c>
      <c r="H426" s="278">
        <f>'Приложение 8'!S702</f>
        <v>0</v>
      </c>
    </row>
    <row r="427" spans="1:8" ht="33.75" customHeight="1">
      <c r="A427" s="10" t="s">
        <v>454</v>
      </c>
      <c r="B427" s="276" t="s">
        <v>765</v>
      </c>
      <c r="C427" s="277" t="s">
        <v>147</v>
      </c>
      <c r="D427" s="277" t="s">
        <v>143</v>
      </c>
      <c r="E427" s="248">
        <v>240</v>
      </c>
      <c r="F427" s="278">
        <f>'Приложение 8'!Q703</f>
        <v>8.5</v>
      </c>
      <c r="G427" s="278">
        <f>'Приложение 8'!R703</f>
        <v>0</v>
      </c>
      <c r="H427" s="278">
        <f>'Приложение 8'!S703</f>
        <v>0</v>
      </c>
    </row>
    <row r="428" spans="1:8" ht="31.5">
      <c r="A428" s="10" t="s">
        <v>754</v>
      </c>
      <c r="B428" s="276" t="s">
        <v>766</v>
      </c>
      <c r="C428" s="277"/>
      <c r="D428" s="277"/>
      <c r="E428" s="248"/>
      <c r="F428" s="278">
        <f>F429+F430</f>
        <v>435.4</v>
      </c>
      <c r="G428" s="278">
        <f>G429+G430</f>
        <v>0</v>
      </c>
      <c r="H428" s="278">
        <f>H429+H430</f>
        <v>0</v>
      </c>
    </row>
    <row r="429" spans="1:8" ht="35.25" customHeight="1">
      <c r="A429" s="10" t="s">
        <v>319</v>
      </c>
      <c r="B429" s="276" t="s">
        <v>766</v>
      </c>
      <c r="C429" s="277" t="s">
        <v>147</v>
      </c>
      <c r="D429" s="277" t="s">
        <v>143</v>
      </c>
      <c r="E429" s="248">
        <v>120</v>
      </c>
      <c r="F429" s="278">
        <f>'Приложение 8'!Q705</f>
        <v>426.9</v>
      </c>
      <c r="G429" s="278">
        <f>'Приложение 8'!R705</f>
        <v>0</v>
      </c>
      <c r="H429" s="278">
        <f>'Приложение 8'!S705</f>
        <v>0</v>
      </c>
    </row>
    <row r="430" spans="1:8" ht="37.5" customHeight="1">
      <c r="A430" s="10" t="s">
        <v>454</v>
      </c>
      <c r="B430" s="276" t="s">
        <v>766</v>
      </c>
      <c r="C430" s="277" t="s">
        <v>147</v>
      </c>
      <c r="D430" s="277" t="s">
        <v>143</v>
      </c>
      <c r="E430" s="248">
        <v>240</v>
      </c>
      <c r="F430" s="278">
        <f>'Приложение 8'!Q706</f>
        <v>8.5</v>
      </c>
      <c r="G430" s="278">
        <f>'Приложение 8'!R706</f>
        <v>0</v>
      </c>
      <c r="H430" s="278">
        <f>'Приложение 8'!S706</f>
        <v>0</v>
      </c>
    </row>
    <row r="431" spans="1:8" ht="94.5" customHeight="1">
      <c r="A431" s="10" t="s">
        <v>745</v>
      </c>
      <c r="B431" s="276" t="s">
        <v>768</v>
      </c>
      <c r="C431" s="277"/>
      <c r="D431" s="277"/>
      <c r="E431" s="248"/>
      <c r="F431" s="278">
        <f>F432</f>
        <v>7482.800000000001</v>
      </c>
      <c r="G431" s="278">
        <f>G432</f>
        <v>5215.3</v>
      </c>
      <c r="H431" s="278">
        <f>H432</f>
        <v>5215.3</v>
      </c>
    </row>
    <row r="432" spans="1:8" ht="117.75" customHeight="1">
      <c r="A432" s="10" t="s">
        <v>61</v>
      </c>
      <c r="B432" s="276" t="s">
        <v>767</v>
      </c>
      <c r="C432" s="277"/>
      <c r="D432" s="277"/>
      <c r="E432" s="248"/>
      <c r="F432" s="278">
        <f>F433+F434</f>
        <v>7482.800000000001</v>
      </c>
      <c r="G432" s="278">
        <f>G433+G434</f>
        <v>5215.3</v>
      </c>
      <c r="H432" s="278">
        <f>H433+H434</f>
        <v>5215.3</v>
      </c>
    </row>
    <row r="433" spans="1:8" ht="36" customHeight="1">
      <c r="A433" s="10" t="s">
        <v>454</v>
      </c>
      <c r="B433" s="276" t="s">
        <v>767</v>
      </c>
      <c r="C433" s="277" t="s">
        <v>147</v>
      </c>
      <c r="D433" s="277" t="s">
        <v>143</v>
      </c>
      <c r="E433" s="248">
        <v>240</v>
      </c>
      <c r="F433" s="278">
        <f>'Приложение 8'!Q709</f>
        <v>110.60000000000001</v>
      </c>
      <c r="G433" s="278">
        <f>'Приложение 8'!R709</f>
        <v>73.7</v>
      </c>
      <c r="H433" s="278">
        <f>'Приложение 8'!S709</f>
        <v>73.7</v>
      </c>
    </row>
    <row r="434" spans="1:8" ht="39" customHeight="1">
      <c r="A434" s="10" t="s">
        <v>459</v>
      </c>
      <c r="B434" s="276" t="s">
        <v>767</v>
      </c>
      <c r="C434" s="277" t="s">
        <v>147</v>
      </c>
      <c r="D434" s="277" t="s">
        <v>145</v>
      </c>
      <c r="E434" s="248">
        <v>320</v>
      </c>
      <c r="F434" s="278">
        <f>'Приложение 8'!Q721</f>
        <v>7372.200000000001</v>
      </c>
      <c r="G434" s="278">
        <f>'Приложение 8'!R721</f>
        <v>5141.6</v>
      </c>
      <c r="H434" s="278">
        <f>'Приложение 8'!S721</f>
        <v>5141.6</v>
      </c>
    </row>
    <row r="435" spans="1:8" s="341" customFormat="1" ht="69" customHeight="1">
      <c r="A435" s="61" t="s">
        <v>53</v>
      </c>
      <c r="B435" s="322" t="s">
        <v>127</v>
      </c>
      <c r="C435" s="339"/>
      <c r="D435" s="339"/>
      <c r="E435" s="322"/>
      <c r="F435" s="340">
        <f>F436+F476+F507+F519</f>
        <v>77796.5</v>
      </c>
      <c r="G435" s="340">
        <f>G436+G476+G507+G519</f>
        <v>67554.7</v>
      </c>
      <c r="H435" s="340">
        <f>H436+H476+H507+H519</f>
        <v>63795.399999999994</v>
      </c>
    </row>
    <row r="436" spans="1:8" s="348" customFormat="1" ht="67.5" customHeight="1">
      <c r="A436" s="297" t="s">
        <v>54</v>
      </c>
      <c r="B436" s="345" t="s">
        <v>128</v>
      </c>
      <c r="C436" s="346"/>
      <c r="D436" s="346"/>
      <c r="E436" s="345"/>
      <c r="F436" s="347">
        <f>F437+F444+F448+F450+F453+F455+F458+F460+F464+F466+F468+F471+F474+F462+F446</f>
        <v>31375.100000000002</v>
      </c>
      <c r="G436" s="347">
        <f>G437+G444+G448+G450+G453+G455+G458+G460+G464+G466+G468+G471+G474</f>
        <v>23434.8</v>
      </c>
      <c r="H436" s="347">
        <f>H437+H444+H448+H450+H453+H455+H458+H460+H464+H466+H468+H471+H474</f>
        <v>23431.2</v>
      </c>
    </row>
    <row r="437" spans="1:8" ht="39.75" customHeight="1">
      <c r="A437" s="10" t="s">
        <v>100</v>
      </c>
      <c r="B437" s="276" t="s">
        <v>129</v>
      </c>
      <c r="C437" s="282"/>
      <c r="D437" s="282"/>
      <c r="E437" s="248"/>
      <c r="F437" s="278">
        <f>F438+F439+F441+F442+F443+F440</f>
        <v>19023.100000000002</v>
      </c>
      <c r="G437" s="278">
        <f>G438+G439+G441+G442+G443</f>
        <v>20411.2</v>
      </c>
      <c r="H437" s="278">
        <f>H438+H439+H441+H442+H443</f>
        <v>20407.600000000002</v>
      </c>
    </row>
    <row r="438" spans="1:8" ht="34.5" customHeight="1">
      <c r="A438" s="10" t="s">
        <v>319</v>
      </c>
      <c r="B438" s="276" t="s">
        <v>129</v>
      </c>
      <c r="C438" s="277" t="s">
        <v>462</v>
      </c>
      <c r="D438" s="277" t="s">
        <v>130</v>
      </c>
      <c r="E438" s="248">
        <v>120</v>
      </c>
      <c r="F438" s="278">
        <f>'Приложение 8'!Q21</f>
        <v>15441.5</v>
      </c>
      <c r="G438" s="278">
        <f>'Приложение 8'!R21</f>
        <v>14759.7</v>
      </c>
      <c r="H438" s="278">
        <f>'Приложение 8'!S21</f>
        <v>14759.7</v>
      </c>
    </row>
    <row r="439" spans="1:8" ht="33.75" customHeight="1">
      <c r="A439" s="4" t="s">
        <v>454</v>
      </c>
      <c r="B439" s="276" t="s">
        <v>129</v>
      </c>
      <c r="C439" s="277" t="s">
        <v>462</v>
      </c>
      <c r="D439" s="277" t="s">
        <v>130</v>
      </c>
      <c r="E439" s="248">
        <v>240</v>
      </c>
      <c r="F439" s="278">
        <f>'Приложение 8'!Q22</f>
        <v>1695.0000000000002</v>
      </c>
      <c r="G439" s="278">
        <f>'Приложение 8'!R22</f>
        <v>3725</v>
      </c>
      <c r="H439" s="278">
        <f>'Приложение 8'!S22</f>
        <v>3725</v>
      </c>
    </row>
    <row r="440" spans="1:8" ht="33.75" customHeight="1">
      <c r="A440" s="4" t="s">
        <v>459</v>
      </c>
      <c r="B440" s="276" t="s">
        <v>129</v>
      </c>
      <c r="C440" s="277" t="s">
        <v>462</v>
      </c>
      <c r="D440" s="277" t="s">
        <v>130</v>
      </c>
      <c r="E440" s="248">
        <v>320</v>
      </c>
      <c r="F440" s="278">
        <f>'Приложение 8'!Q23</f>
        <v>0.9</v>
      </c>
      <c r="G440" s="278">
        <v>0</v>
      </c>
      <c r="H440" s="278">
        <v>0</v>
      </c>
    </row>
    <row r="441" spans="1:8" ht="15.75">
      <c r="A441" s="104" t="s">
        <v>455</v>
      </c>
      <c r="B441" s="276" t="s">
        <v>129</v>
      </c>
      <c r="C441" s="277" t="s">
        <v>462</v>
      </c>
      <c r="D441" s="277" t="s">
        <v>130</v>
      </c>
      <c r="E441" s="248">
        <v>850</v>
      </c>
      <c r="F441" s="278">
        <f>'Приложение 8'!Q24</f>
        <v>853.9</v>
      </c>
      <c r="G441" s="278">
        <f>'Приложение 8'!R24</f>
        <v>853.9</v>
      </c>
      <c r="H441" s="278">
        <f>'Приложение 8'!S24</f>
        <v>853.9</v>
      </c>
    </row>
    <row r="442" spans="1:8" ht="37.5" customHeight="1">
      <c r="A442" s="10" t="s">
        <v>454</v>
      </c>
      <c r="B442" s="276" t="s">
        <v>129</v>
      </c>
      <c r="C442" s="277" t="s">
        <v>462</v>
      </c>
      <c r="D442" s="277" t="s">
        <v>143</v>
      </c>
      <c r="E442" s="248">
        <v>240</v>
      </c>
      <c r="F442" s="278">
        <f>'Приложение 8'!Q62</f>
        <v>849.3</v>
      </c>
      <c r="G442" s="278">
        <f>'Приложение 8'!R62</f>
        <v>990.0999999999999</v>
      </c>
      <c r="H442" s="278">
        <f>'Приложение 8'!S62</f>
        <v>986.5</v>
      </c>
    </row>
    <row r="443" spans="1:8" ht="15.75">
      <c r="A443" s="10" t="s">
        <v>455</v>
      </c>
      <c r="B443" s="276" t="s">
        <v>129</v>
      </c>
      <c r="C443" s="277" t="s">
        <v>462</v>
      </c>
      <c r="D443" s="277" t="s">
        <v>143</v>
      </c>
      <c r="E443" s="248">
        <v>850</v>
      </c>
      <c r="F443" s="278">
        <f>'Приложение 8'!Q63</f>
        <v>182.5</v>
      </c>
      <c r="G443" s="278">
        <f>'Приложение 8'!R63</f>
        <v>82.5</v>
      </c>
      <c r="H443" s="278">
        <f>'Приложение 8'!S63</f>
        <v>82.5</v>
      </c>
    </row>
    <row r="444" spans="1:8" ht="20.25" customHeight="1">
      <c r="A444" s="10" t="s">
        <v>58</v>
      </c>
      <c r="B444" s="276" t="s">
        <v>710</v>
      </c>
      <c r="C444" s="277"/>
      <c r="D444" s="277"/>
      <c r="E444" s="248"/>
      <c r="F444" s="278">
        <f>F445</f>
        <v>389.9</v>
      </c>
      <c r="G444" s="278">
        <f>G445</f>
        <v>0</v>
      </c>
      <c r="H444" s="278">
        <f>H445</f>
        <v>0</v>
      </c>
    </row>
    <row r="445" spans="1:8" ht="31.5">
      <c r="A445" s="10" t="s">
        <v>454</v>
      </c>
      <c r="B445" s="276" t="s">
        <v>710</v>
      </c>
      <c r="C445" s="277" t="s">
        <v>462</v>
      </c>
      <c r="D445" s="277" t="s">
        <v>143</v>
      </c>
      <c r="E445" s="248">
        <v>240</v>
      </c>
      <c r="F445" s="278">
        <f>'Приложение 8'!Q65</f>
        <v>389.9</v>
      </c>
      <c r="G445" s="278">
        <f>'Приложение 8'!R65</f>
        <v>0</v>
      </c>
      <c r="H445" s="278">
        <f>'Приложение 8'!S65</f>
        <v>0</v>
      </c>
    </row>
    <row r="446" spans="1:8" ht="63">
      <c r="A446" s="104" t="s">
        <v>884</v>
      </c>
      <c r="B446" s="276" t="s">
        <v>885</v>
      </c>
      <c r="C446" s="277"/>
      <c r="D446" s="277"/>
      <c r="E446" s="248"/>
      <c r="F446" s="278">
        <f>F447</f>
        <v>419.9</v>
      </c>
      <c r="G446" s="278">
        <f>G447</f>
        <v>0</v>
      </c>
      <c r="H446" s="278">
        <f>H447</f>
        <v>0</v>
      </c>
    </row>
    <row r="447" spans="1:8" ht="31.5">
      <c r="A447" s="4" t="s">
        <v>319</v>
      </c>
      <c r="B447" s="276" t="s">
        <v>885</v>
      </c>
      <c r="C447" s="277" t="s">
        <v>462</v>
      </c>
      <c r="D447" s="277" t="s">
        <v>130</v>
      </c>
      <c r="E447" s="248">
        <v>120</v>
      </c>
      <c r="F447" s="278">
        <f>'Приложение 8'!Q26</f>
        <v>419.9</v>
      </c>
      <c r="G447" s="278">
        <v>0</v>
      </c>
      <c r="H447" s="278">
        <v>0</v>
      </c>
    </row>
    <row r="448" spans="1:8" ht="66" customHeight="1">
      <c r="A448" s="104" t="s">
        <v>595</v>
      </c>
      <c r="B448" s="276" t="s">
        <v>131</v>
      </c>
      <c r="C448" s="282"/>
      <c r="D448" s="282"/>
      <c r="E448" s="248"/>
      <c r="F448" s="278">
        <f>F449</f>
        <v>3225.1</v>
      </c>
      <c r="G448" s="278">
        <f>G449</f>
        <v>2673.5</v>
      </c>
      <c r="H448" s="278">
        <f>H449</f>
        <v>2673.5</v>
      </c>
    </row>
    <row r="449" spans="1:8" ht="40.5" customHeight="1">
      <c r="A449" s="4" t="s">
        <v>319</v>
      </c>
      <c r="B449" s="276" t="s">
        <v>131</v>
      </c>
      <c r="C449" s="277" t="s">
        <v>462</v>
      </c>
      <c r="D449" s="277" t="s">
        <v>130</v>
      </c>
      <c r="E449" s="248">
        <v>120</v>
      </c>
      <c r="F449" s="278">
        <f>'Приложение 8'!Q28</f>
        <v>3225.1</v>
      </c>
      <c r="G449" s="278">
        <f>'Приложение 8'!R28</f>
        <v>2673.5</v>
      </c>
      <c r="H449" s="278">
        <f>'Приложение 8'!S28</f>
        <v>2673.5</v>
      </c>
    </row>
    <row r="450" spans="1:8" ht="47.25">
      <c r="A450" s="10" t="s">
        <v>592</v>
      </c>
      <c r="B450" s="276" t="s">
        <v>132</v>
      </c>
      <c r="C450" s="282"/>
      <c r="D450" s="282"/>
      <c r="E450" s="248"/>
      <c r="F450" s="278">
        <f>F451+F452</f>
        <v>818</v>
      </c>
      <c r="G450" s="278">
        <f>G451+G452</f>
        <v>0</v>
      </c>
      <c r="H450" s="278">
        <f>H451+H452</f>
        <v>0</v>
      </c>
    </row>
    <row r="451" spans="1:8" ht="30.75" customHeight="1">
      <c r="A451" s="10" t="s">
        <v>319</v>
      </c>
      <c r="B451" s="276" t="s">
        <v>132</v>
      </c>
      <c r="C451" s="282" t="s">
        <v>462</v>
      </c>
      <c r="D451" s="282" t="s">
        <v>130</v>
      </c>
      <c r="E451" s="248">
        <v>120</v>
      </c>
      <c r="F451" s="278">
        <f>'Приложение 8'!Q30</f>
        <v>783</v>
      </c>
      <c r="G451" s="278">
        <f>'Приложение 8'!R30</f>
        <v>0</v>
      </c>
      <c r="H451" s="278">
        <f>'Приложение 8'!S30</f>
        <v>0</v>
      </c>
    </row>
    <row r="452" spans="1:8" ht="30.75" customHeight="1">
      <c r="A452" s="10" t="s">
        <v>454</v>
      </c>
      <c r="B452" s="276" t="s">
        <v>132</v>
      </c>
      <c r="C452" s="282" t="s">
        <v>462</v>
      </c>
      <c r="D452" s="282" t="s">
        <v>130</v>
      </c>
      <c r="E452" s="248">
        <v>240</v>
      </c>
      <c r="F452" s="278">
        <f>'Приложение 8'!Q31</f>
        <v>35</v>
      </c>
      <c r="G452" s="278">
        <f>'Приложение 8'!R31</f>
        <v>0</v>
      </c>
      <c r="H452" s="278">
        <f>'Приложение 8'!S31</f>
        <v>0</v>
      </c>
    </row>
    <row r="453" spans="1:8" ht="115.5" customHeight="1">
      <c r="A453" s="10" t="s">
        <v>2</v>
      </c>
      <c r="B453" s="276" t="s">
        <v>133</v>
      </c>
      <c r="C453" s="277"/>
      <c r="D453" s="277"/>
      <c r="E453" s="248"/>
      <c r="F453" s="278">
        <f>F454</f>
        <v>84.7</v>
      </c>
      <c r="G453" s="278">
        <f>G454</f>
        <v>0</v>
      </c>
      <c r="H453" s="278">
        <f>H454</f>
        <v>0</v>
      </c>
    </row>
    <row r="454" spans="1:8" ht="31.5">
      <c r="A454" s="10" t="s">
        <v>319</v>
      </c>
      <c r="B454" s="276" t="s">
        <v>133</v>
      </c>
      <c r="C454" s="282" t="s">
        <v>462</v>
      </c>
      <c r="D454" s="282" t="s">
        <v>130</v>
      </c>
      <c r="E454" s="248">
        <v>120</v>
      </c>
      <c r="F454" s="278">
        <f>'Приложение 8'!Q33</f>
        <v>84.7</v>
      </c>
      <c r="G454" s="278">
        <f>'Приложение 8'!R33</f>
        <v>0</v>
      </c>
      <c r="H454" s="278">
        <f>'Приложение 8'!S33</f>
        <v>0</v>
      </c>
    </row>
    <row r="455" spans="1:8" ht="117" customHeight="1">
      <c r="A455" s="10" t="s">
        <v>490</v>
      </c>
      <c r="B455" s="276" t="s">
        <v>134</v>
      </c>
      <c r="C455" s="282"/>
      <c r="D455" s="282"/>
      <c r="E455" s="248"/>
      <c r="F455" s="278">
        <f>F457+F456</f>
        <v>424.1</v>
      </c>
      <c r="G455" s="278">
        <f>G457+G456</f>
        <v>0</v>
      </c>
      <c r="H455" s="278">
        <f>H457+H456</f>
        <v>0</v>
      </c>
    </row>
    <row r="456" spans="1:8" ht="15.75" customHeight="1">
      <c r="A456" s="10" t="s">
        <v>319</v>
      </c>
      <c r="B456" s="276" t="s">
        <v>134</v>
      </c>
      <c r="C456" s="282" t="s">
        <v>462</v>
      </c>
      <c r="D456" s="282" t="s">
        <v>130</v>
      </c>
      <c r="E456" s="248">
        <v>120</v>
      </c>
      <c r="F456" s="278">
        <f>'Приложение 8'!Q35</f>
        <v>419.1</v>
      </c>
      <c r="G456" s="278">
        <f>'Приложение 8'!R35</f>
        <v>0</v>
      </c>
      <c r="H456" s="278">
        <f>'Приложение 8'!S35</f>
        <v>0</v>
      </c>
    </row>
    <row r="457" spans="1:8" ht="39.75" customHeight="1">
      <c r="A457" s="10" t="s">
        <v>454</v>
      </c>
      <c r="B457" s="276" t="s">
        <v>134</v>
      </c>
      <c r="C457" s="282" t="s">
        <v>462</v>
      </c>
      <c r="D457" s="282" t="s">
        <v>130</v>
      </c>
      <c r="E457" s="248">
        <v>240</v>
      </c>
      <c r="F457" s="278">
        <f>'Приложение 8'!Q36</f>
        <v>5</v>
      </c>
      <c r="G457" s="278">
        <f>'Приложение 8'!R36</f>
        <v>0</v>
      </c>
      <c r="H457" s="278">
        <f>'Приложение 8'!S36</f>
        <v>0</v>
      </c>
    </row>
    <row r="458" spans="1:8" ht="21.75" customHeight="1">
      <c r="A458" s="10" t="s">
        <v>491</v>
      </c>
      <c r="B458" s="276" t="s">
        <v>135</v>
      </c>
      <c r="C458" s="282"/>
      <c r="D458" s="282"/>
      <c r="E458" s="248"/>
      <c r="F458" s="278">
        <f>F459</f>
        <v>153</v>
      </c>
      <c r="G458" s="278">
        <f>G459</f>
        <v>0</v>
      </c>
      <c r="H458" s="278">
        <f>H459</f>
        <v>0</v>
      </c>
    </row>
    <row r="459" spans="1:8" ht="36.75" customHeight="1">
      <c r="A459" s="10" t="s">
        <v>319</v>
      </c>
      <c r="B459" s="276" t="s">
        <v>135</v>
      </c>
      <c r="C459" s="282" t="s">
        <v>462</v>
      </c>
      <c r="D459" s="282" t="s">
        <v>130</v>
      </c>
      <c r="E459" s="248">
        <v>120</v>
      </c>
      <c r="F459" s="278">
        <f>'Приложение 8'!Q38</f>
        <v>153</v>
      </c>
      <c r="G459" s="278">
        <f>'Приложение 8'!R38</f>
        <v>0</v>
      </c>
      <c r="H459" s="278">
        <f>'Приложение 8'!S38</f>
        <v>0</v>
      </c>
    </row>
    <row r="460" spans="1:8" ht="54.75" customHeight="1">
      <c r="A460" s="2" t="s">
        <v>312</v>
      </c>
      <c r="B460" s="276" t="s">
        <v>711</v>
      </c>
      <c r="C460" s="282"/>
      <c r="D460" s="282"/>
      <c r="E460" s="248"/>
      <c r="F460" s="278">
        <f>F461</f>
        <v>4.7</v>
      </c>
      <c r="G460" s="278">
        <f>G461</f>
        <v>0</v>
      </c>
      <c r="H460" s="278">
        <f>H461</f>
        <v>0</v>
      </c>
    </row>
    <row r="461" spans="1:8" ht="31.5" customHeight="1">
      <c r="A461" s="2" t="s">
        <v>454</v>
      </c>
      <c r="B461" s="276" t="s">
        <v>711</v>
      </c>
      <c r="C461" s="282" t="s">
        <v>462</v>
      </c>
      <c r="D461" s="282" t="s">
        <v>143</v>
      </c>
      <c r="E461" s="248">
        <v>240</v>
      </c>
      <c r="F461" s="278">
        <f>'Приложение 8'!Q67</f>
        <v>4.7</v>
      </c>
      <c r="G461" s="278">
        <f>'Приложение 8'!R67</f>
        <v>0</v>
      </c>
      <c r="H461" s="278">
        <f>'Приложение 8'!S67</f>
        <v>0</v>
      </c>
    </row>
    <row r="462" spans="1:8" ht="115.5" customHeight="1">
      <c r="A462" s="10" t="s">
        <v>490</v>
      </c>
      <c r="B462" s="276" t="s">
        <v>849</v>
      </c>
      <c r="C462" s="282"/>
      <c r="D462" s="282"/>
      <c r="E462" s="248"/>
      <c r="F462" s="278">
        <f>F463</f>
        <v>0.5</v>
      </c>
      <c r="G462" s="278">
        <f>G463</f>
        <v>0</v>
      </c>
      <c r="H462" s="278">
        <f>H463</f>
        <v>0</v>
      </c>
    </row>
    <row r="463" spans="1:8" ht="31.5" customHeight="1">
      <c r="A463" s="10" t="s">
        <v>319</v>
      </c>
      <c r="B463" s="276" t="s">
        <v>849</v>
      </c>
      <c r="C463" s="277" t="s">
        <v>462</v>
      </c>
      <c r="D463" s="277" t="s">
        <v>130</v>
      </c>
      <c r="E463" s="248">
        <v>120</v>
      </c>
      <c r="F463" s="278">
        <f>'Приложение 8'!Q40</f>
        <v>0.5</v>
      </c>
      <c r="G463" s="278">
        <f>'Приложение 8'!R40</f>
        <v>0</v>
      </c>
      <c r="H463" s="278">
        <f>'Приложение 8'!S40</f>
        <v>0</v>
      </c>
    </row>
    <row r="464" spans="1:8" ht="74.25" customHeight="1">
      <c r="A464" s="274" t="s">
        <v>604</v>
      </c>
      <c r="B464" s="276" t="s">
        <v>712</v>
      </c>
      <c r="C464" s="282"/>
      <c r="D464" s="282"/>
      <c r="E464" s="248"/>
      <c r="F464" s="278">
        <f>F465</f>
        <v>111.3</v>
      </c>
      <c r="G464" s="278">
        <f>G465</f>
        <v>0</v>
      </c>
      <c r="H464" s="278">
        <f>H465</f>
        <v>0</v>
      </c>
    </row>
    <row r="465" spans="1:8" ht="41.25" customHeight="1">
      <c r="A465" s="2" t="s">
        <v>454</v>
      </c>
      <c r="B465" s="276" t="s">
        <v>712</v>
      </c>
      <c r="C465" s="282" t="s">
        <v>462</v>
      </c>
      <c r="D465" s="282" t="s">
        <v>143</v>
      </c>
      <c r="E465" s="248">
        <v>240</v>
      </c>
      <c r="F465" s="278">
        <f>'Приложение 8'!Q69</f>
        <v>111.3</v>
      </c>
      <c r="G465" s="278">
        <f>'Приложение 8'!R69</f>
        <v>0</v>
      </c>
      <c r="H465" s="278">
        <f>'Приложение 8'!S69</f>
        <v>0</v>
      </c>
    </row>
    <row r="466" spans="1:8" ht="33" customHeight="1">
      <c r="A466" s="17" t="s">
        <v>878</v>
      </c>
      <c r="B466" s="276" t="s">
        <v>723</v>
      </c>
      <c r="C466" s="282"/>
      <c r="D466" s="282"/>
      <c r="E466" s="248"/>
      <c r="F466" s="278">
        <f>F467</f>
        <v>140</v>
      </c>
      <c r="G466" s="278">
        <f>G467</f>
        <v>0</v>
      </c>
      <c r="H466" s="278">
        <f>H467</f>
        <v>0</v>
      </c>
    </row>
    <row r="467" spans="1:8" ht="30.75" customHeight="1">
      <c r="A467" s="17" t="s">
        <v>397</v>
      </c>
      <c r="B467" s="276" t="s">
        <v>723</v>
      </c>
      <c r="C467" s="282" t="s">
        <v>462</v>
      </c>
      <c r="D467" s="282" t="s">
        <v>154</v>
      </c>
      <c r="E467" s="248">
        <v>540</v>
      </c>
      <c r="F467" s="278">
        <f>'Приложение 8'!Q229</f>
        <v>140</v>
      </c>
      <c r="G467" s="278">
        <f>'Приложение 8'!R229</f>
        <v>0</v>
      </c>
      <c r="H467" s="278">
        <f>'Приложение 8'!S229</f>
        <v>0</v>
      </c>
    </row>
    <row r="468" spans="1:8" ht="99" customHeight="1">
      <c r="A468" s="112" t="s">
        <v>24</v>
      </c>
      <c r="B468" s="276" t="s">
        <v>724</v>
      </c>
      <c r="C468" s="282"/>
      <c r="D468" s="282"/>
      <c r="E468" s="248"/>
      <c r="F468" s="278">
        <f>F469+F470</f>
        <v>1890</v>
      </c>
      <c r="G468" s="278">
        <f>G470</f>
        <v>0</v>
      </c>
      <c r="H468" s="278">
        <f>H470</f>
        <v>0</v>
      </c>
    </row>
    <row r="469" spans="1:8" ht="30.75" customHeight="1">
      <c r="A469" s="17" t="s">
        <v>454</v>
      </c>
      <c r="B469" s="276" t="s">
        <v>724</v>
      </c>
      <c r="C469" s="277" t="s">
        <v>462</v>
      </c>
      <c r="D469" s="277" t="s">
        <v>727</v>
      </c>
      <c r="E469" s="248">
        <v>240</v>
      </c>
      <c r="F469" s="278">
        <f>'Приложение 8'!Q243</f>
        <v>11.3</v>
      </c>
      <c r="G469" s="278">
        <v>0</v>
      </c>
      <c r="H469" s="278">
        <v>0</v>
      </c>
    </row>
    <row r="470" spans="1:8" ht="20.25" customHeight="1">
      <c r="A470" s="112" t="s">
        <v>397</v>
      </c>
      <c r="B470" s="276" t="s">
        <v>724</v>
      </c>
      <c r="C470" s="282" t="s">
        <v>718</v>
      </c>
      <c r="D470" s="282" t="s">
        <v>727</v>
      </c>
      <c r="E470" s="248">
        <v>540</v>
      </c>
      <c r="F470" s="278">
        <f>'Приложение 8'!Q244</f>
        <v>1878.7</v>
      </c>
      <c r="G470" s="278">
        <f>'Приложение 8'!R244</f>
        <v>0</v>
      </c>
      <c r="H470" s="278">
        <f>'Приложение 8'!S244</f>
        <v>0</v>
      </c>
    </row>
    <row r="471" spans="1:8" ht="68.25" customHeight="1">
      <c r="A471" s="112" t="s">
        <v>26</v>
      </c>
      <c r="B471" s="276" t="s">
        <v>725</v>
      </c>
      <c r="C471" s="282" t="s">
        <v>393</v>
      </c>
      <c r="D471" s="282" t="s">
        <v>393</v>
      </c>
      <c r="E471" s="248"/>
      <c r="F471" s="278">
        <f>F472+F473</f>
        <v>4340.7</v>
      </c>
      <c r="G471" s="278">
        <f>G472+G473</f>
        <v>0</v>
      </c>
      <c r="H471" s="278">
        <f>H472+H473</f>
        <v>0</v>
      </c>
    </row>
    <row r="472" spans="1:8" ht="30.75" customHeight="1">
      <c r="A472" s="17" t="s">
        <v>454</v>
      </c>
      <c r="B472" s="276" t="s">
        <v>725</v>
      </c>
      <c r="C472" s="282" t="s">
        <v>718</v>
      </c>
      <c r="D472" s="282" t="s">
        <v>727</v>
      </c>
      <c r="E472" s="248">
        <v>240</v>
      </c>
      <c r="F472" s="278">
        <f>'Приложение 8'!Q246</f>
        <v>167.2000000000001</v>
      </c>
      <c r="G472" s="278">
        <f>'Приложение 8'!R246</f>
        <v>0</v>
      </c>
      <c r="H472" s="278">
        <f>'Приложение 8'!S246</f>
        <v>0</v>
      </c>
    </row>
    <row r="473" spans="1:8" ht="15.75" customHeight="1">
      <c r="A473" s="112" t="s">
        <v>397</v>
      </c>
      <c r="B473" s="276" t="s">
        <v>725</v>
      </c>
      <c r="C473" s="282" t="s">
        <v>718</v>
      </c>
      <c r="D473" s="282" t="s">
        <v>727</v>
      </c>
      <c r="E473" s="248">
        <v>540</v>
      </c>
      <c r="F473" s="278">
        <f>'Приложение 8'!Q247</f>
        <v>4173.5</v>
      </c>
      <c r="G473" s="278">
        <f>'Приложение 8'!R247</f>
        <v>0</v>
      </c>
      <c r="H473" s="278">
        <f>'Приложение 8'!S247</f>
        <v>0</v>
      </c>
    </row>
    <row r="474" spans="1:8" ht="30" customHeight="1">
      <c r="A474" s="4" t="s">
        <v>27</v>
      </c>
      <c r="B474" s="276" t="s">
        <v>726</v>
      </c>
      <c r="C474" s="282" t="s">
        <v>393</v>
      </c>
      <c r="D474" s="282" t="s">
        <v>393</v>
      </c>
      <c r="E474" s="248"/>
      <c r="F474" s="278">
        <f>F475</f>
        <v>350.1</v>
      </c>
      <c r="G474" s="278">
        <f>G475</f>
        <v>350.1</v>
      </c>
      <c r="H474" s="278">
        <f>H475</f>
        <v>350.1</v>
      </c>
    </row>
    <row r="475" spans="1:8" ht="42.75" customHeight="1">
      <c r="A475" s="113" t="s">
        <v>454</v>
      </c>
      <c r="B475" s="276" t="s">
        <v>726</v>
      </c>
      <c r="C475" s="282" t="s">
        <v>718</v>
      </c>
      <c r="D475" s="282" t="s">
        <v>727</v>
      </c>
      <c r="E475" s="248">
        <v>240</v>
      </c>
      <c r="F475" s="278">
        <f>'Приложение 8'!Q249</f>
        <v>350.1</v>
      </c>
      <c r="G475" s="278">
        <f>'Приложение 8'!R249</f>
        <v>350.1</v>
      </c>
      <c r="H475" s="278">
        <f>'Приложение 8'!S249</f>
        <v>350.1</v>
      </c>
    </row>
    <row r="476" spans="1:8" s="348" customFormat="1" ht="51.75" customHeight="1">
      <c r="A476" s="297" t="s">
        <v>55</v>
      </c>
      <c r="B476" s="345" t="s">
        <v>707</v>
      </c>
      <c r="C476" s="346"/>
      <c r="D476" s="346"/>
      <c r="E476" s="345"/>
      <c r="F476" s="347">
        <f>F477+F481+F484+F487+F489+F491+F493+F496+F500+F502+F504+F479+F498</f>
        <v>10271.1</v>
      </c>
      <c r="G476" s="347">
        <f>G477+G481+G484+G487+G489+G491+G493+G496+G500+G502+G504+G479</f>
        <v>4432.9</v>
      </c>
      <c r="H476" s="347">
        <f>H477+H481+H484+H487+H489+H491+H493+H496+H500+H502+H504+H479</f>
        <v>4462.400000000001</v>
      </c>
    </row>
    <row r="477" spans="1:8" ht="69" customHeight="1">
      <c r="A477" s="10" t="s">
        <v>499</v>
      </c>
      <c r="B477" s="276" t="s">
        <v>708</v>
      </c>
      <c r="C477" s="282"/>
      <c r="D477" s="282"/>
      <c r="E477" s="248"/>
      <c r="F477" s="278">
        <f>F478</f>
        <v>9.1</v>
      </c>
      <c r="G477" s="278">
        <f>G478</f>
        <v>26.9</v>
      </c>
      <c r="H477" s="278">
        <f>H478</f>
        <v>3.7</v>
      </c>
    </row>
    <row r="478" spans="1:8" ht="35.25" customHeight="1">
      <c r="A478" s="10" t="s">
        <v>454</v>
      </c>
      <c r="B478" s="276" t="s">
        <v>708</v>
      </c>
      <c r="C478" s="277" t="s">
        <v>462</v>
      </c>
      <c r="D478" s="277" t="s">
        <v>709</v>
      </c>
      <c r="E478" s="248">
        <v>240</v>
      </c>
      <c r="F478" s="278">
        <f>'Приложение 8'!Q45</f>
        <v>9.1</v>
      </c>
      <c r="G478" s="278">
        <f>'Приложение 8'!R45</f>
        <v>26.9</v>
      </c>
      <c r="H478" s="278">
        <f>'Приложение 8'!S45</f>
        <v>3.7</v>
      </c>
    </row>
    <row r="479" spans="1:8" ht="111.75" customHeight="1">
      <c r="A479" s="10" t="s">
        <v>807</v>
      </c>
      <c r="B479" s="276" t="s">
        <v>808</v>
      </c>
      <c r="C479" s="277"/>
      <c r="D479" s="277"/>
      <c r="E479" s="248"/>
      <c r="F479" s="278">
        <f>F480</f>
        <v>298.8</v>
      </c>
      <c r="G479" s="278">
        <f>G480</f>
        <v>0</v>
      </c>
      <c r="H479" s="278">
        <f>H480</f>
        <v>0</v>
      </c>
    </row>
    <row r="480" spans="1:8" ht="35.25" customHeight="1">
      <c r="A480" s="2" t="s">
        <v>454</v>
      </c>
      <c r="B480" s="276" t="s">
        <v>808</v>
      </c>
      <c r="C480" s="277" t="s">
        <v>462</v>
      </c>
      <c r="D480" s="277" t="s">
        <v>143</v>
      </c>
      <c r="E480" s="248">
        <v>240</v>
      </c>
      <c r="F480" s="278">
        <f>'Приложение 8'!Q72</f>
        <v>298.8</v>
      </c>
      <c r="G480" s="278">
        <f>'Приложение 8'!R72</f>
        <v>0</v>
      </c>
      <c r="H480" s="278">
        <f>'Приложение 8'!S72</f>
        <v>0</v>
      </c>
    </row>
    <row r="481" spans="1:8" ht="110.25">
      <c r="A481" s="32" t="s">
        <v>410</v>
      </c>
      <c r="B481" s="276" t="s">
        <v>713</v>
      </c>
      <c r="C481" s="282"/>
      <c r="D481" s="282"/>
      <c r="E481" s="248"/>
      <c r="F481" s="278">
        <f>F482+F483</f>
        <v>405.2</v>
      </c>
      <c r="G481" s="278">
        <f>G482+G483</f>
        <v>405.2</v>
      </c>
      <c r="H481" s="278">
        <f>H482+H483</f>
        <v>405.2</v>
      </c>
    </row>
    <row r="482" spans="1:8" ht="31.5">
      <c r="A482" s="32" t="s">
        <v>319</v>
      </c>
      <c r="B482" s="276" t="s">
        <v>713</v>
      </c>
      <c r="C482" s="282" t="s">
        <v>462</v>
      </c>
      <c r="D482" s="282" t="s">
        <v>143</v>
      </c>
      <c r="E482" s="248">
        <v>120</v>
      </c>
      <c r="F482" s="278">
        <f>'Приложение 8'!Q74</f>
        <v>268.9</v>
      </c>
      <c r="G482" s="278">
        <f>'Приложение 8'!R74</f>
        <v>268.9</v>
      </c>
      <c r="H482" s="278">
        <f>'Приложение 8'!S74</f>
        <v>268.9</v>
      </c>
    </row>
    <row r="483" spans="1:8" ht="34.5" customHeight="1">
      <c r="A483" s="32" t="s">
        <v>454</v>
      </c>
      <c r="B483" s="276" t="s">
        <v>713</v>
      </c>
      <c r="C483" s="282" t="s">
        <v>462</v>
      </c>
      <c r="D483" s="282" t="s">
        <v>143</v>
      </c>
      <c r="E483" s="248">
        <v>240</v>
      </c>
      <c r="F483" s="278">
        <f>'Приложение 8'!Q75</f>
        <v>136.3</v>
      </c>
      <c r="G483" s="278">
        <f>'Приложение 8'!R75</f>
        <v>136.3</v>
      </c>
      <c r="H483" s="278">
        <f>'Приложение 8'!S75</f>
        <v>136.3</v>
      </c>
    </row>
    <row r="484" spans="1:8" ht="31.5">
      <c r="A484" s="2" t="s">
        <v>538</v>
      </c>
      <c r="B484" s="276" t="s">
        <v>714</v>
      </c>
      <c r="C484" s="282" t="s">
        <v>393</v>
      </c>
      <c r="D484" s="282" t="s">
        <v>393</v>
      </c>
      <c r="E484" s="248"/>
      <c r="F484" s="278">
        <f>F485+F486</f>
        <v>852.7</v>
      </c>
      <c r="G484" s="278">
        <f>G485+G486</f>
        <v>848</v>
      </c>
      <c r="H484" s="278">
        <f>H485+H486</f>
        <v>848</v>
      </c>
    </row>
    <row r="485" spans="1:8" ht="31.5">
      <c r="A485" s="32" t="s">
        <v>319</v>
      </c>
      <c r="B485" s="276" t="s">
        <v>714</v>
      </c>
      <c r="C485" s="282" t="s">
        <v>462</v>
      </c>
      <c r="D485" s="282" t="s">
        <v>143</v>
      </c>
      <c r="E485" s="248">
        <v>120</v>
      </c>
      <c r="F485" s="278">
        <f>'Приложение 8'!Q77</f>
        <v>498.9</v>
      </c>
      <c r="G485" s="278">
        <f>'Приложение 8'!R77</f>
        <v>479.2</v>
      </c>
      <c r="H485" s="278">
        <f>'Приложение 8'!S77</f>
        <v>479.2</v>
      </c>
    </row>
    <row r="486" spans="1:8" ht="41.25" customHeight="1">
      <c r="A486" s="4" t="s">
        <v>454</v>
      </c>
      <c r="B486" s="276" t="s">
        <v>714</v>
      </c>
      <c r="C486" s="282" t="s">
        <v>462</v>
      </c>
      <c r="D486" s="282" t="s">
        <v>143</v>
      </c>
      <c r="E486" s="248">
        <v>240</v>
      </c>
      <c r="F486" s="278">
        <f>'Приложение 8'!Q78</f>
        <v>353.8</v>
      </c>
      <c r="G486" s="278">
        <f>'Приложение 8'!R78</f>
        <v>368.8</v>
      </c>
      <c r="H486" s="278">
        <f>'Приложение 8'!S78</f>
        <v>368.8</v>
      </c>
    </row>
    <row r="487" spans="1:8" ht="15.75">
      <c r="A487" s="2" t="s">
        <v>42</v>
      </c>
      <c r="B487" s="276" t="s">
        <v>821</v>
      </c>
      <c r="C487" s="282" t="s">
        <v>393</v>
      </c>
      <c r="D487" s="282" t="s">
        <v>393</v>
      </c>
      <c r="E487" s="248"/>
      <c r="F487" s="278">
        <f>F488</f>
        <v>824</v>
      </c>
      <c r="G487" s="278">
        <f>G488</f>
        <v>300</v>
      </c>
      <c r="H487" s="278">
        <f>H488</f>
        <v>350</v>
      </c>
    </row>
    <row r="488" spans="1:8" ht="42.75" customHeight="1">
      <c r="A488" s="4" t="s">
        <v>454</v>
      </c>
      <c r="B488" s="276" t="s">
        <v>820</v>
      </c>
      <c r="C488" s="282" t="s">
        <v>462</v>
      </c>
      <c r="D488" s="282" t="s">
        <v>143</v>
      </c>
      <c r="E488" s="248">
        <v>240</v>
      </c>
      <c r="F488" s="278">
        <f>'Приложение 8'!Q80</f>
        <v>824</v>
      </c>
      <c r="G488" s="278">
        <f>'Приложение 8'!R80</f>
        <v>300</v>
      </c>
      <c r="H488" s="278">
        <f>'Приложение 8'!S80</f>
        <v>350</v>
      </c>
    </row>
    <row r="489" spans="1:8" ht="47.25">
      <c r="A489" s="29" t="s">
        <v>794</v>
      </c>
      <c r="B489" s="276" t="s">
        <v>721</v>
      </c>
      <c r="C489" s="282"/>
      <c r="D489" s="282"/>
      <c r="E489" s="248"/>
      <c r="F489" s="278">
        <f>F490</f>
        <v>3554.1</v>
      </c>
      <c r="G489" s="278">
        <f>G490</f>
        <v>0</v>
      </c>
      <c r="H489" s="278">
        <f>H490</f>
        <v>0</v>
      </c>
    </row>
    <row r="490" spans="1:8" ht="31.5">
      <c r="A490" s="29" t="s">
        <v>454</v>
      </c>
      <c r="B490" s="276" t="s">
        <v>721</v>
      </c>
      <c r="C490" s="282" t="s">
        <v>462</v>
      </c>
      <c r="D490" s="282" t="s">
        <v>722</v>
      </c>
      <c r="E490" s="248">
        <v>240</v>
      </c>
      <c r="F490" s="278">
        <f>'Приложение 8'!Q124</f>
        <v>3554.1</v>
      </c>
      <c r="G490" s="278">
        <f>'Приложение 8'!R124</f>
        <v>0</v>
      </c>
      <c r="H490" s="278">
        <f>'Приложение 8'!S124</f>
        <v>0</v>
      </c>
    </row>
    <row r="491" spans="1:8" ht="94.5">
      <c r="A491" s="4" t="s">
        <v>503</v>
      </c>
      <c r="B491" s="276" t="s">
        <v>728</v>
      </c>
      <c r="C491" s="282"/>
      <c r="D491" s="282"/>
      <c r="E491" s="248"/>
      <c r="F491" s="278">
        <f>F492</f>
        <v>10.4</v>
      </c>
      <c r="G491" s="278">
        <f>G492</f>
        <v>10.4</v>
      </c>
      <c r="H491" s="278">
        <f>H492</f>
        <v>10.4</v>
      </c>
    </row>
    <row r="492" spans="1:8" ht="31.5">
      <c r="A492" s="4" t="s">
        <v>454</v>
      </c>
      <c r="B492" s="276" t="s">
        <v>728</v>
      </c>
      <c r="C492" s="282" t="s">
        <v>462</v>
      </c>
      <c r="D492" s="282" t="s">
        <v>729</v>
      </c>
      <c r="E492" s="248">
        <v>240</v>
      </c>
      <c r="F492" s="278">
        <f>'Приложение 8'!Q255</f>
        <v>10.4</v>
      </c>
      <c r="G492" s="278">
        <f>'Приложение 8'!R255</f>
        <v>10.4</v>
      </c>
      <c r="H492" s="278">
        <f>'Приложение 8'!S255</f>
        <v>10.4</v>
      </c>
    </row>
    <row r="493" spans="1:8" ht="31.5">
      <c r="A493" s="164" t="s">
        <v>538</v>
      </c>
      <c r="B493" s="276" t="s">
        <v>714</v>
      </c>
      <c r="C493" s="282"/>
      <c r="D493" s="282"/>
      <c r="E493" s="248"/>
      <c r="F493" s="278">
        <f>F494+F495</f>
        <v>140.5</v>
      </c>
      <c r="G493" s="278">
        <f>G494+G495</f>
        <v>132.3</v>
      </c>
      <c r="H493" s="278">
        <f>H494+H495</f>
        <v>132.4</v>
      </c>
    </row>
    <row r="494" spans="1:8" ht="31.5">
      <c r="A494" s="2" t="s">
        <v>319</v>
      </c>
      <c r="B494" s="276" t="s">
        <v>714</v>
      </c>
      <c r="C494" s="282" t="s">
        <v>462</v>
      </c>
      <c r="D494" s="282" t="s">
        <v>155</v>
      </c>
      <c r="E494" s="248">
        <v>120</v>
      </c>
      <c r="F494" s="278">
        <f>'Приложение 8'!Q270</f>
        <v>122.7</v>
      </c>
      <c r="G494" s="278">
        <f>'Приложение 8'!R270</f>
        <v>113.7</v>
      </c>
      <c r="H494" s="278">
        <f>'Приложение 8'!S270</f>
        <v>113.7</v>
      </c>
    </row>
    <row r="495" spans="1:8" ht="31.5">
      <c r="A495" s="4" t="s">
        <v>454</v>
      </c>
      <c r="B495" s="276" t="s">
        <v>714</v>
      </c>
      <c r="C495" s="282" t="s">
        <v>462</v>
      </c>
      <c r="D495" s="282" t="s">
        <v>155</v>
      </c>
      <c r="E495" s="248">
        <v>240</v>
      </c>
      <c r="F495" s="278">
        <f>'Приложение 8'!Q271</f>
        <v>17.8</v>
      </c>
      <c r="G495" s="278">
        <f>'Приложение 8'!R271</f>
        <v>18.6</v>
      </c>
      <c r="H495" s="278">
        <f>'Приложение 8'!S271</f>
        <v>18.7</v>
      </c>
    </row>
    <row r="496" spans="1:8" ht="94.5">
      <c r="A496" s="32" t="s">
        <v>453</v>
      </c>
      <c r="B496" s="276" t="s">
        <v>730</v>
      </c>
      <c r="C496" s="282"/>
      <c r="D496" s="282"/>
      <c r="E496" s="248"/>
      <c r="F496" s="278">
        <f>F497</f>
        <v>88.2</v>
      </c>
      <c r="G496" s="278">
        <f>G497</f>
        <v>88.2</v>
      </c>
      <c r="H496" s="278">
        <f>H497</f>
        <v>88.2</v>
      </c>
    </row>
    <row r="497" spans="1:8" ht="31.5">
      <c r="A497" s="32" t="s">
        <v>454</v>
      </c>
      <c r="B497" s="276" t="s">
        <v>730</v>
      </c>
      <c r="C497" s="282" t="s">
        <v>462</v>
      </c>
      <c r="D497" s="282" t="s">
        <v>731</v>
      </c>
      <c r="E497" s="248">
        <v>240</v>
      </c>
      <c r="F497" s="278">
        <f>'Приложение 8'!Q343</f>
        <v>88.2</v>
      </c>
      <c r="G497" s="278">
        <f>'Приложение 8'!R343</f>
        <v>88.2</v>
      </c>
      <c r="H497" s="278">
        <f>'Приложение 8'!S343</f>
        <v>88.2</v>
      </c>
    </row>
    <row r="498" spans="1:8" ht="65.25" customHeight="1">
      <c r="A498" s="32" t="s">
        <v>857</v>
      </c>
      <c r="B498" s="276" t="s">
        <v>858</v>
      </c>
      <c r="C498" s="282"/>
      <c r="D498" s="282"/>
      <c r="E498" s="248"/>
      <c r="F498" s="278">
        <f>F499</f>
        <v>680.6</v>
      </c>
      <c r="G498" s="278">
        <f>G499</f>
        <v>0</v>
      </c>
      <c r="H498" s="278">
        <f>H499</f>
        <v>0</v>
      </c>
    </row>
    <row r="499" spans="1:8" ht="32.25" customHeight="1">
      <c r="A499" s="10" t="s">
        <v>459</v>
      </c>
      <c r="B499" s="276" t="s">
        <v>858</v>
      </c>
      <c r="C499" s="277" t="s">
        <v>462</v>
      </c>
      <c r="D499" s="277" t="s">
        <v>145</v>
      </c>
      <c r="E499" s="248">
        <v>320</v>
      </c>
      <c r="F499" s="278">
        <f>'Приложение 8'!Q358</f>
        <v>680.6</v>
      </c>
      <c r="G499" s="278">
        <f>'Приложение 8'!R358</f>
        <v>0</v>
      </c>
      <c r="H499" s="278">
        <f>'Приложение 8'!S358</f>
        <v>0</v>
      </c>
    </row>
    <row r="500" spans="1:8" ht="78.75">
      <c r="A500" s="10" t="s">
        <v>325</v>
      </c>
      <c r="B500" s="276" t="s">
        <v>735</v>
      </c>
      <c r="C500" s="282"/>
      <c r="D500" s="282"/>
      <c r="E500" s="248"/>
      <c r="F500" s="278">
        <f>F501</f>
        <v>1384.3</v>
      </c>
      <c r="G500" s="278">
        <f>G501</f>
        <v>663</v>
      </c>
      <c r="H500" s="278">
        <f>H501</f>
        <v>666.6</v>
      </c>
    </row>
    <row r="501" spans="1:8" ht="31.5">
      <c r="A501" s="10" t="s">
        <v>459</v>
      </c>
      <c r="B501" s="276" t="s">
        <v>735</v>
      </c>
      <c r="C501" s="282" t="s">
        <v>462</v>
      </c>
      <c r="D501" s="282" t="s">
        <v>145</v>
      </c>
      <c r="E501" s="248">
        <v>320</v>
      </c>
      <c r="F501" s="278">
        <f>'Приложение 8'!Q360</f>
        <v>1384.3</v>
      </c>
      <c r="G501" s="278">
        <f>'Приложение 8'!R360</f>
        <v>663</v>
      </c>
      <c r="H501" s="278">
        <f>'Приложение 8'!S360</f>
        <v>666.6</v>
      </c>
    </row>
    <row r="502" spans="1:8" ht="78.75">
      <c r="A502" s="10" t="s">
        <v>52</v>
      </c>
      <c r="B502" s="276" t="s">
        <v>736</v>
      </c>
      <c r="C502" s="282"/>
      <c r="D502" s="282"/>
      <c r="E502" s="248"/>
      <c r="F502" s="278">
        <f>F503</f>
        <v>687.6</v>
      </c>
      <c r="G502" s="278">
        <f>G503</f>
        <v>654.4</v>
      </c>
      <c r="H502" s="278">
        <f>H503</f>
        <v>653.4</v>
      </c>
    </row>
    <row r="503" spans="1:8" ht="31.5">
      <c r="A503" s="10" t="s">
        <v>459</v>
      </c>
      <c r="B503" s="276" t="s">
        <v>736</v>
      </c>
      <c r="C503" s="282" t="s">
        <v>462</v>
      </c>
      <c r="D503" s="282" t="s">
        <v>145</v>
      </c>
      <c r="E503" s="248">
        <v>320</v>
      </c>
      <c r="F503" s="278">
        <f>'Приложение 8'!Q362</f>
        <v>687.6</v>
      </c>
      <c r="G503" s="278">
        <f>'Приложение 8'!R362</f>
        <v>654.4</v>
      </c>
      <c r="H503" s="278">
        <f>'Приложение 8'!S362</f>
        <v>653.4</v>
      </c>
    </row>
    <row r="504" spans="1:8" ht="31.5">
      <c r="A504" s="10" t="s">
        <v>538</v>
      </c>
      <c r="B504" s="276" t="s">
        <v>714</v>
      </c>
      <c r="C504" s="282"/>
      <c r="D504" s="282"/>
      <c r="E504" s="248"/>
      <c r="F504" s="278">
        <f>F505+F506</f>
        <v>1335.6</v>
      </c>
      <c r="G504" s="278">
        <f>G505+G506</f>
        <v>1304.5</v>
      </c>
      <c r="H504" s="278">
        <f>H505+H506</f>
        <v>1304.5</v>
      </c>
    </row>
    <row r="505" spans="1:8" ht="31.5">
      <c r="A505" s="10" t="s">
        <v>319</v>
      </c>
      <c r="B505" s="276" t="s">
        <v>714</v>
      </c>
      <c r="C505" s="282" t="s">
        <v>462</v>
      </c>
      <c r="D505" s="282" t="s">
        <v>738</v>
      </c>
      <c r="E505" s="248">
        <v>120</v>
      </c>
      <c r="F505" s="278">
        <f>'Приложение 8'!Q370</f>
        <v>1307.8</v>
      </c>
      <c r="G505" s="278">
        <f>'Приложение 8'!R370</f>
        <v>1276.7</v>
      </c>
      <c r="H505" s="278">
        <f>'Приложение 8'!S370</f>
        <v>1276.7</v>
      </c>
    </row>
    <row r="506" spans="1:8" ht="31.5">
      <c r="A506" s="188" t="s">
        <v>454</v>
      </c>
      <c r="B506" s="276" t="s">
        <v>714</v>
      </c>
      <c r="C506" s="282" t="s">
        <v>462</v>
      </c>
      <c r="D506" s="282" t="s">
        <v>738</v>
      </c>
      <c r="E506" s="248">
        <v>240</v>
      </c>
      <c r="F506" s="278">
        <f>'Приложение 8'!Q371</f>
        <v>27.8</v>
      </c>
      <c r="G506" s="278">
        <f>'Приложение 8'!R371</f>
        <v>27.8</v>
      </c>
      <c r="H506" s="278">
        <f>'Приложение 8'!S371</f>
        <v>27.8</v>
      </c>
    </row>
    <row r="507" spans="1:8" s="348" customFormat="1" ht="47.25">
      <c r="A507" s="298" t="s">
        <v>57</v>
      </c>
      <c r="B507" s="345" t="s">
        <v>715</v>
      </c>
      <c r="C507" s="346"/>
      <c r="D507" s="346"/>
      <c r="E507" s="345"/>
      <c r="F507" s="347">
        <f>F508+F514+F517</f>
        <v>33567.3</v>
      </c>
      <c r="G507" s="347">
        <f>G508+G514+G517</f>
        <v>37072</v>
      </c>
      <c r="H507" s="347">
        <f>H508+H514+H517</f>
        <v>33286.799999999996</v>
      </c>
    </row>
    <row r="508" spans="1:8" ht="31.5">
      <c r="A508" s="10" t="s">
        <v>102</v>
      </c>
      <c r="B508" s="276" t="s">
        <v>716</v>
      </c>
      <c r="C508" s="282"/>
      <c r="D508" s="282"/>
      <c r="E508" s="248"/>
      <c r="F508" s="278">
        <f>F509+F510+F511+F512+F513</f>
        <v>18395.3</v>
      </c>
      <c r="G508" s="278">
        <f>G509+G510+G511+G512</f>
        <v>22963.899999999998</v>
      </c>
      <c r="H508" s="278">
        <f>H509+H510+H511+H512</f>
        <v>19178.699999999997</v>
      </c>
    </row>
    <row r="509" spans="1:8" ht="15.75">
      <c r="A509" s="10" t="s">
        <v>456</v>
      </c>
      <c r="B509" s="276" t="s">
        <v>716</v>
      </c>
      <c r="C509" s="282" t="s">
        <v>462</v>
      </c>
      <c r="D509" s="282" t="s">
        <v>143</v>
      </c>
      <c r="E509" s="248">
        <v>610</v>
      </c>
      <c r="F509" s="278">
        <f>'Приложение 8'!Q83</f>
        <v>360.6</v>
      </c>
      <c r="G509" s="278">
        <f>'Приложение 8'!R83</f>
        <v>360.6</v>
      </c>
      <c r="H509" s="278">
        <f>'Приложение 8'!S83</f>
        <v>360.6</v>
      </c>
    </row>
    <row r="510" spans="1:8" ht="15.75">
      <c r="A510" s="10" t="s">
        <v>492</v>
      </c>
      <c r="B510" s="276" t="s">
        <v>716</v>
      </c>
      <c r="C510" s="282" t="s">
        <v>462</v>
      </c>
      <c r="D510" s="282" t="s">
        <v>143</v>
      </c>
      <c r="E510" s="248">
        <v>620</v>
      </c>
      <c r="F510" s="278">
        <f>'Приложение 8'!Q84</f>
        <v>16186.4</v>
      </c>
      <c r="G510" s="278">
        <f>'Приложение 8'!R84</f>
        <v>20824.5</v>
      </c>
      <c r="H510" s="278">
        <f>'Приложение 8'!S84</f>
        <v>17039.3</v>
      </c>
    </row>
    <row r="511" spans="1:8" ht="21" customHeight="1">
      <c r="A511" s="10" t="s">
        <v>457</v>
      </c>
      <c r="B511" s="276" t="s">
        <v>716</v>
      </c>
      <c r="C511" s="282" t="s">
        <v>462</v>
      </c>
      <c r="D511" s="282" t="s">
        <v>720</v>
      </c>
      <c r="E511" s="248">
        <v>110</v>
      </c>
      <c r="F511" s="278">
        <f>'Приложение 8'!Q97</f>
        <v>1675.1</v>
      </c>
      <c r="G511" s="278">
        <f>'Приложение 8'!R97</f>
        <v>1625.8</v>
      </c>
      <c r="H511" s="278">
        <f>'Приложение 8'!S97</f>
        <v>1625.8</v>
      </c>
    </row>
    <row r="512" spans="1:8" ht="31.5">
      <c r="A512" s="4" t="s">
        <v>454</v>
      </c>
      <c r="B512" s="276" t="s">
        <v>716</v>
      </c>
      <c r="C512" s="282" t="s">
        <v>462</v>
      </c>
      <c r="D512" s="282" t="s">
        <v>720</v>
      </c>
      <c r="E512" s="248">
        <v>240</v>
      </c>
      <c r="F512" s="278">
        <f>'Приложение 8'!Q98</f>
        <v>173</v>
      </c>
      <c r="G512" s="278">
        <f>'Приложение 8'!R98</f>
        <v>153</v>
      </c>
      <c r="H512" s="278">
        <f>'Приложение 8'!S98</f>
        <v>153</v>
      </c>
    </row>
    <row r="513" spans="1:8" ht="15.75">
      <c r="A513" s="104" t="s">
        <v>455</v>
      </c>
      <c r="B513" s="276" t="s">
        <v>716</v>
      </c>
      <c r="C513" s="282" t="s">
        <v>462</v>
      </c>
      <c r="D513" s="282" t="s">
        <v>720</v>
      </c>
      <c r="E513" s="248">
        <v>850</v>
      </c>
      <c r="F513" s="278">
        <f>'Приложение 8'!Q99</f>
        <v>0.2</v>
      </c>
      <c r="G513" s="278">
        <f>'Приложение 8'!R99</f>
        <v>0</v>
      </c>
      <c r="H513" s="278">
        <f>'Приложение 8'!S99</f>
        <v>0</v>
      </c>
    </row>
    <row r="514" spans="1:8" ht="63">
      <c r="A514" s="10" t="s">
        <v>595</v>
      </c>
      <c r="B514" s="276" t="s">
        <v>717</v>
      </c>
      <c r="C514" s="282"/>
      <c r="D514" s="282"/>
      <c r="E514" s="248"/>
      <c r="F514" s="278">
        <f>F515+F516</f>
        <v>10462.400000000001</v>
      </c>
      <c r="G514" s="278">
        <f>G515+G516</f>
        <v>9565.6</v>
      </c>
      <c r="H514" s="278">
        <f>H515+H516</f>
        <v>9565.6</v>
      </c>
    </row>
    <row r="515" spans="1:8" ht="15.75">
      <c r="A515" s="10" t="s">
        <v>492</v>
      </c>
      <c r="B515" s="276" t="s">
        <v>717</v>
      </c>
      <c r="C515" s="282" t="s">
        <v>718</v>
      </c>
      <c r="D515" s="282" t="s">
        <v>143</v>
      </c>
      <c r="E515" s="248">
        <v>620</v>
      </c>
      <c r="F515" s="278">
        <f>'Приложение 8'!Q86</f>
        <v>10065.2</v>
      </c>
      <c r="G515" s="278">
        <f>'Приложение 8'!R86</f>
        <v>9228.7</v>
      </c>
      <c r="H515" s="278">
        <f>'Приложение 8'!S86</f>
        <v>9228.7</v>
      </c>
    </row>
    <row r="516" spans="1:8" ht="16.5" customHeight="1">
      <c r="A516" s="10" t="s">
        <v>457</v>
      </c>
      <c r="B516" s="276" t="s">
        <v>717</v>
      </c>
      <c r="C516" s="282" t="s">
        <v>462</v>
      </c>
      <c r="D516" s="282" t="s">
        <v>720</v>
      </c>
      <c r="E516" s="248">
        <v>110</v>
      </c>
      <c r="F516" s="278">
        <f>'Приложение 8'!Q101</f>
        <v>397.2</v>
      </c>
      <c r="G516" s="278">
        <f>'Приложение 8'!R101</f>
        <v>336.9</v>
      </c>
      <c r="H516" s="278">
        <f>'Приложение 8'!S101</f>
        <v>336.9</v>
      </c>
    </row>
    <row r="517" spans="1:8" ht="126">
      <c r="A517" s="10" t="s">
        <v>104</v>
      </c>
      <c r="B517" s="276" t="s">
        <v>719</v>
      </c>
      <c r="C517" s="282"/>
      <c r="D517" s="282"/>
      <c r="E517" s="248"/>
      <c r="F517" s="278">
        <f>F518</f>
        <v>4709.6</v>
      </c>
      <c r="G517" s="278">
        <f>G518</f>
        <v>4542.5</v>
      </c>
      <c r="H517" s="278">
        <f>H518</f>
        <v>4542.5</v>
      </c>
    </row>
    <row r="518" spans="1:8" ht="15.75">
      <c r="A518" s="10" t="s">
        <v>456</v>
      </c>
      <c r="B518" s="276" t="s">
        <v>719</v>
      </c>
      <c r="C518" s="282" t="s">
        <v>462</v>
      </c>
      <c r="D518" s="282" t="s">
        <v>143</v>
      </c>
      <c r="E518" s="248">
        <v>610</v>
      </c>
      <c r="F518" s="278">
        <f>'Приложение 8'!Q88</f>
        <v>4709.6</v>
      </c>
      <c r="G518" s="278">
        <f>'Приложение 8'!R88</f>
        <v>4542.5</v>
      </c>
      <c r="H518" s="278">
        <f>'Приложение 8'!S88</f>
        <v>4542.5</v>
      </c>
    </row>
    <row r="519" spans="1:8" s="348" customFormat="1" ht="63">
      <c r="A519" s="297" t="s">
        <v>56</v>
      </c>
      <c r="B519" s="345" t="s">
        <v>732</v>
      </c>
      <c r="C519" s="346"/>
      <c r="D519" s="346"/>
      <c r="E519" s="345"/>
      <c r="F519" s="347">
        <f>F520+F522+F524+F526</f>
        <v>2583</v>
      </c>
      <c r="G519" s="347">
        <f>G520+G522+G524+G526</f>
        <v>2615</v>
      </c>
      <c r="H519" s="347">
        <f>H520+H522+H524+H526</f>
        <v>2615</v>
      </c>
    </row>
    <row r="520" spans="1:8" ht="21.75" customHeight="1">
      <c r="A520" s="10" t="s">
        <v>67</v>
      </c>
      <c r="B520" s="276" t="s">
        <v>733</v>
      </c>
      <c r="C520" s="282"/>
      <c r="D520" s="282"/>
      <c r="E520" s="248"/>
      <c r="F520" s="278">
        <f>F521</f>
        <v>2028</v>
      </c>
      <c r="G520" s="278">
        <f>G521</f>
        <v>2160</v>
      </c>
      <c r="H520" s="278">
        <f>H521</f>
        <v>2160</v>
      </c>
    </row>
    <row r="521" spans="1:8" ht="15.75" customHeight="1">
      <c r="A521" s="10" t="s">
        <v>459</v>
      </c>
      <c r="B521" s="276" t="s">
        <v>733</v>
      </c>
      <c r="C521" s="277" t="s">
        <v>462</v>
      </c>
      <c r="D521" s="277" t="s">
        <v>734</v>
      </c>
      <c r="E521" s="248">
        <v>320</v>
      </c>
      <c r="F521" s="278">
        <f>'Приложение 8'!Q349</f>
        <v>2028</v>
      </c>
      <c r="G521" s="278">
        <f>'Приложение 8'!R349</f>
        <v>2160</v>
      </c>
      <c r="H521" s="278">
        <f>'Приложение 8'!S349</f>
        <v>2160</v>
      </c>
    </row>
    <row r="522" spans="1:8" ht="15.75" customHeight="1">
      <c r="A522" s="4" t="s">
        <v>70</v>
      </c>
      <c r="B522" s="276" t="s">
        <v>737</v>
      </c>
      <c r="C522" s="277"/>
      <c r="D522" s="277"/>
      <c r="E522" s="248"/>
      <c r="F522" s="278">
        <f>F523</f>
        <v>360</v>
      </c>
      <c r="G522" s="278">
        <f>G523</f>
        <v>360</v>
      </c>
      <c r="H522" s="278">
        <f>H523</f>
        <v>360</v>
      </c>
    </row>
    <row r="523" spans="1:8" ht="31.5">
      <c r="A523" s="4" t="s">
        <v>458</v>
      </c>
      <c r="B523" s="276" t="s">
        <v>737</v>
      </c>
      <c r="C523" s="282" t="s">
        <v>462</v>
      </c>
      <c r="D523" s="282" t="s">
        <v>145</v>
      </c>
      <c r="E523" s="248">
        <v>310</v>
      </c>
      <c r="F523" s="278">
        <f>'Приложение 8'!Q365</f>
        <v>360</v>
      </c>
      <c r="G523" s="278">
        <f>'Приложение 8'!R365</f>
        <v>360</v>
      </c>
      <c r="H523" s="278">
        <f>'Приложение 8'!S365</f>
        <v>360</v>
      </c>
    </row>
    <row r="524" spans="1:8" ht="47.25">
      <c r="A524" s="10" t="s">
        <v>588</v>
      </c>
      <c r="B524" s="276" t="s">
        <v>739</v>
      </c>
      <c r="C524" s="282"/>
      <c r="D524" s="282"/>
      <c r="E524" s="248"/>
      <c r="F524" s="278">
        <f>F525</f>
        <v>45</v>
      </c>
      <c r="G524" s="278">
        <f>G525</f>
        <v>45</v>
      </c>
      <c r="H524" s="278">
        <f>H525</f>
        <v>45</v>
      </c>
    </row>
    <row r="525" spans="1:8" ht="47.25">
      <c r="A525" s="4" t="s">
        <v>310</v>
      </c>
      <c r="B525" s="276" t="s">
        <v>739</v>
      </c>
      <c r="C525" s="282" t="s">
        <v>462</v>
      </c>
      <c r="D525" s="282" t="s">
        <v>738</v>
      </c>
      <c r="E525" s="248">
        <v>630</v>
      </c>
      <c r="F525" s="278">
        <f>'Приложение 8'!Q374</f>
        <v>45</v>
      </c>
      <c r="G525" s="278">
        <f>'Приложение 8'!R374</f>
        <v>45</v>
      </c>
      <c r="H525" s="278">
        <f>'Приложение 8'!S374</f>
        <v>45</v>
      </c>
    </row>
    <row r="526" spans="1:8" ht="15.75">
      <c r="A526" s="4" t="s">
        <v>622</v>
      </c>
      <c r="B526" s="276" t="s">
        <v>740</v>
      </c>
      <c r="C526" s="282"/>
      <c r="D526" s="282"/>
      <c r="E526" s="248"/>
      <c r="F526" s="278">
        <f>F527+F529+F528</f>
        <v>150</v>
      </c>
      <c r="G526" s="278">
        <f>G527</f>
        <v>50</v>
      </c>
      <c r="H526" s="278">
        <f>H527</f>
        <v>50</v>
      </c>
    </row>
    <row r="527" spans="1:8" ht="39" customHeight="1">
      <c r="A527" s="188" t="s">
        <v>454</v>
      </c>
      <c r="B527" s="276" t="s">
        <v>740</v>
      </c>
      <c r="C527" s="282" t="s">
        <v>462</v>
      </c>
      <c r="D527" s="282" t="s">
        <v>738</v>
      </c>
      <c r="E527" s="248">
        <v>240</v>
      </c>
      <c r="F527" s="278">
        <f>'Приложение 8'!Q376</f>
        <v>57</v>
      </c>
      <c r="G527" s="278">
        <f>'Приложение 8'!R376</f>
        <v>50</v>
      </c>
      <c r="H527" s="278">
        <f>'Приложение 8'!S376</f>
        <v>50</v>
      </c>
    </row>
    <row r="528" spans="1:8" ht="28.5" customHeight="1">
      <c r="A528" s="10" t="s">
        <v>492</v>
      </c>
      <c r="B528" s="276" t="s">
        <v>740</v>
      </c>
      <c r="C528" s="277" t="s">
        <v>462</v>
      </c>
      <c r="D528" s="277" t="s">
        <v>143</v>
      </c>
      <c r="E528" s="248">
        <v>620</v>
      </c>
      <c r="F528" s="278">
        <f>'Приложение 8'!Q91</f>
        <v>30</v>
      </c>
      <c r="G528" s="278">
        <f>'Приложение 8'!R91</f>
        <v>0</v>
      </c>
      <c r="H528" s="278">
        <f>'Приложение 8'!S91</f>
        <v>0</v>
      </c>
    </row>
    <row r="529" spans="1:8" ht="30" customHeight="1">
      <c r="A529" s="10" t="s">
        <v>456</v>
      </c>
      <c r="B529" s="276" t="s">
        <v>740</v>
      </c>
      <c r="C529" s="277" t="s">
        <v>462</v>
      </c>
      <c r="D529" s="277" t="s">
        <v>233</v>
      </c>
      <c r="E529" s="248">
        <v>610</v>
      </c>
      <c r="F529" s="278">
        <f>'Приложение 8'!Q337</f>
        <v>63</v>
      </c>
      <c r="G529" s="278">
        <f>'Приложение 8'!R337</f>
        <v>0</v>
      </c>
      <c r="H529" s="278">
        <f>'Приложение 8'!S337</f>
        <v>0</v>
      </c>
    </row>
    <row r="530" spans="1:8" s="341" customFormat="1" ht="63">
      <c r="A530" s="309" t="s">
        <v>645</v>
      </c>
      <c r="B530" s="322" t="s">
        <v>306</v>
      </c>
      <c r="C530" s="339"/>
      <c r="D530" s="339"/>
      <c r="E530" s="322"/>
      <c r="F530" s="340">
        <f>F531</f>
        <v>0</v>
      </c>
      <c r="G530" s="340">
        <f aca="true" t="shared" si="36" ref="G530:H532">G531</f>
        <v>0</v>
      </c>
      <c r="H530" s="340">
        <f t="shared" si="36"/>
        <v>203.4</v>
      </c>
    </row>
    <row r="531" spans="1:8" ht="63">
      <c r="A531" s="122" t="s">
        <v>701</v>
      </c>
      <c r="B531" s="276" t="s">
        <v>307</v>
      </c>
      <c r="C531" s="282"/>
      <c r="D531" s="282"/>
      <c r="E531" s="248"/>
      <c r="F531" s="278">
        <f>F532</f>
        <v>0</v>
      </c>
      <c r="G531" s="278">
        <f t="shared" si="36"/>
        <v>0</v>
      </c>
      <c r="H531" s="278">
        <f t="shared" si="36"/>
        <v>203.4</v>
      </c>
    </row>
    <row r="532" spans="1:8" ht="15.75">
      <c r="A532" s="17" t="s">
        <v>530</v>
      </c>
      <c r="B532" s="276" t="s">
        <v>308</v>
      </c>
      <c r="C532" s="282"/>
      <c r="D532" s="282"/>
      <c r="E532" s="248"/>
      <c r="F532" s="278">
        <f>F533</f>
        <v>0</v>
      </c>
      <c r="G532" s="278">
        <f t="shared" si="36"/>
        <v>0</v>
      </c>
      <c r="H532" s="278">
        <f t="shared" si="36"/>
        <v>203.4</v>
      </c>
    </row>
    <row r="533" spans="1:8" ht="21.75" customHeight="1">
      <c r="A533" s="17" t="s">
        <v>454</v>
      </c>
      <c r="B533" s="276" t="s">
        <v>308</v>
      </c>
      <c r="C533" s="282" t="s">
        <v>462</v>
      </c>
      <c r="D533" s="282" t="s">
        <v>217</v>
      </c>
      <c r="E533" s="248">
        <v>240</v>
      </c>
      <c r="F533" s="278">
        <f>'Приложение 8'!Q238</f>
        <v>0</v>
      </c>
      <c r="G533" s="278">
        <f>'Приложение 8'!R238</f>
        <v>0</v>
      </c>
      <c r="H533" s="278">
        <f>'Приложение 8'!S238</f>
        <v>203.4</v>
      </c>
    </row>
    <row r="534" spans="1:8" ht="15.75" customHeight="1">
      <c r="A534" s="10"/>
      <c r="B534" s="276"/>
      <c r="C534" s="277"/>
      <c r="D534" s="277"/>
      <c r="E534" s="248"/>
      <c r="F534" s="278"/>
      <c r="G534" s="344"/>
      <c r="H534" s="344"/>
    </row>
    <row r="535" spans="1:8" s="341" customFormat="1" ht="14.25">
      <c r="A535" s="404" t="s">
        <v>229</v>
      </c>
      <c r="B535" s="405"/>
      <c r="C535" s="405"/>
      <c r="D535" s="405"/>
      <c r="E535" s="406"/>
      <c r="F535" s="349">
        <f>F17+F51+F62+F97+F109+F127+F215+F238+F251+F301+F336+F355+F373+F380+F390+F394+F404+F435+F530+F47</f>
        <v>645548.7000000001</v>
      </c>
      <c r="G535" s="349">
        <f>G17+G51+G62+G97+G109+G127+G215+G238+G251+G301+G336+G355+G373+G380+G390+G394+G404+G435+G530</f>
        <v>529122.6000000001</v>
      </c>
      <c r="H535" s="349">
        <f>H17+H51+H62+H97+H109+H127+H215+H238+H251+H301+H336+H355+H373+H380+H390+H394+H404+H435+H530</f>
        <v>470120.9</v>
      </c>
    </row>
    <row r="536" spans="6:8" ht="15">
      <c r="F536" s="351" t="s">
        <v>393</v>
      </c>
      <c r="H536" s="352" t="s">
        <v>314</v>
      </c>
    </row>
  </sheetData>
  <sheetProtection/>
  <mergeCells count="17">
    <mergeCell ref="A12:F12"/>
    <mergeCell ref="A535:E535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2" customWidth="1"/>
    <col min="2" max="2" width="15.00390625" style="242" customWidth="1"/>
    <col min="3" max="3" width="6.8515625" style="246" customWidth="1"/>
    <col min="4" max="4" width="5.28125" style="246" customWidth="1"/>
    <col min="5" max="5" width="6.28125" style="242" customWidth="1"/>
    <col min="6" max="6" width="10.8515625" style="247" hidden="1" customWidth="1"/>
    <col min="7" max="7" width="10.7109375" style="247" customWidth="1"/>
    <col min="8" max="8" width="10.140625" style="247" customWidth="1"/>
    <col min="9" max="16384" width="9.140625" style="242" customWidth="1"/>
  </cols>
  <sheetData>
    <row r="1" spans="2:8" ht="18.75">
      <c r="B1" s="400" t="s">
        <v>550</v>
      </c>
      <c r="C1" s="400"/>
      <c r="D1" s="400"/>
      <c r="E1" s="400"/>
      <c r="F1" s="400"/>
      <c r="G1" s="400"/>
      <c r="H1" s="400"/>
    </row>
    <row r="2" spans="2:8" ht="18.75">
      <c r="B2" s="410" t="s">
        <v>247</v>
      </c>
      <c r="C2" s="410"/>
      <c r="D2" s="410"/>
      <c r="E2" s="410"/>
      <c r="F2" s="410"/>
      <c r="G2" s="410"/>
      <c r="H2" s="410"/>
    </row>
    <row r="3" spans="2:8" ht="18.75">
      <c r="B3" s="410" t="s">
        <v>694</v>
      </c>
      <c r="C3" s="410"/>
      <c r="D3" s="410"/>
      <c r="E3" s="410"/>
      <c r="F3" s="410"/>
      <c r="G3" s="410"/>
      <c r="H3" s="410"/>
    </row>
    <row r="4" spans="1:9" ht="22.5" customHeight="1">
      <c r="A4" s="241"/>
      <c r="B4" s="401" t="s">
        <v>696</v>
      </c>
      <c r="C4" s="401"/>
      <c r="D4" s="401"/>
      <c r="E4" s="401"/>
      <c r="F4" s="262"/>
      <c r="G4" s="262"/>
      <c r="H4" s="262"/>
      <c r="I4" s="262"/>
    </row>
    <row r="5" spans="1:9" ht="22.5" customHeight="1">
      <c r="A5" s="241"/>
      <c r="B5" s="402" t="s">
        <v>247</v>
      </c>
      <c r="C5" s="402"/>
      <c r="D5" s="402"/>
      <c r="E5" s="402"/>
      <c r="F5" s="402"/>
      <c r="G5" s="402"/>
      <c r="H5" s="402"/>
      <c r="I5" s="402"/>
    </row>
    <row r="6" spans="1:9" ht="19.5" customHeight="1">
      <c r="A6" s="241"/>
      <c r="B6" s="401" t="s">
        <v>248</v>
      </c>
      <c r="C6" s="401"/>
      <c r="D6" s="401"/>
      <c r="E6" s="401"/>
      <c r="F6" s="401"/>
      <c r="G6" s="401"/>
      <c r="H6" s="401"/>
      <c r="I6" s="401"/>
    </row>
    <row r="7" spans="1:9" ht="19.5" customHeight="1">
      <c r="A7" s="241"/>
      <c r="B7" s="401" t="s">
        <v>563</v>
      </c>
      <c r="C7" s="401"/>
      <c r="D7" s="401"/>
      <c r="E7" s="401"/>
      <c r="F7" s="401"/>
      <c r="G7" s="401"/>
      <c r="H7" s="401"/>
      <c r="I7" s="401"/>
    </row>
    <row r="8" spans="1:9" ht="18.75">
      <c r="A8" s="241"/>
      <c r="B8" s="184" t="s">
        <v>695</v>
      </c>
      <c r="C8" s="184"/>
      <c r="D8" s="184"/>
      <c r="E8" s="184"/>
      <c r="F8" s="243"/>
      <c r="G8" s="243"/>
      <c r="H8" s="244"/>
      <c r="I8" s="186"/>
    </row>
    <row r="9" spans="1:9" ht="18.75">
      <c r="A9" s="241"/>
      <c r="B9" s="184"/>
      <c r="C9" s="184"/>
      <c r="D9" s="184"/>
      <c r="E9" s="184"/>
      <c r="F9" s="243"/>
      <c r="G9" s="243"/>
      <c r="H9" s="244"/>
      <c r="I9" s="186"/>
    </row>
    <row r="10" spans="1:9" ht="18.75">
      <c r="A10" s="417" t="s">
        <v>144</v>
      </c>
      <c r="B10" s="417"/>
      <c r="C10" s="417"/>
      <c r="D10" s="417"/>
      <c r="E10" s="417"/>
      <c r="F10" s="417"/>
      <c r="G10" s="417"/>
      <c r="H10" s="417"/>
      <c r="I10" s="234"/>
    </row>
    <row r="11" spans="1:9" ht="18.75">
      <c r="A11" s="417" t="s">
        <v>504</v>
      </c>
      <c r="B11" s="417"/>
      <c r="C11" s="417"/>
      <c r="D11" s="417"/>
      <c r="E11" s="417"/>
      <c r="F11" s="417"/>
      <c r="G11" s="417"/>
      <c r="H11" s="417"/>
      <c r="I11" s="233"/>
    </row>
    <row r="12" spans="1:9" ht="18.75">
      <c r="A12" s="418" t="s">
        <v>244</v>
      </c>
      <c r="B12" s="418"/>
      <c r="C12" s="418"/>
      <c r="D12" s="418"/>
      <c r="E12" s="418"/>
      <c r="F12" s="418"/>
      <c r="G12" s="418"/>
      <c r="H12" s="418"/>
      <c r="I12" s="232"/>
    </row>
    <row r="13" spans="1:8" ht="30.75" customHeight="1">
      <c r="A13" s="252"/>
      <c r="B13" s="252"/>
      <c r="C13" s="253"/>
      <c r="D13" s="253"/>
      <c r="E13" s="252"/>
      <c r="F13" s="254"/>
      <c r="G13" s="419" t="s">
        <v>570</v>
      </c>
      <c r="H13" s="419"/>
    </row>
    <row r="14" spans="1:8" ht="15.75">
      <c r="A14" s="414" t="s">
        <v>258</v>
      </c>
      <c r="B14" s="414" t="s">
        <v>254</v>
      </c>
      <c r="C14" s="415" t="s">
        <v>257</v>
      </c>
      <c r="D14" s="415" t="s">
        <v>142</v>
      </c>
      <c r="E14" s="414" t="s">
        <v>253</v>
      </c>
      <c r="F14" s="416" t="s">
        <v>252</v>
      </c>
      <c r="G14" s="416"/>
      <c r="H14" s="416"/>
    </row>
    <row r="15" spans="1:8" ht="15.75">
      <c r="A15" s="414"/>
      <c r="B15" s="414"/>
      <c r="C15" s="415"/>
      <c r="D15" s="415"/>
      <c r="E15" s="414"/>
      <c r="F15" s="255" t="s">
        <v>568</v>
      </c>
      <c r="G15" s="255" t="s">
        <v>41</v>
      </c>
      <c r="H15" s="255" t="s">
        <v>562</v>
      </c>
    </row>
    <row r="16" spans="1:8" ht="15.75">
      <c r="A16" s="256">
        <v>1</v>
      </c>
      <c r="B16" s="256">
        <v>2</v>
      </c>
      <c r="C16" s="257">
        <v>3</v>
      </c>
      <c r="D16" s="257">
        <v>4</v>
      </c>
      <c r="E16" s="256">
        <v>5</v>
      </c>
      <c r="F16" s="257">
        <v>6</v>
      </c>
      <c r="G16" s="257" t="s">
        <v>245</v>
      </c>
      <c r="H16" s="257" t="s">
        <v>246</v>
      </c>
    </row>
    <row r="17" spans="1:8" s="245" customFormat="1" ht="81.75" customHeight="1">
      <c r="A17" s="249" t="s">
        <v>506</v>
      </c>
      <c r="B17" s="236" t="s">
        <v>464</v>
      </c>
      <c r="C17" s="237"/>
      <c r="D17" s="237"/>
      <c r="E17" s="236"/>
      <c r="F17" s="240" t="e">
        <f>F18+#REF!+F21+F24+F27+#REF!</f>
        <v>#REF!</v>
      </c>
      <c r="G17" s="240" t="e">
        <f>G18+G21+G24+G27</f>
        <v>#REF!</v>
      </c>
      <c r="H17" s="240">
        <v>0</v>
      </c>
    </row>
    <row r="18" spans="1:8" ht="31.5">
      <c r="A18" s="258" t="s">
        <v>411</v>
      </c>
      <c r="B18" s="259" t="s">
        <v>470</v>
      </c>
      <c r="C18" s="260"/>
      <c r="D18" s="260"/>
      <c r="E18" s="259"/>
      <c r="F18" s="261">
        <f>F19</f>
        <v>3419</v>
      </c>
      <c r="G18" s="261" t="e">
        <f>G19</f>
        <v>#REF!</v>
      </c>
      <c r="H18" s="261">
        <v>0</v>
      </c>
    </row>
    <row r="19" spans="1:8" ht="47.25">
      <c r="A19" s="258" t="s">
        <v>469</v>
      </c>
      <c r="B19" s="259" t="s">
        <v>471</v>
      </c>
      <c r="C19" s="260"/>
      <c r="D19" s="260"/>
      <c r="E19" s="259"/>
      <c r="F19" s="261">
        <f>SUM(F20:F20)</f>
        <v>3419</v>
      </c>
      <c r="G19" s="261" t="e">
        <f>G20</f>
        <v>#REF!</v>
      </c>
      <c r="H19" s="261">
        <v>0</v>
      </c>
    </row>
    <row r="20" spans="1:8" ht="47.25">
      <c r="A20" s="258" t="s">
        <v>454</v>
      </c>
      <c r="B20" s="259" t="s">
        <v>471</v>
      </c>
      <c r="C20" s="260" t="s">
        <v>462</v>
      </c>
      <c r="D20" s="260" t="s">
        <v>146</v>
      </c>
      <c r="E20" s="259">
        <v>240</v>
      </c>
      <c r="F20" s="261">
        <f>'Приложение 8'!Q129</f>
        <v>3419</v>
      </c>
      <c r="G20" s="261" t="e">
        <f>#REF!</f>
        <v>#REF!</v>
      </c>
      <c r="H20" s="261">
        <v>0</v>
      </c>
    </row>
    <row r="21" spans="1:8" ht="47.25">
      <c r="A21" s="258" t="s">
        <v>16</v>
      </c>
      <c r="B21" s="259" t="s">
        <v>466</v>
      </c>
      <c r="C21" s="260"/>
      <c r="D21" s="260"/>
      <c r="E21" s="259"/>
      <c r="F21" s="261">
        <f>F22</f>
        <v>7993.200000000001</v>
      </c>
      <c r="G21" s="261" t="e">
        <f>G22</f>
        <v>#REF!</v>
      </c>
      <c r="H21" s="261">
        <v>0</v>
      </c>
    </row>
    <row r="22" spans="1:8" ht="31.5">
      <c r="A22" s="258" t="s">
        <v>497</v>
      </c>
      <c r="B22" s="259" t="s">
        <v>35</v>
      </c>
      <c r="C22" s="260"/>
      <c r="D22" s="260"/>
      <c r="E22" s="259"/>
      <c r="F22" s="261">
        <f>F23</f>
        <v>7993.200000000001</v>
      </c>
      <c r="G22" s="261" t="e">
        <f>G23</f>
        <v>#REF!</v>
      </c>
      <c r="H22" s="261">
        <v>0</v>
      </c>
    </row>
    <row r="23" spans="1:8" ht="47.25">
      <c r="A23" s="258" t="s">
        <v>454</v>
      </c>
      <c r="B23" s="259" t="s">
        <v>35</v>
      </c>
      <c r="C23" s="260" t="s">
        <v>462</v>
      </c>
      <c r="D23" s="260" t="s">
        <v>146</v>
      </c>
      <c r="E23" s="259">
        <v>240</v>
      </c>
      <c r="F23" s="261">
        <f>'Приложение 8'!Q136</f>
        <v>7993.200000000001</v>
      </c>
      <c r="G23" s="261" t="e">
        <f>#REF!</f>
        <v>#REF!</v>
      </c>
      <c r="H23" s="261">
        <v>0</v>
      </c>
    </row>
    <row r="24" spans="1:8" ht="47.25">
      <c r="A24" s="258" t="s">
        <v>508</v>
      </c>
      <c r="B24" s="259" t="s">
        <v>467</v>
      </c>
      <c r="C24" s="260"/>
      <c r="D24" s="260"/>
      <c r="E24" s="259"/>
      <c r="F24" s="261">
        <f>F25</f>
        <v>200</v>
      </c>
      <c r="G24" s="261" t="e">
        <f>G25</f>
        <v>#REF!</v>
      </c>
      <c r="H24" s="261">
        <v>0</v>
      </c>
    </row>
    <row r="25" spans="1:8" ht="31.5">
      <c r="A25" s="258" t="s">
        <v>497</v>
      </c>
      <c r="B25" s="259" t="s">
        <v>509</v>
      </c>
      <c r="C25" s="260"/>
      <c r="D25" s="260"/>
      <c r="E25" s="259"/>
      <c r="F25" s="261">
        <f>F26</f>
        <v>200</v>
      </c>
      <c r="G25" s="261" t="e">
        <f>G26</f>
        <v>#REF!</v>
      </c>
      <c r="H25" s="261">
        <v>0</v>
      </c>
    </row>
    <row r="26" spans="1:8" ht="47.25">
      <c r="A26" s="258" t="s">
        <v>454</v>
      </c>
      <c r="B26" s="259" t="s">
        <v>509</v>
      </c>
      <c r="C26" s="260" t="s">
        <v>147</v>
      </c>
      <c r="D26" s="260" t="s">
        <v>146</v>
      </c>
      <c r="E26" s="259">
        <v>240</v>
      </c>
      <c r="F26" s="261">
        <f>'Приложение 8'!Q715</f>
        <v>200</v>
      </c>
      <c r="G26" s="261" t="e">
        <f>#REF!</f>
        <v>#REF!</v>
      </c>
      <c r="H26" s="261">
        <v>0</v>
      </c>
    </row>
    <row r="27" spans="1:8" ht="63">
      <c r="A27" s="258" t="s">
        <v>769</v>
      </c>
      <c r="B27" s="259" t="s">
        <v>493</v>
      </c>
      <c r="C27" s="260"/>
      <c r="D27" s="260"/>
      <c r="E27" s="259"/>
      <c r="F27" s="261" t="e">
        <f>#REF!</f>
        <v>#REF!</v>
      </c>
      <c r="G27" s="261" t="e">
        <f>G28</f>
        <v>#REF!</v>
      </c>
      <c r="H27" s="261">
        <v>0</v>
      </c>
    </row>
    <row r="28" spans="1:8" ht="94.5">
      <c r="A28" s="258" t="s">
        <v>33</v>
      </c>
      <c r="B28" s="259" t="s">
        <v>34</v>
      </c>
      <c r="C28" s="260"/>
      <c r="D28" s="260"/>
      <c r="E28" s="259"/>
      <c r="F28" s="261"/>
      <c r="G28" s="261" t="e">
        <f>G29</f>
        <v>#REF!</v>
      </c>
      <c r="H28" s="261">
        <v>0</v>
      </c>
    </row>
    <row r="29" spans="1:8" ht="47.25">
      <c r="A29" s="258" t="s">
        <v>454</v>
      </c>
      <c r="B29" s="259" t="s">
        <v>34</v>
      </c>
      <c r="C29" s="260" t="s">
        <v>462</v>
      </c>
      <c r="D29" s="260" t="s">
        <v>146</v>
      </c>
      <c r="E29" s="259">
        <v>240</v>
      </c>
      <c r="F29" s="261"/>
      <c r="G29" s="261" t="e">
        <f>#REF!</f>
        <v>#REF!</v>
      </c>
      <c r="H29" s="261">
        <v>0</v>
      </c>
    </row>
    <row r="30" spans="1:8" s="245" customFormat="1" ht="94.5">
      <c r="A30" s="249" t="s">
        <v>44</v>
      </c>
      <c r="B30" s="236" t="s">
        <v>113</v>
      </c>
      <c r="C30" s="237"/>
      <c r="D30" s="237"/>
      <c r="E30" s="236"/>
      <c r="F30" s="240">
        <f aca="true" t="shared" si="0" ref="F30:G32">F31</f>
        <v>0</v>
      </c>
      <c r="G30" s="240">
        <f t="shared" si="0"/>
        <v>30</v>
      </c>
      <c r="H30" s="240">
        <v>0</v>
      </c>
    </row>
    <row r="31" spans="1:8" ht="63">
      <c r="A31" s="250" t="s">
        <v>45</v>
      </c>
      <c r="B31" s="235" t="s">
        <v>114</v>
      </c>
      <c r="C31" s="238"/>
      <c r="D31" s="238"/>
      <c r="E31" s="235"/>
      <c r="F31" s="239">
        <f t="shared" si="0"/>
        <v>0</v>
      </c>
      <c r="G31" s="239">
        <f t="shared" si="0"/>
        <v>30</v>
      </c>
      <c r="H31" s="239">
        <v>0</v>
      </c>
    </row>
    <row r="32" spans="1:8" ht="47.25">
      <c r="A32" s="250" t="s">
        <v>47</v>
      </c>
      <c r="B32" s="235" t="s">
        <v>48</v>
      </c>
      <c r="C32" s="238"/>
      <c r="D32" s="238"/>
      <c r="E32" s="235"/>
      <c r="F32" s="239">
        <f t="shared" si="0"/>
        <v>0</v>
      </c>
      <c r="G32" s="239">
        <f t="shared" si="0"/>
        <v>30</v>
      </c>
      <c r="H32" s="239">
        <v>0</v>
      </c>
    </row>
    <row r="33" spans="1:8" ht="47.25">
      <c r="A33" s="250" t="s">
        <v>454</v>
      </c>
      <c r="B33" s="235" t="s">
        <v>48</v>
      </c>
      <c r="C33" s="238" t="s">
        <v>462</v>
      </c>
      <c r="D33" s="238" t="s">
        <v>153</v>
      </c>
      <c r="E33" s="235">
        <v>240</v>
      </c>
      <c r="F33" s="239">
        <f>'Приложение 8'!Q48</f>
        <v>0</v>
      </c>
      <c r="G33" s="239">
        <v>30</v>
      </c>
      <c r="H33" s="239">
        <v>0</v>
      </c>
    </row>
    <row r="34" spans="1:8" s="245" customFormat="1" ht="110.25">
      <c r="A34" s="249" t="s">
        <v>539</v>
      </c>
      <c r="B34" s="236" t="s">
        <v>40</v>
      </c>
      <c r="C34" s="237"/>
      <c r="D34" s="237"/>
      <c r="E34" s="236"/>
      <c r="F34" s="240">
        <f>F36+F38</f>
        <v>1783.7000000000003</v>
      </c>
      <c r="G34" s="240" t="e">
        <f>G35</f>
        <v>#REF!</v>
      </c>
      <c r="H34" s="240" t="e">
        <f>H35</f>
        <v>#REF!</v>
      </c>
    </row>
    <row r="35" spans="1:8" s="245" customFormat="1" ht="63">
      <c r="A35" s="258" t="s">
        <v>698</v>
      </c>
      <c r="B35" s="259" t="s">
        <v>699</v>
      </c>
      <c r="C35" s="237"/>
      <c r="D35" s="237"/>
      <c r="E35" s="236"/>
      <c r="F35" s="240"/>
      <c r="G35" s="261" t="e">
        <f>G36+G38</f>
        <v>#REF!</v>
      </c>
      <c r="H35" s="261" t="e">
        <f>H36+H38</f>
        <v>#REF!</v>
      </c>
    </row>
    <row r="36" spans="1:8" ht="63">
      <c r="A36" s="258" t="s">
        <v>534</v>
      </c>
      <c r="B36" s="259" t="s">
        <v>545</v>
      </c>
      <c r="C36" s="260"/>
      <c r="D36" s="260"/>
      <c r="E36" s="259"/>
      <c r="F36" s="261">
        <f>F37</f>
        <v>1259.3000000000002</v>
      </c>
      <c r="G36" s="261" t="e">
        <f>G37</f>
        <v>#REF!</v>
      </c>
      <c r="H36" s="261" t="e">
        <f>H37</f>
        <v>#REF!</v>
      </c>
    </row>
    <row r="37" spans="1:8" ht="15.75">
      <c r="A37" s="258" t="s">
        <v>311</v>
      </c>
      <c r="B37" s="259" t="s">
        <v>545</v>
      </c>
      <c r="C37" s="260" t="s">
        <v>462</v>
      </c>
      <c r="D37" s="260" t="s">
        <v>163</v>
      </c>
      <c r="E37" s="259">
        <v>410</v>
      </c>
      <c r="F37" s="261">
        <f>'Приложение 8'!Q207</f>
        <v>1259.3000000000002</v>
      </c>
      <c r="G37" s="261" t="e">
        <f>#REF!</f>
        <v>#REF!</v>
      </c>
      <c r="H37" s="261" t="e">
        <f>#REF!</f>
        <v>#REF!</v>
      </c>
    </row>
    <row r="38" spans="1:8" ht="63">
      <c r="A38" s="258" t="s">
        <v>548</v>
      </c>
      <c r="B38" s="259" t="s">
        <v>549</v>
      </c>
      <c r="C38" s="260"/>
      <c r="D38" s="260"/>
      <c r="E38" s="259"/>
      <c r="F38" s="261">
        <f>F39</f>
        <v>524.4000000000001</v>
      </c>
      <c r="G38" s="261" t="e">
        <f>G39</f>
        <v>#REF!</v>
      </c>
      <c r="H38" s="261" t="e">
        <f>H39</f>
        <v>#REF!</v>
      </c>
    </row>
    <row r="39" spans="1:8" ht="15.75">
      <c r="A39" s="258" t="s">
        <v>311</v>
      </c>
      <c r="B39" s="259" t="s">
        <v>549</v>
      </c>
      <c r="C39" s="260" t="s">
        <v>462</v>
      </c>
      <c r="D39" s="260" t="s">
        <v>163</v>
      </c>
      <c r="E39" s="259">
        <v>410</v>
      </c>
      <c r="F39" s="261">
        <f>'Приложение 8'!Q210</f>
        <v>524.4000000000001</v>
      </c>
      <c r="G39" s="261" t="e">
        <f>#REF!</f>
        <v>#REF!</v>
      </c>
      <c r="H39" s="261" t="e">
        <f>#REF!</f>
        <v>#REF!</v>
      </c>
    </row>
    <row r="40" spans="1:8" s="245" customFormat="1" ht="78.75">
      <c r="A40" s="249" t="s">
        <v>441</v>
      </c>
      <c r="B40" s="236" t="s">
        <v>164</v>
      </c>
      <c r="C40" s="237"/>
      <c r="D40" s="237"/>
      <c r="E40" s="236"/>
      <c r="F40" s="240" t="e">
        <f>F41+F44+F49+F54+F62</f>
        <v>#REF!</v>
      </c>
      <c r="G40" s="240" t="e">
        <f>G41+G44+G49+G54+G62</f>
        <v>#REF!</v>
      </c>
      <c r="H40" s="240" t="e">
        <f>H41+H44+H49+H54+H62</f>
        <v>#REF!</v>
      </c>
    </row>
    <row r="41" spans="1:8" ht="78.75">
      <c r="A41" s="258" t="s">
        <v>228</v>
      </c>
      <c r="B41" s="259" t="s">
        <v>165</v>
      </c>
      <c r="C41" s="260"/>
      <c r="D41" s="260"/>
      <c r="E41" s="259"/>
      <c r="F41" s="261">
        <f aca="true" t="shared" si="1" ref="F41:H42">F42</f>
        <v>70</v>
      </c>
      <c r="G41" s="261" t="e">
        <f t="shared" si="1"/>
        <v>#REF!</v>
      </c>
      <c r="H41" s="261" t="e">
        <f t="shared" si="1"/>
        <v>#REF!</v>
      </c>
    </row>
    <row r="42" spans="1:8" ht="94.5">
      <c r="A42" s="258" t="s">
        <v>249</v>
      </c>
      <c r="B42" s="259" t="s">
        <v>166</v>
      </c>
      <c r="C42" s="260"/>
      <c r="D42" s="260"/>
      <c r="E42" s="259"/>
      <c r="F42" s="261">
        <f t="shared" si="1"/>
        <v>70</v>
      </c>
      <c r="G42" s="261" t="e">
        <f t="shared" si="1"/>
        <v>#REF!</v>
      </c>
      <c r="H42" s="261" t="e">
        <f t="shared" si="1"/>
        <v>#REF!</v>
      </c>
    </row>
    <row r="43" spans="1:8" ht="47.25">
      <c r="A43" s="258" t="s">
        <v>454</v>
      </c>
      <c r="B43" s="259" t="s">
        <v>166</v>
      </c>
      <c r="C43" s="260" t="s">
        <v>463</v>
      </c>
      <c r="D43" s="260" t="s">
        <v>149</v>
      </c>
      <c r="E43" s="259">
        <v>240</v>
      </c>
      <c r="F43" s="261">
        <f>'Приложение 8'!Q669</f>
        <v>70</v>
      </c>
      <c r="G43" s="261" t="e">
        <f>#REF!</f>
        <v>#REF!</v>
      </c>
      <c r="H43" s="261" t="e">
        <f>#REF!</f>
        <v>#REF!</v>
      </c>
    </row>
    <row r="44" spans="1:8" ht="63">
      <c r="A44" s="258" t="s">
        <v>84</v>
      </c>
      <c r="B44" s="259" t="s">
        <v>167</v>
      </c>
      <c r="C44" s="260"/>
      <c r="D44" s="260"/>
      <c r="E44" s="259"/>
      <c r="F44" s="261">
        <f>F45+F47</f>
        <v>82.6</v>
      </c>
      <c r="G44" s="261" t="e">
        <f>G45+G47</f>
        <v>#REF!</v>
      </c>
      <c r="H44" s="261" t="e">
        <f>H45+H47</f>
        <v>#REF!</v>
      </c>
    </row>
    <row r="45" spans="1:8" ht="15.75">
      <c r="A45" s="258" t="s">
        <v>90</v>
      </c>
      <c r="B45" s="259" t="s">
        <v>168</v>
      </c>
      <c r="C45" s="260"/>
      <c r="D45" s="260"/>
      <c r="E45" s="259"/>
      <c r="F45" s="261">
        <f>F46</f>
        <v>82.6</v>
      </c>
      <c r="G45" s="261" t="e">
        <f>G46</f>
        <v>#REF!</v>
      </c>
      <c r="H45" s="261" t="e">
        <f>H46</f>
        <v>#REF!</v>
      </c>
    </row>
    <row r="46" spans="1:8" ht="15.75">
      <c r="A46" s="258" t="s">
        <v>456</v>
      </c>
      <c r="B46" s="259" t="s">
        <v>168</v>
      </c>
      <c r="C46" s="260" t="s">
        <v>463</v>
      </c>
      <c r="D46" s="260" t="s">
        <v>148</v>
      </c>
      <c r="E46" s="259">
        <v>610</v>
      </c>
      <c r="F46" s="261">
        <f>'Приложение 8'!Q530</f>
        <v>82.6</v>
      </c>
      <c r="G46" s="261" t="e">
        <f>#REF!</f>
        <v>#REF!</v>
      </c>
      <c r="H46" s="261" t="e">
        <f>#REF!</f>
        <v>#REF!</v>
      </c>
    </row>
    <row r="47" spans="1:8" ht="31.5">
      <c r="A47" s="258" t="s">
        <v>93</v>
      </c>
      <c r="B47" s="259" t="s">
        <v>169</v>
      </c>
      <c r="C47" s="260"/>
      <c r="D47" s="260"/>
      <c r="E47" s="259"/>
      <c r="F47" s="261">
        <f>F48</f>
        <v>0</v>
      </c>
      <c r="G47" s="261" t="e">
        <f>G48</f>
        <v>#REF!</v>
      </c>
      <c r="H47" s="261" t="e">
        <f>H48</f>
        <v>#REF!</v>
      </c>
    </row>
    <row r="48" spans="1:8" ht="15.75">
      <c r="A48" s="258" t="s">
        <v>456</v>
      </c>
      <c r="B48" s="259" t="s">
        <v>169</v>
      </c>
      <c r="C48" s="260" t="s">
        <v>463</v>
      </c>
      <c r="D48" s="260" t="s">
        <v>151</v>
      </c>
      <c r="E48" s="259">
        <v>610</v>
      </c>
      <c r="F48" s="261">
        <f>'Приложение 8'!Q552</f>
        <v>0</v>
      </c>
      <c r="G48" s="261" t="e">
        <f>#REF!</f>
        <v>#REF!</v>
      </c>
      <c r="H48" s="261" t="e">
        <f>#REF!</f>
        <v>#REF!</v>
      </c>
    </row>
    <row r="49" spans="1:8" ht="47.25">
      <c r="A49" s="258" t="s">
        <v>80</v>
      </c>
      <c r="B49" s="259" t="s">
        <v>170</v>
      </c>
      <c r="C49" s="260"/>
      <c r="D49" s="260"/>
      <c r="E49" s="259"/>
      <c r="F49" s="261">
        <f>F50+F52</f>
        <v>49.800000000000004</v>
      </c>
      <c r="G49" s="261" t="e">
        <f>G50+G52</f>
        <v>#REF!</v>
      </c>
      <c r="H49" s="261" t="e">
        <f>H50+H52</f>
        <v>#REF!</v>
      </c>
    </row>
    <row r="50" spans="1:8" ht="15.75">
      <c r="A50" s="258" t="s">
        <v>90</v>
      </c>
      <c r="B50" s="259" t="s">
        <v>171</v>
      </c>
      <c r="C50" s="260"/>
      <c r="D50" s="260"/>
      <c r="E50" s="259"/>
      <c r="F50" s="261">
        <f>F51</f>
        <v>6.1</v>
      </c>
      <c r="G50" s="261" t="e">
        <f>G51</f>
        <v>#REF!</v>
      </c>
      <c r="H50" s="261" t="e">
        <f>H51</f>
        <v>#REF!</v>
      </c>
    </row>
    <row r="51" spans="1:8" ht="15.75">
      <c r="A51" s="258" t="s">
        <v>456</v>
      </c>
      <c r="B51" s="259" t="s">
        <v>171</v>
      </c>
      <c r="C51" s="260" t="s">
        <v>463</v>
      </c>
      <c r="D51" s="260" t="s">
        <v>148</v>
      </c>
      <c r="E51" s="259">
        <v>610</v>
      </c>
      <c r="F51" s="261">
        <f>'Приложение 8'!Q533</f>
        <v>6.1</v>
      </c>
      <c r="G51" s="261" t="e">
        <f>#REF!</f>
        <v>#REF!</v>
      </c>
      <c r="H51" s="261" t="e">
        <f>#REF!</f>
        <v>#REF!</v>
      </c>
    </row>
    <row r="52" spans="1:8" ht="31.5">
      <c r="A52" s="258" t="s">
        <v>93</v>
      </c>
      <c r="B52" s="259" t="s">
        <v>172</v>
      </c>
      <c r="C52" s="260"/>
      <c r="D52" s="260"/>
      <c r="E52" s="259"/>
      <c r="F52" s="261">
        <f>F53</f>
        <v>43.7</v>
      </c>
      <c r="G52" s="261" t="e">
        <f>G53</f>
        <v>#REF!</v>
      </c>
      <c r="H52" s="261" t="e">
        <f>H53</f>
        <v>#REF!</v>
      </c>
    </row>
    <row r="53" spans="1:8" ht="15.75">
      <c r="A53" s="258" t="s">
        <v>456</v>
      </c>
      <c r="B53" s="259" t="s">
        <v>172</v>
      </c>
      <c r="C53" s="260" t="s">
        <v>463</v>
      </c>
      <c r="D53" s="260" t="s">
        <v>151</v>
      </c>
      <c r="E53" s="259">
        <v>610</v>
      </c>
      <c r="F53" s="261">
        <f>'Приложение 8'!Q555</f>
        <v>43.7</v>
      </c>
      <c r="G53" s="261" t="e">
        <f>#REF!</f>
        <v>#REF!</v>
      </c>
      <c r="H53" s="261" t="e">
        <f>#REF!</f>
        <v>#REF!</v>
      </c>
    </row>
    <row r="54" spans="1:8" ht="94.5">
      <c r="A54" s="258" t="s">
        <v>440</v>
      </c>
      <c r="B54" s="259" t="s">
        <v>173</v>
      </c>
      <c r="C54" s="260"/>
      <c r="D54" s="260"/>
      <c r="E54" s="259"/>
      <c r="F54" s="261" t="e">
        <f>F55+F57+F59</f>
        <v>#REF!</v>
      </c>
      <c r="G54" s="261" t="e">
        <f>G55+G57+G59</f>
        <v>#REF!</v>
      </c>
      <c r="H54" s="261" t="e">
        <f>H55+H57+H59</f>
        <v>#REF!</v>
      </c>
    </row>
    <row r="55" spans="1:8" ht="15.75">
      <c r="A55" s="258" t="s">
        <v>90</v>
      </c>
      <c r="B55" s="259" t="s">
        <v>174</v>
      </c>
      <c r="C55" s="260"/>
      <c r="D55" s="260"/>
      <c r="E55" s="259"/>
      <c r="F55" s="261">
        <f>F56</f>
        <v>1.4000000000000004</v>
      </c>
      <c r="G55" s="261" t="e">
        <f>G56</f>
        <v>#REF!</v>
      </c>
      <c r="H55" s="261" t="e">
        <f>H56</f>
        <v>#REF!</v>
      </c>
    </row>
    <row r="56" spans="1:8" ht="15.75">
      <c r="A56" s="258" t="s">
        <v>456</v>
      </c>
      <c r="B56" s="259" t="s">
        <v>174</v>
      </c>
      <c r="C56" s="260" t="s">
        <v>463</v>
      </c>
      <c r="D56" s="260" t="s">
        <v>148</v>
      </c>
      <c r="E56" s="259">
        <v>610</v>
      </c>
      <c r="F56" s="261">
        <f>'Приложение 8'!Q536</f>
        <v>1.4000000000000004</v>
      </c>
      <c r="G56" s="261" t="e">
        <f>#REF!</f>
        <v>#REF!</v>
      </c>
      <c r="H56" s="261" t="e">
        <f>#REF!</f>
        <v>#REF!</v>
      </c>
    </row>
    <row r="57" spans="1:8" ht="31.5">
      <c r="A57" s="258" t="s">
        <v>93</v>
      </c>
      <c r="B57" s="259" t="s">
        <v>175</v>
      </c>
      <c r="C57" s="260"/>
      <c r="D57" s="260"/>
      <c r="E57" s="259"/>
      <c r="F57" s="261">
        <f>F58</f>
        <v>34.3</v>
      </c>
      <c r="G57" s="261" t="e">
        <f>G58</f>
        <v>#REF!</v>
      </c>
      <c r="H57" s="261" t="e">
        <f>H58</f>
        <v>#REF!</v>
      </c>
    </row>
    <row r="58" spans="1:8" ht="15.75">
      <c r="A58" s="258" t="s">
        <v>456</v>
      </c>
      <c r="B58" s="259" t="s">
        <v>175</v>
      </c>
      <c r="C58" s="260" t="s">
        <v>463</v>
      </c>
      <c r="D58" s="260" t="s">
        <v>151</v>
      </c>
      <c r="E58" s="259">
        <v>610</v>
      </c>
      <c r="F58" s="261">
        <f>'Приложение 8'!Q558</f>
        <v>34.3</v>
      </c>
      <c r="G58" s="261" t="e">
        <f>#REF!</f>
        <v>#REF!</v>
      </c>
      <c r="H58" s="261" t="e">
        <f>#REF!</f>
        <v>#REF!</v>
      </c>
    </row>
    <row r="59" spans="1:8" ht="94.5">
      <c r="A59" s="258" t="s">
        <v>249</v>
      </c>
      <c r="B59" s="259" t="s">
        <v>176</v>
      </c>
      <c r="C59" s="260"/>
      <c r="D59" s="260"/>
      <c r="E59" s="259"/>
      <c r="F59" s="261" t="e">
        <f>SUM(F60:F61)</f>
        <v>#REF!</v>
      </c>
      <c r="G59" s="261" t="e">
        <f>SUM(G60:G61)</f>
        <v>#REF!</v>
      </c>
      <c r="H59" s="261" t="e">
        <f>SUM(H60:H61)</f>
        <v>#REF!</v>
      </c>
    </row>
    <row r="60" spans="1:8" ht="47.25">
      <c r="A60" s="258" t="s">
        <v>454</v>
      </c>
      <c r="B60" s="259" t="s">
        <v>176</v>
      </c>
      <c r="C60" s="260" t="s">
        <v>463</v>
      </c>
      <c r="D60" s="260" t="s">
        <v>149</v>
      </c>
      <c r="E60" s="259">
        <v>240</v>
      </c>
      <c r="F60" s="261" t="e">
        <f>'Приложение 8'!#REF!</f>
        <v>#REF!</v>
      </c>
      <c r="G60" s="261" t="e">
        <f>#REF!</f>
        <v>#REF!</v>
      </c>
      <c r="H60" s="261" t="e">
        <f>#REF!</f>
        <v>#REF!</v>
      </c>
    </row>
    <row r="61" spans="1:8" ht="47.25">
      <c r="A61" s="258" t="s">
        <v>459</v>
      </c>
      <c r="B61" s="259" t="s">
        <v>176</v>
      </c>
      <c r="C61" s="260" t="s">
        <v>463</v>
      </c>
      <c r="D61" s="260" t="s">
        <v>149</v>
      </c>
      <c r="E61" s="259">
        <v>320</v>
      </c>
      <c r="F61" s="261" t="e">
        <f>'Приложение 8'!#REF!</f>
        <v>#REF!</v>
      </c>
      <c r="G61" s="261" t="e">
        <f>#REF!</f>
        <v>#REF!</v>
      </c>
      <c r="H61" s="261" t="e">
        <f>#REF!</f>
        <v>#REF!</v>
      </c>
    </row>
    <row r="62" spans="1:8" ht="78.75">
      <c r="A62" s="258" t="s">
        <v>13</v>
      </c>
      <c r="B62" s="259" t="s">
        <v>177</v>
      </c>
      <c r="C62" s="260"/>
      <c r="D62" s="260"/>
      <c r="E62" s="259"/>
      <c r="F62" s="261" t="e">
        <f>F63+F65</f>
        <v>#REF!</v>
      </c>
      <c r="G62" s="261" t="e">
        <f>G63+G65</f>
        <v>#REF!</v>
      </c>
      <c r="H62" s="261" t="e">
        <f>H63+H65</f>
        <v>#REF!</v>
      </c>
    </row>
    <row r="63" spans="1:8" ht="31.5">
      <c r="A63" s="258" t="s">
        <v>93</v>
      </c>
      <c r="B63" s="259" t="s">
        <v>178</v>
      </c>
      <c r="C63" s="260"/>
      <c r="D63" s="260"/>
      <c r="E63" s="259"/>
      <c r="F63" s="261">
        <f>F64</f>
        <v>77.2</v>
      </c>
      <c r="G63" s="261" t="e">
        <f>G64</f>
        <v>#REF!</v>
      </c>
      <c r="H63" s="261" t="e">
        <f>H64</f>
        <v>#REF!</v>
      </c>
    </row>
    <row r="64" spans="1:8" ht="15.75">
      <c r="A64" s="258" t="s">
        <v>456</v>
      </c>
      <c r="B64" s="259" t="s">
        <v>178</v>
      </c>
      <c r="C64" s="260" t="s">
        <v>463</v>
      </c>
      <c r="D64" s="260" t="s">
        <v>151</v>
      </c>
      <c r="E64" s="259">
        <v>610</v>
      </c>
      <c r="F64" s="261">
        <f>'Приложение 8'!Q561</f>
        <v>77.2</v>
      </c>
      <c r="G64" s="261" t="e">
        <f>#REF!</f>
        <v>#REF!</v>
      </c>
      <c r="H64" s="261" t="e">
        <f>#REF!</f>
        <v>#REF!</v>
      </c>
    </row>
    <row r="65" spans="1:8" ht="94.5">
      <c r="A65" s="258" t="s">
        <v>249</v>
      </c>
      <c r="B65" s="259" t="s">
        <v>179</v>
      </c>
      <c r="C65" s="260"/>
      <c r="D65" s="260"/>
      <c r="E65" s="259"/>
      <c r="F65" s="261" t="e">
        <f>F66</f>
        <v>#REF!</v>
      </c>
      <c r="G65" s="261" t="e">
        <f>G66</f>
        <v>#REF!</v>
      </c>
      <c r="H65" s="261" t="e">
        <f>H66</f>
        <v>#REF!</v>
      </c>
    </row>
    <row r="66" spans="1:8" ht="47.25">
      <c r="A66" s="258" t="s">
        <v>459</v>
      </c>
      <c r="B66" s="259" t="s">
        <v>179</v>
      </c>
      <c r="C66" s="260" t="s">
        <v>463</v>
      </c>
      <c r="D66" s="260" t="s">
        <v>149</v>
      </c>
      <c r="E66" s="259">
        <v>320</v>
      </c>
      <c r="F66" s="261" t="e">
        <f>'Приложение 8'!#REF!</f>
        <v>#REF!</v>
      </c>
      <c r="G66" s="261" t="e">
        <f>#REF!</f>
        <v>#REF!</v>
      </c>
      <c r="H66" s="261" t="e">
        <f>#REF!</f>
        <v>#REF!</v>
      </c>
    </row>
    <row r="67" spans="1:8" s="245" customFormat="1" ht="63">
      <c r="A67" s="249" t="s">
        <v>436</v>
      </c>
      <c r="B67" s="236" t="s">
        <v>180</v>
      </c>
      <c r="C67" s="237"/>
      <c r="D67" s="237"/>
      <c r="E67" s="236"/>
      <c r="F67" s="240">
        <f>F68</f>
        <v>7975.6</v>
      </c>
      <c r="G67" s="240" t="e">
        <f>G68+G73</f>
        <v>#REF!</v>
      </c>
      <c r="H67" s="240" t="e">
        <f>H68</f>
        <v>#REF!</v>
      </c>
    </row>
    <row r="68" spans="1:8" ht="31.5">
      <c r="A68" s="258" t="s">
        <v>75</v>
      </c>
      <c r="B68" s="259" t="s">
        <v>181</v>
      </c>
      <c r="C68" s="260"/>
      <c r="D68" s="260"/>
      <c r="E68" s="259"/>
      <c r="F68" s="261">
        <f>F69</f>
        <v>7975.6</v>
      </c>
      <c r="G68" s="261" t="e">
        <f>G69+G71</f>
        <v>#REF!</v>
      </c>
      <c r="H68" s="261" t="e">
        <f>H69+H71</f>
        <v>#REF!</v>
      </c>
    </row>
    <row r="69" spans="1:8" ht="31.5">
      <c r="A69" s="258" t="s">
        <v>74</v>
      </c>
      <c r="B69" s="259" t="s">
        <v>182</v>
      </c>
      <c r="C69" s="260"/>
      <c r="D69" s="260"/>
      <c r="E69" s="259"/>
      <c r="F69" s="261">
        <f>F70</f>
        <v>7975.6</v>
      </c>
      <c r="G69" s="261" t="e">
        <f>G70</f>
        <v>#REF!</v>
      </c>
      <c r="H69" s="261" t="e">
        <f>H70</f>
        <v>#REF!</v>
      </c>
    </row>
    <row r="70" spans="1:8" ht="15.75">
      <c r="A70" s="258" t="s">
        <v>456</v>
      </c>
      <c r="B70" s="259" t="s">
        <v>182</v>
      </c>
      <c r="C70" s="260" t="s">
        <v>462</v>
      </c>
      <c r="D70" s="260" t="s">
        <v>183</v>
      </c>
      <c r="E70" s="259">
        <v>610</v>
      </c>
      <c r="F70" s="261">
        <f>'Приложение 8'!Q389</f>
        <v>7975.6</v>
      </c>
      <c r="G70" s="261" t="e">
        <f>#REF!</f>
        <v>#REF!</v>
      </c>
      <c r="H70" s="261" t="e">
        <f>#REF!</f>
        <v>#REF!</v>
      </c>
    </row>
    <row r="71" spans="1:8" ht="78.75">
      <c r="A71" s="10" t="s">
        <v>595</v>
      </c>
      <c r="B71" s="259" t="s">
        <v>600</v>
      </c>
      <c r="C71" s="238"/>
      <c r="D71" s="238"/>
      <c r="E71" s="235"/>
      <c r="F71" s="261"/>
      <c r="G71" s="261" t="e">
        <f>G72</f>
        <v>#REF!</v>
      </c>
      <c r="H71" s="261" t="e">
        <f>H72</f>
        <v>#REF!</v>
      </c>
    </row>
    <row r="72" spans="1:8" ht="15.75">
      <c r="A72" s="10" t="s">
        <v>456</v>
      </c>
      <c r="B72" s="259" t="s">
        <v>600</v>
      </c>
      <c r="C72" s="260" t="s">
        <v>462</v>
      </c>
      <c r="D72" s="260" t="s">
        <v>183</v>
      </c>
      <c r="E72" s="235">
        <v>610</v>
      </c>
      <c r="F72" s="261"/>
      <c r="G72" s="261" t="e">
        <f>#REF!</f>
        <v>#REF!</v>
      </c>
      <c r="H72" s="261" t="e">
        <f>#REF!</f>
        <v>#REF!</v>
      </c>
    </row>
    <row r="73" spans="1:8" ht="63">
      <c r="A73" s="258" t="s">
        <v>439</v>
      </c>
      <c r="B73" s="259" t="s">
        <v>184</v>
      </c>
      <c r="C73" s="260"/>
      <c r="D73" s="260"/>
      <c r="E73" s="259"/>
      <c r="F73" s="261"/>
      <c r="G73" s="261" t="e">
        <f>G74</f>
        <v>#REF!</v>
      </c>
      <c r="H73" s="261">
        <v>0</v>
      </c>
    </row>
    <row r="74" spans="1:8" ht="15.75">
      <c r="A74" s="258" t="s">
        <v>456</v>
      </c>
      <c r="B74" s="259" t="s">
        <v>184</v>
      </c>
      <c r="C74" s="260" t="s">
        <v>462</v>
      </c>
      <c r="D74" s="260" t="s">
        <v>183</v>
      </c>
      <c r="E74" s="259">
        <v>610</v>
      </c>
      <c r="F74" s="261"/>
      <c r="G74" s="261" t="e">
        <f>#REF!</f>
        <v>#REF!</v>
      </c>
      <c r="H74" s="261">
        <v>0</v>
      </c>
    </row>
    <row r="75" spans="1:8" s="245" customFormat="1" ht="63">
      <c r="A75" s="249" t="s">
        <v>139</v>
      </c>
      <c r="B75" s="236" t="s">
        <v>185</v>
      </c>
      <c r="C75" s="237"/>
      <c r="D75" s="237"/>
      <c r="E75" s="236"/>
      <c r="F75" s="240"/>
      <c r="G75" s="240" t="e">
        <f>G76+G79+G84</f>
        <v>#REF!</v>
      </c>
      <c r="H75" s="240" t="e">
        <f>H76+H79+H84</f>
        <v>#REF!</v>
      </c>
    </row>
    <row r="76" spans="1:8" ht="94.5">
      <c r="A76" s="258" t="s">
        <v>106</v>
      </c>
      <c r="B76" s="259" t="s">
        <v>186</v>
      </c>
      <c r="C76" s="260"/>
      <c r="D76" s="260"/>
      <c r="E76" s="259"/>
      <c r="F76" s="261"/>
      <c r="G76" s="261" t="e">
        <f>G77</f>
        <v>#REF!</v>
      </c>
      <c r="H76" s="261" t="e">
        <f>H77</f>
        <v>#REF!</v>
      </c>
    </row>
    <row r="77" spans="1:8" ht="15.75">
      <c r="A77" s="258" t="s">
        <v>22</v>
      </c>
      <c r="B77" s="259" t="s">
        <v>187</v>
      </c>
      <c r="C77" s="260"/>
      <c r="D77" s="260"/>
      <c r="E77" s="259"/>
      <c r="F77" s="261"/>
      <c r="G77" s="261" t="e">
        <f>G78</f>
        <v>#REF!</v>
      </c>
      <c r="H77" s="261" t="e">
        <f>H78</f>
        <v>#REF!</v>
      </c>
    </row>
    <row r="78" spans="1:8" ht="15.75">
      <c r="A78" s="258" t="s">
        <v>456</v>
      </c>
      <c r="B78" s="259" t="s">
        <v>187</v>
      </c>
      <c r="C78" s="260" t="s">
        <v>462</v>
      </c>
      <c r="D78" s="260" t="s">
        <v>153</v>
      </c>
      <c r="E78" s="259">
        <v>610</v>
      </c>
      <c r="F78" s="261"/>
      <c r="G78" s="261" t="e">
        <f>#REF!</f>
        <v>#REF!</v>
      </c>
      <c r="H78" s="261" t="e">
        <f>#REF!</f>
        <v>#REF!</v>
      </c>
    </row>
    <row r="79" spans="1:8" ht="47.25">
      <c r="A79" s="258" t="s">
        <v>409</v>
      </c>
      <c r="B79" s="259" t="s">
        <v>188</v>
      </c>
      <c r="C79" s="260"/>
      <c r="D79" s="260"/>
      <c r="E79" s="259"/>
      <c r="F79" s="261"/>
      <c r="G79" s="261" t="e">
        <f>G80+G82</f>
        <v>#REF!</v>
      </c>
      <c r="H79" s="261" t="e">
        <f>H80+H82</f>
        <v>#REF!</v>
      </c>
    </row>
    <row r="80" spans="1:8" ht="15.75">
      <c r="A80" s="258" t="s">
        <v>22</v>
      </c>
      <c r="B80" s="259" t="s">
        <v>189</v>
      </c>
      <c r="C80" s="260"/>
      <c r="D80" s="260"/>
      <c r="E80" s="259"/>
      <c r="F80" s="261"/>
      <c r="G80" s="261" t="e">
        <f>G81</f>
        <v>#REF!</v>
      </c>
      <c r="H80" s="261" t="e">
        <f>H81</f>
        <v>#REF!</v>
      </c>
    </row>
    <row r="81" spans="1:8" ht="15.75">
      <c r="A81" s="258" t="s">
        <v>456</v>
      </c>
      <c r="B81" s="259" t="s">
        <v>189</v>
      </c>
      <c r="C81" s="260" t="s">
        <v>462</v>
      </c>
      <c r="D81" s="260" t="s">
        <v>153</v>
      </c>
      <c r="E81" s="259">
        <v>610</v>
      </c>
      <c r="F81" s="261"/>
      <c r="G81" s="261" t="e">
        <f>#REF!</f>
        <v>#REF!</v>
      </c>
      <c r="H81" s="261" t="e">
        <f>#REF!</f>
        <v>#REF!</v>
      </c>
    </row>
    <row r="82" spans="1:8" ht="78.75">
      <c r="A82" s="4" t="s">
        <v>595</v>
      </c>
      <c r="B82" s="259" t="s">
        <v>596</v>
      </c>
      <c r="C82" s="260"/>
      <c r="D82" s="260"/>
      <c r="E82" s="259"/>
      <c r="F82" s="261"/>
      <c r="G82" s="261" t="e">
        <f>G83</f>
        <v>#REF!</v>
      </c>
      <c r="H82" s="261" t="e">
        <f>H83</f>
        <v>#REF!</v>
      </c>
    </row>
    <row r="83" spans="1:8" ht="15.75">
      <c r="A83" s="4" t="s">
        <v>456</v>
      </c>
      <c r="B83" s="259" t="s">
        <v>596</v>
      </c>
      <c r="C83" s="260" t="s">
        <v>462</v>
      </c>
      <c r="D83" s="260" t="s">
        <v>153</v>
      </c>
      <c r="E83" s="259">
        <v>610</v>
      </c>
      <c r="F83" s="261"/>
      <c r="G83" s="261" t="e">
        <f>#REF!</f>
        <v>#REF!</v>
      </c>
      <c r="H83" s="261" t="e">
        <f>#REF!</f>
        <v>#REF!</v>
      </c>
    </row>
    <row r="84" spans="1:8" ht="63">
      <c r="A84" s="258" t="s">
        <v>43</v>
      </c>
      <c r="B84" s="259" t="s">
        <v>190</v>
      </c>
      <c r="C84" s="260"/>
      <c r="D84" s="260"/>
      <c r="E84" s="259"/>
      <c r="F84" s="261"/>
      <c r="G84" s="261" t="e">
        <f>G85</f>
        <v>#REF!</v>
      </c>
      <c r="H84" s="261" t="e">
        <f>H85</f>
        <v>#REF!</v>
      </c>
    </row>
    <row r="85" spans="1:8" ht="15.75">
      <c r="A85" s="258" t="s">
        <v>22</v>
      </c>
      <c r="B85" s="259" t="s">
        <v>191</v>
      </c>
      <c r="C85" s="260"/>
      <c r="D85" s="260"/>
      <c r="E85" s="259"/>
      <c r="F85" s="261"/>
      <c r="G85" s="261" t="e">
        <f>G86</f>
        <v>#REF!</v>
      </c>
      <c r="H85" s="261" t="e">
        <f>H86</f>
        <v>#REF!</v>
      </c>
    </row>
    <row r="86" spans="1:8" ht="15.75">
      <c r="A86" s="258" t="s">
        <v>456</v>
      </c>
      <c r="B86" s="259" t="s">
        <v>191</v>
      </c>
      <c r="C86" s="260" t="s">
        <v>462</v>
      </c>
      <c r="D86" s="260" t="s">
        <v>153</v>
      </c>
      <c r="E86" s="259">
        <v>610</v>
      </c>
      <c r="F86" s="261"/>
      <c r="G86" s="261" t="e">
        <f>#REF!</f>
        <v>#REF!</v>
      </c>
      <c r="H86" s="261" t="e">
        <f>#REF!</f>
        <v>#REF!</v>
      </c>
    </row>
    <row r="87" spans="1:8" ht="63">
      <c r="A87" s="249" t="s">
        <v>778</v>
      </c>
      <c r="B87" s="236" t="s">
        <v>779</v>
      </c>
      <c r="C87" s="237"/>
      <c r="D87" s="237"/>
      <c r="E87" s="236"/>
      <c r="F87" s="240" t="e">
        <f>F95+F37+F40</f>
        <v>#REF!</v>
      </c>
      <c r="G87" s="240" t="e">
        <f>G94+G88+G91</f>
        <v>#REF!</v>
      </c>
      <c r="H87" s="240" t="e">
        <f>H94+H88+H91</f>
        <v>#REF!</v>
      </c>
    </row>
    <row r="88" spans="1:8" ht="63">
      <c r="A88" s="17" t="s">
        <v>71</v>
      </c>
      <c r="B88" s="259" t="s">
        <v>782</v>
      </c>
      <c r="C88" s="260"/>
      <c r="D88" s="260"/>
      <c r="E88" s="279"/>
      <c r="F88" s="261"/>
      <c r="G88" s="261" t="e">
        <f>G89</f>
        <v>#REF!</v>
      </c>
      <c r="H88" s="261" t="e">
        <f>H89</f>
        <v>#REF!</v>
      </c>
    </row>
    <row r="89" spans="1:8" ht="15.75">
      <c r="A89" s="112" t="s">
        <v>29</v>
      </c>
      <c r="B89" s="259" t="s">
        <v>783</v>
      </c>
      <c r="C89" s="260"/>
      <c r="D89" s="260"/>
      <c r="E89" s="279"/>
      <c r="F89" s="261"/>
      <c r="G89" s="261" t="e">
        <f>G90</f>
        <v>#REF!</v>
      </c>
      <c r="H89" s="261" t="e">
        <f>H90</f>
        <v>#REF!</v>
      </c>
    </row>
    <row r="90" spans="1:8" ht="47.25">
      <c r="A90" s="112" t="s">
        <v>454</v>
      </c>
      <c r="B90" s="259" t="s">
        <v>783</v>
      </c>
      <c r="C90" s="260" t="s">
        <v>462</v>
      </c>
      <c r="D90" s="260" t="s">
        <v>154</v>
      </c>
      <c r="E90" s="280" t="s">
        <v>784</v>
      </c>
      <c r="F90" s="261"/>
      <c r="G90" s="261" t="e">
        <f>#REF!</f>
        <v>#REF!</v>
      </c>
      <c r="H90" s="261" t="e">
        <f>#REF!</f>
        <v>#REF!</v>
      </c>
    </row>
    <row r="91" spans="1:8" ht="63">
      <c r="A91" s="112" t="s">
        <v>72</v>
      </c>
      <c r="B91" s="259" t="s">
        <v>785</v>
      </c>
      <c r="C91" s="260"/>
      <c r="D91" s="260"/>
      <c r="E91" s="279"/>
      <c r="F91" s="261"/>
      <c r="G91" s="261" t="e">
        <f>G92</f>
        <v>#REF!</v>
      </c>
      <c r="H91" s="261" t="e">
        <f>H92</f>
        <v>#REF!</v>
      </c>
    </row>
    <row r="92" spans="1:8" ht="15.75">
      <c r="A92" s="112" t="s">
        <v>29</v>
      </c>
      <c r="B92" s="259" t="s">
        <v>786</v>
      </c>
      <c r="C92" s="260"/>
      <c r="D92" s="260"/>
      <c r="E92" s="279"/>
      <c r="F92" s="261"/>
      <c r="G92" s="261" t="e">
        <f>G93</f>
        <v>#REF!</v>
      </c>
      <c r="H92" s="261" t="e">
        <f>H93</f>
        <v>#REF!</v>
      </c>
    </row>
    <row r="93" spans="1:8" ht="47.25">
      <c r="A93" s="112" t="s">
        <v>454</v>
      </c>
      <c r="B93" s="259" t="s">
        <v>786</v>
      </c>
      <c r="C93" s="260" t="s">
        <v>462</v>
      </c>
      <c r="D93" s="260" t="s">
        <v>155</v>
      </c>
      <c r="E93" s="279">
        <v>240</v>
      </c>
      <c r="F93" s="261"/>
      <c r="G93" s="261" t="e">
        <f>#REF!</f>
        <v>#REF!</v>
      </c>
      <c r="H93" s="261" t="e">
        <f>#REF!</f>
        <v>#REF!</v>
      </c>
    </row>
    <row r="94" spans="1:8" ht="63">
      <c r="A94" s="258" t="s">
        <v>700</v>
      </c>
      <c r="B94" s="259" t="s">
        <v>780</v>
      </c>
      <c r="C94" s="260"/>
      <c r="D94" s="260"/>
      <c r="E94" s="259"/>
      <c r="F94" s="261"/>
      <c r="G94" s="261" t="e">
        <f>G95</f>
        <v>#REF!</v>
      </c>
      <c r="H94" s="261" t="e">
        <f>H95</f>
        <v>#REF!</v>
      </c>
    </row>
    <row r="95" spans="1:8" ht="47.25">
      <c r="A95" s="250" t="s">
        <v>412</v>
      </c>
      <c r="B95" s="259" t="s">
        <v>781</v>
      </c>
      <c r="C95" s="238"/>
      <c r="D95" s="238"/>
      <c r="E95" s="235"/>
      <c r="F95" s="239">
        <f>F96</f>
        <v>16186.4</v>
      </c>
      <c r="G95" s="239" t="e">
        <f>G96</f>
        <v>#REF!</v>
      </c>
      <c r="H95" s="239" t="e">
        <f>H96</f>
        <v>#REF!</v>
      </c>
    </row>
    <row r="96" spans="1:8" ht="47.25">
      <c r="A96" s="250" t="s">
        <v>454</v>
      </c>
      <c r="B96" s="259" t="s">
        <v>781</v>
      </c>
      <c r="C96" s="238" t="s">
        <v>462</v>
      </c>
      <c r="D96" s="238" t="s">
        <v>154</v>
      </c>
      <c r="E96" s="235">
        <v>240</v>
      </c>
      <c r="F96" s="239">
        <f>'Приложение 8'!Q84</f>
        <v>16186.4</v>
      </c>
      <c r="G96" s="239" t="e">
        <f>#REF!</f>
        <v>#REF!</v>
      </c>
      <c r="H96" s="239" t="e">
        <f>#REF!</f>
        <v>#REF!</v>
      </c>
    </row>
    <row r="97" spans="1:8" s="245" customFormat="1" ht="78.75">
      <c r="A97" s="249" t="s">
        <v>446</v>
      </c>
      <c r="B97" s="236" t="s">
        <v>192</v>
      </c>
      <c r="C97" s="237"/>
      <c r="D97" s="237"/>
      <c r="E97" s="236"/>
      <c r="F97" s="240"/>
      <c r="G97" s="240" t="e">
        <f>G98+G102+G111</f>
        <v>#REF!</v>
      </c>
      <c r="H97" s="240" t="e">
        <f>H98+H102+H111</f>
        <v>#REF!</v>
      </c>
    </row>
    <row r="98" spans="1:8" ht="63">
      <c r="A98" s="258" t="s">
        <v>140</v>
      </c>
      <c r="B98" s="259" t="s">
        <v>193</v>
      </c>
      <c r="C98" s="260"/>
      <c r="D98" s="260"/>
      <c r="E98" s="259"/>
      <c r="F98" s="261"/>
      <c r="G98" s="261" t="e">
        <f aca="true" t="shared" si="2" ref="G98:H100">G99</f>
        <v>#REF!</v>
      </c>
      <c r="H98" s="261" t="e">
        <f t="shared" si="2"/>
        <v>#REF!</v>
      </c>
    </row>
    <row r="99" spans="1:8" ht="78.75">
      <c r="A99" s="258" t="s">
        <v>580</v>
      </c>
      <c r="B99" s="259" t="s">
        <v>194</v>
      </c>
      <c r="C99" s="260"/>
      <c r="D99" s="260"/>
      <c r="E99" s="259"/>
      <c r="F99" s="261"/>
      <c r="G99" s="261" t="e">
        <f t="shared" si="2"/>
        <v>#REF!</v>
      </c>
      <c r="H99" s="261" t="e">
        <f t="shared" si="2"/>
        <v>#REF!</v>
      </c>
    </row>
    <row r="100" spans="1:8" ht="31.5">
      <c r="A100" s="258" t="s">
        <v>100</v>
      </c>
      <c r="B100" s="259" t="s">
        <v>195</v>
      </c>
      <c r="C100" s="260"/>
      <c r="D100" s="260"/>
      <c r="E100" s="259"/>
      <c r="F100" s="261"/>
      <c r="G100" s="261" t="e">
        <f t="shared" si="2"/>
        <v>#REF!</v>
      </c>
      <c r="H100" s="261" t="e">
        <f t="shared" si="2"/>
        <v>#REF!</v>
      </c>
    </row>
    <row r="101" spans="1:8" ht="47.25">
      <c r="A101" s="258" t="s">
        <v>454</v>
      </c>
      <c r="B101" s="259" t="s">
        <v>195</v>
      </c>
      <c r="C101" s="260" t="s">
        <v>157</v>
      </c>
      <c r="D101" s="260" t="s">
        <v>156</v>
      </c>
      <c r="E101" s="259">
        <v>240</v>
      </c>
      <c r="F101" s="261"/>
      <c r="G101" s="261" t="e">
        <f>#REF!</f>
        <v>#REF!</v>
      </c>
      <c r="H101" s="261" t="e">
        <f>#REF!</f>
        <v>#REF!</v>
      </c>
    </row>
    <row r="102" spans="1:8" ht="78.75">
      <c r="A102" s="258" t="s">
        <v>449</v>
      </c>
      <c r="B102" s="259" t="s">
        <v>196</v>
      </c>
      <c r="C102" s="260"/>
      <c r="D102" s="260"/>
      <c r="E102" s="259"/>
      <c r="F102" s="261"/>
      <c r="G102" s="261" t="e">
        <f>G103+G108</f>
        <v>#REF!</v>
      </c>
      <c r="H102" s="261" t="e">
        <f>H103+H108</f>
        <v>#REF!</v>
      </c>
    </row>
    <row r="103" spans="1:8" ht="47.25">
      <c r="A103" s="258" t="s">
        <v>584</v>
      </c>
      <c r="B103" s="259" t="s">
        <v>197</v>
      </c>
      <c r="C103" s="260"/>
      <c r="D103" s="260"/>
      <c r="E103" s="259"/>
      <c r="F103" s="261"/>
      <c r="G103" s="261" t="e">
        <f>G104+G106</f>
        <v>#REF!</v>
      </c>
      <c r="H103" s="261" t="e">
        <f>H104+H106</f>
        <v>#REF!</v>
      </c>
    </row>
    <row r="104" spans="1:8" ht="141.75">
      <c r="A104" s="258" t="s">
        <v>243</v>
      </c>
      <c r="B104" s="259" t="s">
        <v>198</v>
      </c>
      <c r="C104" s="260"/>
      <c r="D104" s="260"/>
      <c r="E104" s="259"/>
      <c r="F104" s="261"/>
      <c r="G104" s="261" t="e">
        <f>G105</f>
        <v>#REF!</v>
      </c>
      <c r="H104" s="261" t="e">
        <f>H105</f>
        <v>#REF!</v>
      </c>
    </row>
    <row r="105" spans="1:8" ht="15.75">
      <c r="A105" s="258" t="s">
        <v>460</v>
      </c>
      <c r="B105" s="259" t="s">
        <v>198</v>
      </c>
      <c r="C105" s="260" t="s">
        <v>157</v>
      </c>
      <c r="D105" s="260" t="s">
        <v>158</v>
      </c>
      <c r="E105" s="259">
        <v>510</v>
      </c>
      <c r="F105" s="261"/>
      <c r="G105" s="261" t="e">
        <f>#REF!</f>
        <v>#REF!</v>
      </c>
      <c r="H105" s="261" t="e">
        <f>#REF!</f>
        <v>#REF!</v>
      </c>
    </row>
    <row r="106" spans="1:8" ht="31.5">
      <c r="A106" s="258" t="s">
        <v>590</v>
      </c>
      <c r="B106" s="259" t="s">
        <v>610</v>
      </c>
      <c r="C106" s="260"/>
      <c r="D106" s="260"/>
      <c r="E106" s="259"/>
      <c r="F106" s="261"/>
      <c r="G106" s="261" t="e">
        <f>G107</f>
        <v>#REF!</v>
      </c>
      <c r="H106" s="261" t="e">
        <f>H107</f>
        <v>#REF!</v>
      </c>
    </row>
    <row r="107" spans="1:8" ht="15.75">
      <c r="A107" s="258" t="s">
        <v>460</v>
      </c>
      <c r="B107" s="259" t="s">
        <v>610</v>
      </c>
      <c r="C107" s="260" t="s">
        <v>157</v>
      </c>
      <c r="D107" s="260" t="s">
        <v>158</v>
      </c>
      <c r="E107" s="259">
        <v>510</v>
      </c>
      <c r="F107" s="261"/>
      <c r="G107" s="261" t="e">
        <f>#REF!</f>
        <v>#REF!</v>
      </c>
      <c r="H107" s="261" t="e">
        <f>#REF!</f>
        <v>#REF!</v>
      </c>
    </row>
    <row r="108" spans="1:8" ht="47.25">
      <c r="A108" s="258" t="s">
        <v>586</v>
      </c>
      <c r="B108" s="259" t="s">
        <v>199</v>
      </c>
      <c r="C108" s="260"/>
      <c r="D108" s="260"/>
      <c r="E108" s="259"/>
      <c r="F108" s="261"/>
      <c r="G108" s="261" t="e">
        <f>G109</f>
        <v>#REF!</v>
      </c>
      <c r="H108" s="261" t="e">
        <f>H109</f>
        <v>#REF!</v>
      </c>
    </row>
    <row r="109" spans="1:8" ht="35.25" customHeight="1">
      <c r="A109" s="258" t="s">
        <v>585</v>
      </c>
      <c r="B109" s="259" t="s">
        <v>611</v>
      </c>
      <c r="C109" s="260"/>
      <c r="D109" s="260"/>
      <c r="E109" s="259"/>
      <c r="F109" s="261"/>
      <c r="G109" s="261" t="e">
        <f>G110</f>
        <v>#REF!</v>
      </c>
      <c r="H109" s="261" t="e">
        <f>H110</f>
        <v>#REF!</v>
      </c>
    </row>
    <row r="110" spans="1:8" ht="15.75">
      <c r="A110" s="258" t="s">
        <v>460</v>
      </c>
      <c r="B110" s="259" t="s">
        <v>611</v>
      </c>
      <c r="C110" s="260" t="s">
        <v>157</v>
      </c>
      <c r="D110" s="260" t="s">
        <v>159</v>
      </c>
      <c r="E110" s="259">
        <v>510</v>
      </c>
      <c r="F110" s="261"/>
      <c r="G110" s="261" t="e">
        <f>#REF!</f>
        <v>#REF!</v>
      </c>
      <c r="H110" s="261" t="e">
        <f>#REF!</f>
        <v>#REF!</v>
      </c>
    </row>
    <row r="111" spans="1:8" ht="78.75">
      <c r="A111" s="258" t="s">
        <v>450</v>
      </c>
      <c r="B111" s="259" t="s">
        <v>200</v>
      </c>
      <c r="C111" s="260"/>
      <c r="D111" s="260"/>
      <c r="E111" s="259"/>
      <c r="F111" s="261"/>
      <c r="G111" s="261" t="e">
        <f>G112+G117</f>
        <v>#REF!</v>
      </c>
      <c r="H111" s="261" t="e">
        <f>H112+H117</f>
        <v>#REF!</v>
      </c>
    </row>
    <row r="112" spans="1:8" ht="126">
      <c r="A112" s="258" t="s">
        <v>445</v>
      </c>
      <c r="B112" s="259" t="s">
        <v>201</v>
      </c>
      <c r="C112" s="260"/>
      <c r="D112" s="260"/>
      <c r="E112" s="259"/>
      <c r="F112" s="261"/>
      <c r="G112" s="261" t="e">
        <f>G113</f>
        <v>#REF!</v>
      </c>
      <c r="H112" s="261" t="e">
        <f>H113</f>
        <v>#REF!</v>
      </c>
    </row>
    <row r="113" spans="1:8" ht="31.5">
      <c r="A113" s="258" t="s">
        <v>100</v>
      </c>
      <c r="B113" s="259" t="s">
        <v>202</v>
      </c>
      <c r="C113" s="260"/>
      <c r="D113" s="260"/>
      <c r="E113" s="259"/>
      <c r="F113" s="261"/>
      <c r="G113" s="261" t="e">
        <f>SUM(G114:G116)</f>
        <v>#REF!</v>
      </c>
      <c r="H113" s="261" t="e">
        <f>SUM(H114:H116)</f>
        <v>#REF!</v>
      </c>
    </row>
    <row r="114" spans="1:8" ht="37.5" customHeight="1">
      <c r="A114" s="258" t="s">
        <v>319</v>
      </c>
      <c r="B114" s="259" t="s">
        <v>202</v>
      </c>
      <c r="C114" s="260" t="s">
        <v>157</v>
      </c>
      <c r="D114" s="260" t="s">
        <v>156</v>
      </c>
      <c r="E114" s="259">
        <v>120</v>
      </c>
      <c r="F114" s="261"/>
      <c r="G114" s="261" t="e">
        <f>#REF!</f>
        <v>#REF!</v>
      </c>
      <c r="H114" s="261" t="e">
        <f>#REF!</f>
        <v>#REF!</v>
      </c>
    </row>
    <row r="115" spans="1:8" ht="47.25">
      <c r="A115" s="258" t="s">
        <v>454</v>
      </c>
      <c r="B115" s="259" t="s">
        <v>202</v>
      </c>
      <c r="C115" s="260" t="s">
        <v>157</v>
      </c>
      <c r="D115" s="260" t="s">
        <v>156</v>
      </c>
      <c r="E115" s="259">
        <v>240</v>
      </c>
      <c r="F115" s="261"/>
      <c r="G115" s="261" t="e">
        <f>#REF!</f>
        <v>#REF!</v>
      </c>
      <c r="H115" s="261" t="e">
        <f>#REF!</f>
        <v>#REF!</v>
      </c>
    </row>
    <row r="116" spans="1:8" ht="15.75">
      <c r="A116" s="258" t="s">
        <v>455</v>
      </c>
      <c r="B116" s="259" t="s">
        <v>202</v>
      </c>
      <c r="C116" s="260" t="s">
        <v>157</v>
      </c>
      <c r="D116" s="260" t="s">
        <v>156</v>
      </c>
      <c r="E116" s="259">
        <v>850</v>
      </c>
      <c r="F116" s="261"/>
      <c r="G116" s="261" t="e">
        <f>#REF!</f>
        <v>#REF!</v>
      </c>
      <c r="H116" s="261" t="e">
        <f>#REF!</f>
        <v>#REF!</v>
      </c>
    </row>
    <row r="117" spans="1:8" ht="63">
      <c r="A117" s="258" t="s">
        <v>451</v>
      </c>
      <c r="B117" s="259" t="s">
        <v>203</v>
      </c>
      <c r="C117" s="260"/>
      <c r="D117" s="260"/>
      <c r="E117" s="259"/>
      <c r="F117" s="261"/>
      <c r="G117" s="261" t="e">
        <f>G118</f>
        <v>#REF!</v>
      </c>
      <c r="H117" s="261" t="e">
        <f>H118</f>
        <v>#REF!</v>
      </c>
    </row>
    <row r="118" spans="1:8" ht="47.25">
      <c r="A118" s="258" t="s">
        <v>102</v>
      </c>
      <c r="B118" s="259" t="s">
        <v>204</v>
      </c>
      <c r="C118" s="260"/>
      <c r="D118" s="260"/>
      <c r="E118" s="259"/>
      <c r="F118" s="261"/>
      <c r="G118" s="261" t="e">
        <f>SUM(G119:G121)</f>
        <v>#REF!</v>
      </c>
      <c r="H118" s="261" t="e">
        <f>SUM(H119:H121)</f>
        <v>#REF!</v>
      </c>
    </row>
    <row r="119" spans="1:8" ht="31.5">
      <c r="A119" s="258" t="s">
        <v>457</v>
      </c>
      <c r="B119" s="259" t="s">
        <v>204</v>
      </c>
      <c r="C119" s="260" t="s">
        <v>157</v>
      </c>
      <c r="D119" s="260" t="s">
        <v>143</v>
      </c>
      <c r="E119" s="259">
        <v>110</v>
      </c>
      <c r="F119" s="261"/>
      <c r="G119" s="261" t="e">
        <f>#REF!</f>
        <v>#REF!</v>
      </c>
      <c r="H119" s="261" t="e">
        <f>#REF!</f>
        <v>#REF!</v>
      </c>
    </row>
    <row r="120" spans="1:8" ht="47.25">
      <c r="A120" s="258" t="s">
        <v>454</v>
      </c>
      <c r="B120" s="259" t="s">
        <v>204</v>
      </c>
      <c r="C120" s="260" t="s">
        <v>157</v>
      </c>
      <c r="D120" s="260" t="s">
        <v>143</v>
      </c>
      <c r="E120" s="259">
        <v>240</v>
      </c>
      <c r="F120" s="261"/>
      <c r="G120" s="261" t="e">
        <f>#REF!</f>
        <v>#REF!</v>
      </c>
      <c r="H120" s="261" t="e">
        <f>#REF!</f>
        <v>#REF!</v>
      </c>
    </row>
    <row r="121" spans="1:8" ht="15.75">
      <c r="A121" s="258" t="s">
        <v>455</v>
      </c>
      <c r="B121" s="259" t="s">
        <v>204</v>
      </c>
      <c r="C121" s="260" t="s">
        <v>157</v>
      </c>
      <c r="D121" s="260" t="s">
        <v>143</v>
      </c>
      <c r="E121" s="259">
        <v>850</v>
      </c>
      <c r="F121" s="261"/>
      <c r="G121" s="261" t="e">
        <f>#REF!</f>
        <v>#REF!</v>
      </c>
      <c r="H121" s="261" t="e">
        <f>#REF!</f>
        <v>#REF!</v>
      </c>
    </row>
    <row r="122" spans="1:8" s="245" customFormat="1" ht="63">
      <c r="A122" s="120" t="s">
        <v>421</v>
      </c>
      <c r="B122" s="236" t="s">
        <v>230</v>
      </c>
      <c r="C122" s="237"/>
      <c r="D122" s="237"/>
      <c r="E122" s="236"/>
      <c r="F122" s="240" t="e">
        <f>F123+F132+#REF!+F137</f>
        <v>#REF!</v>
      </c>
      <c r="G122" s="240" t="e">
        <f>G123+G132+G137</f>
        <v>#REF!</v>
      </c>
      <c r="H122" s="240" t="e">
        <f>H123+H132+H137</f>
        <v>#REF!</v>
      </c>
    </row>
    <row r="123" spans="1:8" ht="63">
      <c r="A123" s="23" t="s">
        <v>64</v>
      </c>
      <c r="B123" s="259" t="s">
        <v>231</v>
      </c>
      <c r="C123" s="260"/>
      <c r="D123" s="260"/>
      <c r="E123" s="259"/>
      <c r="F123" s="261">
        <f>F124+F128+F130</f>
        <v>12464.9</v>
      </c>
      <c r="G123" s="261" t="e">
        <f>G124+G128+G130+G126</f>
        <v>#REF!</v>
      </c>
      <c r="H123" s="261" t="e">
        <f>H124+H128+H130+H126</f>
        <v>#REF!</v>
      </c>
    </row>
    <row r="124" spans="1:8" ht="15.75">
      <c r="A124" s="23" t="s">
        <v>66</v>
      </c>
      <c r="B124" s="259" t="s">
        <v>232</v>
      </c>
      <c r="C124" s="260"/>
      <c r="D124" s="260"/>
      <c r="E124" s="259"/>
      <c r="F124" s="261">
        <f>F125</f>
        <v>10478.5</v>
      </c>
      <c r="G124" s="261" t="e">
        <f>G125</f>
        <v>#REF!</v>
      </c>
      <c r="H124" s="261" t="e">
        <f>H125</f>
        <v>#REF!</v>
      </c>
    </row>
    <row r="125" spans="1:8" ht="15.75">
      <c r="A125" s="258" t="s">
        <v>456</v>
      </c>
      <c r="B125" s="259" t="s">
        <v>232</v>
      </c>
      <c r="C125" s="260" t="s">
        <v>462</v>
      </c>
      <c r="D125" s="260" t="s">
        <v>233</v>
      </c>
      <c r="E125" s="259">
        <v>610</v>
      </c>
      <c r="F125" s="261">
        <f>'Приложение 8'!Q307</f>
        <v>10478.5</v>
      </c>
      <c r="G125" s="261" t="e">
        <f>#REF!</f>
        <v>#REF!</v>
      </c>
      <c r="H125" s="261" t="e">
        <f>#REF!</f>
        <v>#REF!</v>
      </c>
    </row>
    <row r="126" spans="1:8" ht="78.75">
      <c r="A126" s="227" t="s">
        <v>595</v>
      </c>
      <c r="B126" s="259" t="s">
        <v>598</v>
      </c>
      <c r="C126" s="238"/>
      <c r="D126" s="238"/>
      <c r="E126" s="235"/>
      <c r="F126" s="261"/>
      <c r="G126" s="261" t="e">
        <f>G127</f>
        <v>#REF!</v>
      </c>
      <c r="H126" s="261" t="e">
        <f>H127</f>
        <v>#REF!</v>
      </c>
    </row>
    <row r="127" spans="1:8" ht="15.75">
      <c r="A127" s="227" t="s">
        <v>456</v>
      </c>
      <c r="B127" s="259" t="s">
        <v>598</v>
      </c>
      <c r="C127" s="260" t="s">
        <v>462</v>
      </c>
      <c r="D127" s="260" t="s">
        <v>233</v>
      </c>
      <c r="E127" s="235">
        <v>610</v>
      </c>
      <c r="F127" s="261"/>
      <c r="G127" s="261" t="e">
        <f>#REF!</f>
        <v>#REF!</v>
      </c>
      <c r="H127" s="261" t="e">
        <f>#REF!</f>
        <v>#REF!</v>
      </c>
    </row>
    <row r="128" spans="1:8" ht="47.25">
      <c r="A128" s="4" t="s">
        <v>536</v>
      </c>
      <c r="B128" s="259" t="s">
        <v>234</v>
      </c>
      <c r="C128" s="260"/>
      <c r="D128" s="260"/>
      <c r="E128" s="259"/>
      <c r="F128" s="261">
        <f>F129</f>
        <v>340</v>
      </c>
      <c r="G128" s="261" t="e">
        <f>G129</f>
        <v>#REF!</v>
      </c>
      <c r="H128" s="261" t="e">
        <f>H129</f>
        <v>#REF!</v>
      </c>
    </row>
    <row r="129" spans="1:8" ht="15.75">
      <c r="A129" s="258" t="s">
        <v>456</v>
      </c>
      <c r="B129" s="259" t="s">
        <v>234</v>
      </c>
      <c r="C129" s="260" t="s">
        <v>462</v>
      </c>
      <c r="D129" s="260" t="s">
        <v>233</v>
      </c>
      <c r="E129" s="259">
        <v>610</v>
      </c>
      <c r="F129" s="261">
        <f>'Приложение 8'!Q311</f>
        <v>340</v>
      </c>
      <c r="G129" s="261" t="e">
        <f>#REF!</f>
        <v>#REF!</v>
      </c>
      <c r="H129" s="261" t="e">
        <f>#REF!</f>
        <v>#REF!</v>
      </c>
    </row>
    <row r="130" spans="1:8" ht="47.25">
      <c r="A130" s="4" t="s">
        <v>431</v>
      </c>
      <c r="B130" s="259" t="s">
        <v>235</v>
      </c>
      <c r="C130" s="260"/>
      <c r="D130" s="260"/>
      <c r="E130" s="259"/>
      <c r="F130" s="261">
        <f>F131</f>
        <v>1646.4</v>
      </c>
      <c r="G130" s="261" t="e">
        <f>G131</f>
        <v>#REF!</v>
      </c>
      <c r="H130" s="261" t="e">
        <f>H131</f>
        <v>#REF!</v>
      </c>
    </row>
    <row r="131" spans="1:8" ht="15.75">
      <c r="A131" s="258" t="s">
        <v>456</v>
      </c>
      <c r="B131" s="259" t="s">
        <v>235</v>
      </c>
      <c r="C131" s="260" t="s">
        <v>462</v>
      </c>
      <c r="D131" s="260" t="s">
        <v>233</v>
      </c>
      <c r="E131" s="259">
        <v>610</v>
      </c>
      <c r="F131" s="261">
        <f>'Приложение 8'!Q313</f>
        <v>1646.4</v>
      </c>
      <c r="G131" s="261" t="e">
        <f>#REF!</f>
        <v>#REF!</v>
      </c>
      <c r="H131" s="261" t="e">
        <f>#REF!</f>
        <v>#REF!</v>
      </c>
    </row>
    <row r="132" spans="1:8" ht="63">
      <c r="A132" s="4" t="s">
        <v>432</v>
      </c>
      <c r="B132" s="259" t="s">
        <v>236</v>
      </c>
      <c r="C132" s="260"/>
      <c r="D132" s="260"/>
      <c r="E132" s="259"/>
      <c r="F132" s="261">
        <f aca="true" t="shared" si="3" ref="F132:H133">F133</f>
        <v>11232.2</v>
      </c>
      <c r="G132" s="261" t="e">
        <f>G133+G135</f>
        <v>#REF!</v>
      </c>
      <c r="H132" s="261" t="e">
        <f>H133+H135</f>
        <v>#REF!</v>
      </c>
    </row>
    <row r="133" spans="1:8" ht="15.75">
      <c r="A133" s="4" t="s">
        <v>22</v>
      </c>
      <c r="B133" s="259" t="s">
        <v>237</v>
      </c>
      <c r="C133" s="260"/>
      <c r="D133" s="260"/>
      <c r="E133" s="259"/>
      <c r="F133" s="261">
        <f t="shared" si="3"/>
        <v>11232.2</v>
      </c>
      <c r="G133" s="261" t="e">
        <f t="shared" si="3"/>
        <v>#REF!</v>
      </c>
      <c r="H133" s="261" t="e">
        <f t="shared" si="3"/>
        <v>#REF!</v>
      </c>
    </row>
    <row r="134" spans="1:8" ht="15.75">
      <c r="A134" s="258" t="s">
        <v>456</v>
      </c>
      <c r="B134" s="259" t="s">
        <v>237</v>
      </c>
      <c r="C134" s="260" t="s">
        <v>462</v>
      </c>
      <c r="D134" s="260" t="s">
        <v>233</v>
      </c>
      <c r="E134" s="259">
        <v>610</v>
      </c>
      <c r="F134" s="261">
        <f>'Приложение 8'!Q316</f>
        <v>11232.2</v>
      </c>
      <c r="G134" s="261" t="e">
        <f>#REF!</f>
        <v>#REF!</v>
      </c>
      <c r="H134" s="261" t="e">
        <f>#REF!</f>
        <v>#REF!</v>
      </c>
    </row>
    <row r="135" spans="1:8" ht="78.75">
      <c r="A135" s="4" t="s">
        <v>595</v>
      </c>
      <c r="B135" s="259" t="s">
        <v>599</v>
      </c>
      <c r="C135" s="260"/>
      <c r="D135" s="260"/>
      <c r="E135" s="259"/>
      <c r="F135" s="261"/>
      <c r="G135" s="261" t="e">
        <f>G136</f>
        <v>#REF!</v>
      </c>
      <c r="H135" s="261" t="e">
        <f>H136</f>
        <v>#REF!</v>
      </c>
    </row>
    <row r="136" spans="1:8" ht="15.75">
      <c r="A136" s="4" t="s">
        <v>456</v>
      </c>
      <c r="B136" s="259" t="s">
        <v>599</v>
      </c>
      <c r="C136" s="260" t="s">
        <v>462</v>
      </c>
      <c r="D136" s="260" t="s">
        <v>233</v>
      </c>
      <c r="E136" s="259">
        <v>610</v>
      </c>
      <c r="F136" s="261"/>
      <c r="G136" s="261" t="e">
        <f>#REF!</f>
        <v>#REF!</v>
      </c>
      <c r="H136" s="261" t="e">
        <f>#REF!</f>
        <v>#REF!</v>
      </c>
    </row>
    <row r="137" spans="1:8" ht="78.75">
      <c r="A137" s="28" t="s">
        <v>423</v>
      </c>
      <c r="B137" s="259" t="s">
        <v>241</v>
      </c>
      <c r="C137" s="260"/>
      <c r="D137" s="260"/>
      <c r="E137" s="259"/>
      <c r="F137" s="261">
        <f aca="true" t="shared" si="4" ref="F137:H138">F138</f>
        <v>6509.2</v>
      </c>
      <c r="G137" s="261" t="e">
        <f>G138+G140</f>
        <v>#REF!</v>
      </c>
      <c r="H137" s="261" t="e">
        <f>H138+H140</f>
        <v>#REF!</v>
      </c>
    </row>
    <row r="138" spans="1:8" ht="31.5">
      <c r="A138" s="28" t="s">
        <v>94</v>
      </c>
      <c r="B138" s="259" t="s">
        <v>242</v>
      </c>
      <c r="C138" s="260"/>
      <c r="D138" s="260"/>
      <c r="E138" s="259"/>
      <c r="F138" s="261">
        <f t="shared" si="4"/>
        <v>6509.2</v>
      </c>
      <c r="G138" s="261" t="e">
        <f t="shared" si="4"/>
        <v>#REF!</v>
      </c>
      <c r="H138" s="261" t="e">
        <f t="shared" si="4"/>
        <v>#REF!</v>
      </c>
    </row>
    <row r="139" spans="1:8" ht="15.75">
      <c r="A139" s="258" t="s">
        <v>456</v>
      </c>
      <c r="B139" s="259" t="s">
        <v>242</v>
      </c>
      <c r="C139" s="260" t="s">
        <v>462</v>
      </c>
      <c r="D139" s="260" t="s">
        <v>152</v>
      </c>
      <c r="E139" s="259">
        <v>610</v>
      </c>
      <c r="F139" s="261">
        <f>'Приложение 8'!Q284</f>
        <v>6509.2</v>
      </c>
      <c r="G139" s="261" t="e">
        <f>#REF!</f>
        <v>#REF!</v>
      </c>
      <c r="H139" s="261" t="e">
        <f>#REF!</f>
        <v>#REF!</v>
      </c>
    </row>
    <row r="140" spans="1:8" ht="78.75">
      <c r="A140" s="227" t="s">
        <v>595</v>
      </c>
      <c r="B140" s="259" t="s">
        <v>597</v>
      </c>
      <c r="C140" s="260"/>
      <c r="D140" s="260"/>
      <c r="E140" s="259"/>
      <c r="F140" s="261"/>
      <c r="G140" s="261" t="e">
        <f>G141</f>
        <v>#REF!</v>
      </c>
      <c r="H140" s="261" t="e">
        <f>H141</f>
        <v>#REF!</v>
      </c>
    </row>
    <row r="141" spans="1:8" ht="15.75">
      <c r="A141" s="227" t="s">
        <v>456</v>
      </c>
      <c r="B141" s="259" t="s">
        <v>597</v>
      </c>
      <c r="C141" s="260" t="s">
        <v>462</v>
      </c>
      <c r="D141" s="260" t="s">
        <v>152</v>
      </c>
      <c r="E141" s="259">
        <v>610</v>
      </c>
      <c r="F141" s="261"/>
      <c r="G141" s="261" t="e">
        <f>#REF!</f>
        <v>#REF!</v>
      </c>
      <c r="H141" s="261" t="e">
        <f>#REF!</f>
        <v>#REF!</v>
      </c>
    </row>
    <row r="142" spans="1:8" s="245" customFormat="1" ht="47.25">
      <c r="A142" s="249" t="s">
        <v>425</v>
      </c>
      <c r="B142" s="236" t="s">
        <v>205</v>
      </c>
      <c r="C142" s="237"/>
      <c r="D142" s="237"/>
      <c r="E142" s="236"/>
      <c r="F142" s="240" t="e">
        <f>F143+F146+F149+F152</f>
        <v>#REF!</v>
      </c>
      <c r="G142" s="240" t="e">
        <f>G143+G146+G149+G152</f>
        <v>#REF!</v>
      </c>
      <c r="H142" s="240" t="e">
        <f>H143+H146+H149+H152</f>
        <v>#REF!</v>
      </c>
    </row>
    <row r="143" spans="1:8" ht="78.75">
      <c r="A143" s="258" t="s">
        <v>427</v>
      </c>
      <c r="B143" s="259" t="s">
        <v>206</v>
      </c>
      <c r="C143" s="260"/>
      <c r="D143" s="260"/>
      <c r="E143" s="259"/>
      <c r="F143" s="261" t="e">
        <f>F144+#REF!</f>
        <v>#REF!</v>
      </c>
      <c r="G143" s="261" t="e">
        <f>G144</f>
        <v>#REF!</v>
      </c>
      <c r="H143" s="261" t="e">
        <f>H144</f>
        <v>#REF!</v>
      </c>
    </row>
    <row r="144" spans="1:8" ht="15.75">
      <c r="A144" s="258" t="s">
        <v>22</v>
      </c>
      <c r="B144" s="259" t="s">
        <v>207</v>
      </c>
      <c r="C144" s="260"/>
      <c r="D144" s="260"/>
      <c r="E144" s="259"/>
      <c r="F144" s="261">
        <f>F145</f>
        <v>159.3</v>
      </c>
      <c r="G144" s="261" t="e">
        <f>G145</f>
        <v>#REF!</v>
      </c>
      <c r="H144" s="261" t="e">
        <f>H145</f>
        <v>#REF!</v>
      </c>
    </row>
    <row r="145" spans="1:8" ht="15.75">
      <c r="A145" s="258" t="s">
        <v>456</v>
      </c>
      <c r="B145" s="259" t="s">
        <v>207</v>
      </c>
      <c r="C145" s="260" t="s">
        <v>462</v>
      </c>
      <c r="D145" s="260" t="s">
        <v>208</v>
      </c>
      <c r="E145" s="259">
        <v>610</v>
      </c>
      <c r="F145" s="261">
        <f>'Приложение 8'!Q291</f>
        <v>159.3</v>
      </c>
      <c r="G145" s="261" t="e">
        <f>#REF!</f>
        <v>#REF!</v>
      </c>
      <c r="H145" s="261" t="e">
        <f>#REF!</f>
        <v>#REF!</v>
      </c>
    </row>
    <row r="146" spans="1:8" ht="94.5">
      <c r="A146" s="258" t="s">
        <v>428</v>
      </c>
      <c r="B146" s="259" t="s">
        <v>210</v>
      </c>
      <c r="C146" s="260"/>
      <c r="D146" s="260"/>
      <c r="E146" s="259"/>
      <c r="F146" s="261">
        <f aca="true" t="shared" si="5" ref="F146:H147">F147</f>
        <v>60</v>
      </c>
      <c r="G146" s="261" t="e">
        <f t="shared" si="5"/>
        <v>#REF!</v>
      </c>
      <c r="H146" s="261" t="e">
        <f t="shared" si="5"/>
        <v>#REF!</v>
      </c>
    </row>
    <row r="147" spans="1:8" ht="15.75">
      <c r="A147" s="258" t="s">
        <v>22</v>
      </c>
      <c r="B147" s="259" t="s">
        <v>211</v>
      </c>
      <c r="C147" s="260"/>
      <c r="D147" s="260"/>
      <c r="E147" s="259"/>
      <c r="F147" s="261">
        <f t="shared" si="5"/>
        <v>60</v>
      </c>
      <c r="G147" s="261" t="e">
        <f t="shared" si="5"/>
        <v>#REF!</v>
      </c>
      <c r="H147" s="261" t="e">
        <f t="shared" si="5"/>
        <v>#REF!</v>
      </c>
    </row>
    <row r="148" spans="1:8" ht="15.75">
      <c r="A148" s="258" t="s">
        <v>456</v>
      </c>
      <c r="B148" s="259" t="s">
        <v>211</v>
      </c>
      <c r="C148" s="260" t="s">
        <v>462</v>
      </c>
      <c r="D148" s="260" t="s">
        <v>208</v>
      </c>
      <c r="E148" s="259">
        <v>610</v>
      </c>
      <c r="F148" s="261">
        <f>'Приложение 8'!Q298</f>
        <v>60</v>
      </c>
      <c r="G148" s="261" t="e">
        <f>#REF!</f>
        <v>#REF!</v>
      </c>
      <c r="H148" s="261" t="e">
        <f>#REF!</f>
        <v>#REF!</v>
      </c>
    </row>
    <row r="149" spans="1:8" ht="63">
      <c r="A149" s="258" t="s">
        <v>429</v>
      </c>
      <c r="B149" s="259" t="s">
        <v>212</v>
      </c>
      <c r="C149" s="260"/>
      <c r="D149" s="260"/>
      <c r="E149" s="259"/>
      <c r="F149" s="261">
        <f aca="true" t="shared" si="6" ref="F149:H150">F150</f>
        <v>100</v>
      </c>
      <c r="G149" s="261" t="e">
        <f t="shared" si="6"/>
        <v>#REF!</v>
      </c>
      <c r="H149" s="261" t="e">
        <f t="shared" si="6"/>
        <v>#REF!</v>
      </c>
    </row>
    <row r="150" spans="1:8" ht="15.75">
      <c r="A150" s="258" t="s">
        <v>22</v>
      </c>
      <c r="B150" s="259" t="s">
        <v>213</v>
      </c>
      <c r="C150" s="260"/>
      <c r="D150" s="260"/>
      <c r="E150" s="259"/>
      <c r="F150" s="261">
        <f t="shared" si="6"/>
        <v>100</v>
      </c>
      <c r="G150" s="261" t="e">
        <f t="shared" si="6"/>
        <v>#REF!</v>
      </c>
      <c r="H150" s="261" t="e">
        <f t="shared" si="6"/>
        <v>#REF!</v>
      </c>
    </row>
    <row r="151" spans="1:8" ht="15.75">
      <c r="A151" s="258" t="s">
        <v>456</v>
      </c>
      <c r="B151" s="259" t="s">
        <v>213</v>
      </c>
      <c r="C151" s="260" t="s">
        <v>462</v>
      </c>
      <c r="D151" s="260" t="s">
        <v>208</v>
      </c>
      <c r="E151" s="259">
        <v>610</v>
      </c>
      <c r="F151" s="261">
        <f>'Приложение 8'!Q301</f>
        <v>100</v>
      </c>
      <c r="G151" s="261" t="e">
        <f>#REF!</f>
        <v>#REF!</v>
      </c>
      <c r="H151" s="261" t="e">
        <f>#REF!</f>
        <v>#REF!</v>
      </c>
    </row>
    <row r="152" spans="1:8" ht="31.5">
      <c r="A152" s="258" t="s">
        <v>434</v>
      </c>
      <c r="B152" s="259" t="s">
        <v>214</v>
      </c>
      <c r="C152" s="260"/>
      <c r="D152" s="260"/>
      <c r="E152" s="259"/>
      <c r="F152" s="261">
        <f aca="true" t="shared" si="7" ref="F152:H153">F153</f>
        <v>899.5</v>
      </c>
      <c r="G152" s="261" t="e">
        <f t="shared" si="7"/>
        <v>#REF!</v>
      </c>
      <c r="H152" s="261" t="e">
        <f t="shared" si="7"/>
        <v>#REF!</v>
      </c>
    </row>
    <row r="153" spans="1:8" ht="31.5">
      <c r="A153" s="258" t="s">
        <v>435</v>
      </c>
      <c r="B153" s="259" t="s">
        <v>215</v>
      </c>
      <c r="C153" s="260"/>
      <c r="D153" s="260"/>
      <c r="E153" s="259"/>
      <c r="F153" s="261">
        <f t="shared" si="7"/>
        <v>899.5</v>
      </c>
      <c r="G153" s="261" t="e">
        <f t="shared" si="7"/>
        <v>#REF!</v>
      </c>
      <c r="H153" s="261" t="e">
        <f t="shared" si="7"/>
        <v>#REF!</v>
      </c>
    </row>
    <row r="154" spans="1:8" ht="47.25">
      <c r="A154" s="258" t="s">
        <v>459</v>
      </c>
      <c r="B154" s="259" t="s">
        <v>215</v>
      </c>
      <c r="C154" s="260" t="s">
        <v>462</v>
      </c>
      <c r="D154" s="260" t="s">
        <v>145</v>
      </c>
      <c r="E154" s="259">
        <v>320</v>
      </c>
      <c r="F154" s="261">
        <f>'Приложение 8'!Q354</f>
        <v>899.5</v>
      </c>
      <c r="G154" s="261" t="e">
        <f>#REF!</f>
        <v>#REF!</v>
      </c>
      <c r="H154" s="261" t="e">
        <f>#REF!</f>
        <v>#REF!</v>
      </c>
    </row>
    <row r="155" spans="1:8" s="245" customFormat="1" ht="78.75">
      <c r="A155" s="249" t="s">
        <v>531</v>
      </c>
      <c r="B155" s="236" t="s">
        <v>532</v>
      </c>
      <c r="C155" s="237"/>
      <c r="D155" s="237"/>
      <c r="E155" s="236"/>
      <c r="F155" s="240">
        <f>F157</f>
        <v>250.8</v>
      </c>
      <c r="G155" s="240" t="e">
        <f aca="true" t="shared" si="8" ref="G155:H157">G156</f>
        <v>#REF!</v>
      </c>
      <c r="H155" s="240" t="e">
        <f t="shared" si="8"/>
        <v>#REF!</v>
      </c>
    </row>
    <row r="156" spans="1:8" ht="78.75">
      <c r="A156" s="258" t="s">
        <v>701</v>
      </c>
      <c r="B156" s="259" t="s">
        <v>702</v>
      </c>
      <c r="C156" s="260"/>
      <c r="D156" s="260"/>
      <c r="E156" s="259"/>
      <c r="F156" s="261"/>
      <c r="G156" s="261" t="e">
        <f t="shared" si="8"/>
        <v>#REF!</v>
      </c>
      <c r="H156" s="261" t="e">
        <f t="shared" si="8"/>
        <v>#REF!</v>
      </c>
    </row>
    <row r="157" spans="1:8" ht="31.5">
      <c r="A157" s="258" t="s">
        <v>530</v>
      </c>
      <c r="B157" s="259" t="s">
        <v>216</v>
      </c>
      <c r="C157" s="260"/>
      <c r="D157" s="260"/>
      <c r="E157" s="259"/>
      <c r="F157" s="261">
        <f>F158</f>
        <v>250.8</v>
      </c>
      <c r="G157" s="261" t="e">
        <f t="shared" si="8"/>
        <v>#REF!</v>
      </c>
      <c r="H157" s="261" t="e">
        <f t="shared" si="8"/>
        <v>#REF!</v>
      </c>
    </row>
    <row r="158" spans="1:8" ht="47.25">
      <c r="A158" s="258" t="s">
        <v>454</v>
      </c>
      <c r="B158" s="259" t="s">
        <v>216</v>
      </c>
      <c r="C158" s="260" t="s">
        <v>462</v>
      </c>
      <c r="D158" s="260" t="s">
        <v>217</v>
      </c>
      <c r="E158" s="259">
        <v>240</v>
      </c>
      <c r="F158" s="261">
        <f>'Приложение 8'!Q234</f>
        <v>250.8</v>
      </c>
      <c r="G158" s="261" t="e">
        <f>#REF!</f>
        <v>#REF!</v>
      </c>
      <c r="H158" s="261" t="e">
        <f>#REF!</f>
        <v>#REF!</v>
      </c>
    </row>
    <row r="159" spans="1:8" s="245" customFormat="1" ht="94.5">
      <c r="A159" s="249" t="s">
        <v>141</v>
      </c>
      <c r="B159" s="236" t="s">
        <v>218</v>
      </c>
      <c r="C159" s="237"/>
      <c r="D159" s="237"/>
      <c r="E159" s="236"/>
      <c r="F159" s="240">
        <f>F160+F163+F166+F169</f>
        <v>0</v>
      </c>
      <c r="G159" s="240">
        <v>0</v>
      </c>
      <c r="H159" s="240" t="e">
        <f>H160+H163+H166+H169</f>
        <v>#REF!</v>
      </c>
    </row>
    <row r="160" spans="1:8" ht="31.5">
      <c r="A160" s="258" t="s">
        <v>411</v>
      </c>
      <c r="B160" s="259" t="s">
        <v>219</v>
      </c>
      <c r="C160" s="260"/>
      <c r="D160" s="260"/>
      <c r="E160" s="259"/>
      <c r="F160" s="261">
        <f>F161</f>
        <v>0</v>
      </c>
      <c r="G160" s="261">
        <v>0</v>
      </c>
      <c r="H160" s="261" t="e">
        <f>H161</f>
        <v>#REF!</v>
      </c>
    </row>
    <row r="161" spans="1:8" ht="47.25">
      <c r="A161" s="258" t="s">
        <v>469</v>
      </c>
      <c r="B161" s="259" t="s">
        <v>220</v>
      </c>
      <c r="C161" s="260"/>
      <c r="D161" s="260"/>
      <c r="E161" s="259"/>
      <c r="F161" s="261">
        <f>F162</f>
        <v>0</v>
      </c>
      <c r="G161" s="261">
        <v>0</v>
      </c>
      <c r="H161" s="261" t="e">
        <f>H162</f>
        <v>#REF!</v>
      </c>
    </row>
    <row r="162" spans="1:8" ht="47.25">
      <c r="A162" s="258" t="s">
        <v>454</v>
      </c>
      <c r="B162" s="259" t="s">
        <v>220</v>
      </c>
      <c r="C162" s="260" t="s">
        <v>462</v>
      </c>
      <c r="D162" s="260" t="s">
        <v>146</v>
      </c>
      <c r="E162" s="259">
        <v>240</v>
      </c>
      <c r="F162" s="261"/>
      <c r="G162" s="261">
        <v>0</v>
      </c>
      <c r="H162" s="261" t="e">
        <f>#REF!</f>
        <v>#REF!</v>
      </c>
    </row>
    <row r="163" spans="1:8" ht="29.25" customHeight="1">
      <c r="A163" s="258" t="s">
        <v>16</v>
      </c>
      <c r="B163" s="259" t="s">
        <v>221</v>
      </c>
      <c r="C163" s="260"/>
      <c r="D163" s="260"/>
      <c r="E163" s="259"/>
      <c r="F163" s="261">
        <f>F164</f>
        <v>0</v>
      </c>
      <c r="G163" s="261">
        <v>0</v>
      </c>
      <c r="H163" s="261" t="e">
        <f>H164</f>
        <v>#REF!</v>
      </c>
    </row>
    <row r="164" spans="1:8" ht="31.5">
      <c r="A164" s="258" t="s">
        <v>497</v>
      </c>
      <c r="B164" s="259" t="s">
        <v>222</v>
      </c>
      <c r="C164" s="260"/>
      <c r="D164" s="260"/>
      <c r="E164" s="259"/>
      <c r="F164" s="261">
        <f>F165</f>
        <v>0</v>
      </c>
      <c r="G164" s="261">
        <v>0</v>
      </c>
      <c r="H164" s="261" t="e">
        <f>H165</f>
        <v>#REF!</v>
      </c>
    </row>
    <row r="165" spans="1:8" ht="47.25">
      <c r="A165" s="258" t="s">
        <v>454</v>
      </c>
      <c r="B165" s="259" t="s">
        <v>222</v>
      </c>
      <c r="C165" s="260" t="s">
        <v>462</v>
      </c>
      <c r="D165" s="260" t="s">
        <v>146</v>
      </c>
      <c r="E165" s="259">
        <v>240</v>
      </c>
      <c r="F165" s="261"/>
      <c r="G165" s="261">
        <v>0</v>
      </c>
      <c r="H165" s="261" t="e">
        <f>#REF!</f>
        <v>#REF!</v>
      </c>
    </row>
    <row r="166" spans="1:8" ht="47.25">
      <c r="A166" s="258" t="s">
        <v>508</v>
      </c>
      <c r="B166" s="259" t="s">
        <v>223</v>
      </c>
      <c r="C166" s="260"/>
      <c r="D166" s="260"/>
      <c r="E166" s="259"/>
      <c r="F166" s="261">
        <f>F167</f>
        <v>0</v>
      </c>
      <c r="G166" s="261">
        <v>0</v>
      </c>
      <c r="H166" s="261" t="e">
        <f>H167</f>
        <v>#REF!</v>
      </c>
    </row>
    <row r="167" spans="1:8" ht="31.5">
      <c r="A167" s="258" t="s">
        <v>497</v>
      </c>
      <c r="B167" s="259" t="s">
        <v>224</v>
      </c>
      <c r="C167" s="260"/>
      <c r="D167" s="260"/>
      <c r="E167" s="259"/>
      <c r="F167" s="261">
        <f>F168</f>
        <v>0</v>
      </c>
      <c r="G167" s="261">
        <v>0</v>
      </c>
      <c r="H167" s="261" t="e">
        <f>H168</f>
        <v>#REF!</v>
      </c>
    </row>
    <row r="168" spans="1:8" ht="47.25">
      <c r="A168" s="258" t="s">
        <v>454</v>
      </c>
      <c r="B168" s="259" t="s">
        <v>224</v>
      </c>
      <c r="C168" s="260" t="s">
        <v>147</v>
      </c>
      <c r="D168" s="260" t="s">
        <v>146</v>
      </c>
      <c r="E168" s="259">
        <v>240</v>
      </c>
      <c r="F168" s="261"/>
      <c r="G168" s="261">
        <v>0</v>
      </c>
      <c r="H168" s="261" t="e">
        <f>#REF!</f>
        <v>#REF!</v>
      </c>
    </row>
    <row r="169" spans="1:8" ht="63">
      <c r="A169" s="258" t="s">
        <v>769</v>
      </c>
      <c r="B169" s="259" t="s">
        <v>225</v>
      </c>
      <c r="C169" s="260"/>
      <c r="D169" s="260"/>
      <c r="E169" s="259"/>
      <c r="F169" s="261">
        <f>F170</f>
        <v>0</v>
      </c>
      <c r="G169" s="261">
        <v>0</v>
      </c>
      <c r="H169" s="261" t="e">
        <f>H170</f>
        <v>#REF!</v>
      </c>
    </row>
    <row r="170" spans="1:8" ht="94.5">
      <c r="A170" s="258" t="s">
        <v>33</v>
      </c>
      <c r="B170" s="259" t="s">
        <v>226</v>
      </c>
      <c r="C170" s="260"/>
      <c r="D170" s="260"/>
      <c r="E170" s="259"/>
      <c r="F170" s="261">
        <f>F171</f>
        <v>0</v>
      </c>
      <c r="G170" s="261">
        <v>0</v>
      </c>
      <c r="H170" s="261" t="e">
        <f>H171</f>
        <v>#REF!</v>
      </c>
    </row>
    <row r="171" spans="1:8" ht="53.25" customHeight="1">
      <c r="A171" s="258" t="s">
        <v>454</v>
      </c>
      <c r="B171" s="259" t="s">
        <v>226</v>
      </c>
      <c r="C171" s="260" t="s">
        <v>462</v>
      </c>
      <c r="D171" s="260" t="s">
        <v>146</v>
      </c>
      <c r="E171" s="259">
        <v>240</v>
      </c>
      <c r="F171" s="261"/>
      <c r="G171" s="261">
        <v>0</v>
      </c>
      <c r="H171" s="261" t="e">
        <f>#REF!</f>
        <v>#REF!</v>
      </c>
    </row>
    <row r="172" spans="1:8" ht="80.25" customHeight="1">
      <c r="A172" s="249" t="s">
        <v>746</v>
      </c>
      <c r="B172" s="236" t="s">
        <v>755</v>
      </c>
      <c r="C172" s="237"/>
      <c r="D172" s="237"/>
      <c r="E172" s="236"/>
      <c r="F172" s="240" t="e">
        <f>F173+F176+F179+F183+F189</f>
        <v>#REF!</v>
      </c>
      <c r="G172" s="240" t="e">
        <f>G173+G176+G179+G183+G189</f>
        <v>#REF!</v>
      </c>
      <c r="H172" s="240" t="e">
        <f>H173+H176+H179+H183+H189</f>
        <v>#REF!</v>
      </c>
    </row>
    <row r="173" spans="1:8" ht="53.25" customHeight="1">
      <c r="A173" s="10" t="s">
        <v>748</v>
      </c>
      <c r="B173" s="259" t="s">
        <v>756</v>
      </c>
      <c r="C173" s="238"/>
      <c r="D173" s="238"/>
      <c r="E173" s="235"/>
      <c r="F173" s="239" t="e">
        <f aca="true" t="shared" si="9" ref="F173:H174">F174</f>
        <v>#REF!</v>
      </c>
      <c r="G173" s="261" t="e">
        <f t="shared" si="9"/>
        <v>#REF!</v>
      </c>
      <c r="H173" s="261" t="e">
        <f t="shared" si="9"/>
        <v>#REF!</v>
      </c>
    </row>
    <row r="174" spans="1:8" ht="36" customHeight="1">
      <c r="A174" s="10" t="s">
        <v>118</v>
      </c>
      <c r="B174" s="259" t="s">
        <v>757</v>
      </c>
      <c r="C174" s="238"/>
      <c r="D174" s="238"/>
      <c r="E174" s="235"/>
      <c r="F174" s="239" t="e">
        <f t="shared" si="9"/>
        <v>#REF!</v>
      </c>
      <c r="G174" s="261" t="e">
        <f t="shared" si="9"/>
        <v>#REF!</v>
      </c>
      <c r="H174" s="261" t="e">
        <f t="shared" si="9"/>
        <v>#REF!</v>
      </c>
    </row>
    <row r="175" spans="1:8" ht="53.25" customHeight="1">
      <c r="A175" s="10" t="s">
        <v>454</v>
      </c>
      <c r="B175" s="259" t="s">
        <v>757</v>
      </c>
      <c r="C175" s="260" t="s">
        <v>147</v>
      </c>
      <c r="D175" s="260" t="s">
        <v>143</v>
      </c>
      <c r="E175" s="235">
        <v>240</v>
      </c>
      <c r="F175" s="239" t="e">
        <f>'Приложение 8'!#REF!</f>
        <v>#REF!</v>
      </c>
      <c r="G175" s="261" t="e">
        <f>#REF!</f>
        <v>#REF!</v>
      </c>
      <c r="H175" s="261" t="e">
        <f>#REF!</f>
        <v>#REF!</v>
      </c>
    </row>
    <row r="176" spans="1:8" ht="53.25" customHeight="1">
      <c r="A176" s="10" t="s">
        <v>749</v>
      </c>
      <c r="B176" s="259" t="s">
        <v>758</v>
      </c>
      <c r="C176" s="238"/>
      <c r="D176" s="238"/>
      <c r="E176" s="235"/>
      <c r="F176" s="239">
        <f aca="true" t="shared" si="10" ref="F176:H177">F177</f>
        <v>180227.80000000005</v>
      </c>
      <c r="G176" s="261" t="e">
        <f t="shared" si="10"/>
        <v>#REF!</v>
      </c>
      <c r="H176" s="261" t="e">
        <f t="shared" si="10"/>
        <v>#REF!</v>
      </c>
    </row>
    <row r="177" spans="1:8" ht="53.25" customHeight="1">
      <c r="A177" s="10" t="s">
        <v>750</v>
      </c>
      <c r="B177" s="259" t="s">
        <v>759</v>
      </c>
      <c r="C177" s="238"/>
      <c r="D177" s="238"/>
      <c r="E177" s="235"/>
      <c r="F177" s="239">
        <f t="shared" si="10"/>
        <v>180227.80000000005</v>
      </c>
      <c r="G177" s="261" t="e">
        <f t="shared" si="10"/>
        <v>#REF!</v>
      </c>
      <c r="H177" s="261" t="e">
        <f t="shared" si="10"/>
        <v>#REF!</v>
      </c>
    </row>
    <row r="178" spans="1:8" ht="53.25" customHeight="1">
      <c r="A178" s="10" t="s">
        <v>454</v>
      </c>
      <c r="B178" s="259" t="s">
        <v>759</v>
      </c>
      <c r="C178" s="260" t="s">
        <v>147</v>
      </c>
      <c r="D178" s="260" t="s">
        <v>143</v>
      </c>
      <c r="E178" s="235">
        <v>240</v>
      </c>
      <c r="F178" s="239">
        <f>'Приложение 8'!Q548</f>
        <v>180227.80000000005</v>
      </c>
      <c r="G178" s="261" t="e">
        <f>#REF!</f>
        <v>#REF!</v>
      </c>
      <c r="H178" s="261" t="e">
        <f>#REF!</f>
        <v>#REF!</v>
      </c>
    </row>
    <row r="179" spans="1:8" ht="53.25" customHeight="1">
      <c r="A179" s="10" t="s">
        <v>751</v>
      </c>
      <c r="B179" s="259" t="s">
        <v>760</v>
      </c>
      <c r="C179" s="238"/>
      <c r="D179" s="238"/>
      <c r="E179" s="235"/>
      <c r="F179" s="239">
        <f>F180</f>
        <v>345</v>
      </c>
      <c r="G179" s="261" t="e">
        <f>G180</f>
        <v>#REF!</v>
      </c>
      <c r="H179" s="261" t="e">
        <f>H180</f>
        <v>#REF!</v>
      </c>
    </row>
    <row r="180" spans="1:8" ht="53.25" customHeight="1">
      <c r="A180" s="10" t="s">
        <v>37</v>
      </c>
      <c r="B180" s="259" t="s">
        <v>761</v>
      </c>
      <c r="C180" s="238"/>
      <c r="D180" s="238"/>
      <c r="E180" s="235"/>
      <c r="F180" s="239">
        <f>F181+F182</f>
        <v>345</v>
      </c>
      <c r="G180" s="261" t="e">
        <f>G181+G182</f>
        <v>#REF!</v>
      </c>
      <c r="H180" s="261" t="e">
        <f>H181+H182</f>
        <v>#REF!</v>
      </c>
    </row>
    <row r="181" spans="1:8" ht="53.25" customHeight="1">
      <c r="A181" s="10" t="s">
        <v>454</v>
      </c>
      <c r="B181" s="259" t="s">
        <v>761</v>
      </c>
      <c r="C181" s="260" t="s">
        <v>147</v>
      </c>
      <c r="D181" s="260" t="s">
        <v>143</v>
      </c>
      <c r="E181" s="235">
        <v>240</v>
      </c>
      <c r="F181" s="239">
        <f>'Приложение 8'!Q564</f>
        <v>172.5</v>
      </c>
      <c r="G181" s="261" t="e">
        <f>#REF!</f>
        <v>#REF!</v>
      </c>
      <c r="H181" s="261" t="e">
        <f>#REF!</f>
        <v>#REF!</v>
      </c>
    </row>
    <row r="182" spans="1:8" ht="24" customHeight="1">
      <c r="A182" s="4" t="s">
        <v>455</v>
      </c>
      <c r="B182" s="259" t="s">
        <v>761</v>
      </c>
      <c r="C182" s="260" t="s">
        <v>147</v>
      </c>
      <c r="D182" s="260" t="s">
        <v>143</v>
      </c>
      <c r="E182" s="235">
        <v>850</v>
      </c>
      <c r="F182" s="239">
        <f>'Приложение 8'!Q565</f>
        <v>172.5</v>
      </c>
      <c r="G182" s="261" t="e">
        <f>#REF!</f>
        <v>#REF!</v>
      </c>
      <c r="H182" s="261" t="e">
        <f>#REF!</f>
        <v>#REF!</v>
      </c>
    </row>
    <row r="183" spans="1:8" ht="53.25" customHeight="1">
      <c r="A183" s="10" t="s">
        <v>752</v>
      </c>
      <c r="B183" s="259" t="s">
        <v>762</v>
      </c>
      <c r="C183" s="238"/>
      <c r="D183" s="238"/>
      <c r="E183" s="235"/>
      <c r="F183" s="239" t="e">
        <f>F184+#REF!+#REF!+#REF!</f>
        <v>#REF!</v>
      </c>
      <c r="G183" s="261" t="e">
        <f>G184</f>
        <v>#REF!</v>
      </c>
      <c r="H183" s="261" t="e">
        <f>H184</f>
        <v>#REF!</v>
      </c>
    </row>
    <row r="184" spans="1:8" ht="41.25" customHeight="1">
      <c r="A184" s="10" t="s">
        <v>100</v>
      </c>
      <c r="B184" s="259" t="s">
        <v>763</v>
      </c>
      <c r="C184" s="238"/>
      <c r="D184" s="238"/>
      <c r="E184" s="235"/>
      <c r="F184" s="239">
        <f>F185+F186+F187+F188</f>
        <v>67968</v>
      </c>
      <c r="G184" s="261" t="e">
        <f>G185+G186+G187+G188</f>
        <v>#REF!</v>
      </c>
      <c r="H184" s="261" t="e">
        <f>H185+H186+H187+H188</f>
        <v>#REF!</v>
      </c>
    </row>
    <row r="185" spans="1:8" ht="46.5" customHeight="1">
      <c r="A185" s="10" t="s">
        <v>319</v>
      </c>
      <c r="B185" s="259" t="s">
        <v>763</v>
      </c>
      <c r="C185" s="260" t="s">
        <v>147</v>
      </c>
      <c r="D185" s="260" t="s">
        <v>143</v>
      </c>
      <c r="E185" s="235">
        <v>120</v>
      </c>
      <c r="F185" s="239">
        <f>'Приложение 8'!Q568</f>
        <v>0</v>
      </c>
      <c r="G185" s="261" t="e">
        <f>#REF!</f>
        <v>#REF!</v>
      </c>
      <c r="H185" s="261" t="e">
        <f>#REF!</f>
        <v>#REF!</v>
      </c>
    </row>
    <row r="186" spans="1:8" ht="53.25" customHeight="1">
      <c r="A186" s="10" t="s">
        <v>454</v>
      </c>
      <c r="B186" s="259" t="s">
        <v>763</v>
      </c>
      <c r="C186" s="260" t="s">
        <v>147</v>
      </c>
      <c r="D186" s="260" t="s">
        <v>143</v>
      </c>
      <c r="E186" s="235">
        <v>240</v>
      </c>
      <c r="F186" s="239">
        <f>'Приложение 8'!Q569</f>
        <v>44414.8</v>
      </c>
      <c r="G186" s="261" t="e">
        <f>#REF!</f>
        <v>#REF!</v>
      </c>
      <c r="H186" s="261" t="e">
        <f>#REF!</f>
        <v>#REF!</v>
      </c>
    </row>
    <row r="187" spans="1:8" ht="23.25" customHeight="1">
      <c r="A187" s="4" t="s">
        <v>461</v>
      </c>
      <c r="B187" s="259" t="s">
        <v>763</v>
      </c>
      <c r="C187" s="260" t="s">
        <v>147</v>
      </c>
      <c r="D187" s="260" t="s">
        <v>143</v>
      </c>
      <c r="E187" s="235">
        <v>830</v>
      </c>
      <c r="F187" s="239">
        <f>'Приложение 8'!Q572</f>
        <v>11776.6</v>
      </c>
      <c r="G187" s="261" t="e">
        <f>#REF!</f>
        <v>#REF!</v>
      </c>
      <c r="H187" s="261" t="e">
        <f>#REF!</f>
        <v>#REF!</v>
      </c>
    </row>
    <row r="188" spans="1:8" ht="22.5" customHeight="1">
      <c r="A188" s="4" t="s">
        <v>455</v>
      </c>
      <c r="B188" s="259" t="s">
        <v>763</v>
      </c>
      <c r="C188" s="260" t="s">
        <v>147</v>
      </c>
      <c r="D188" s="260" t="s">
        <v>143</v>
      </c>
      <c r="E188" s="235">
        <v>850</v>
      </c>
      <c r="F188" s="239">
        <f>'Приложение 8'!Q573</f>
        <v>11776.6</v>
      </c>
      <c r="G188" s="261" t="e">
        <f>#REF!</f>
        <v>#REF!</v>
      </c>
      <c r="H188" s="261" t="e">
        <f>#REF!</f>
        <v>#REF!</v>
      </c>
    </row>
    <row r="189" spans="1:8" ht="53.25" customHeight="1">
      <c r="A189" s="10" t="s">
        <v>745</v>
      </c>
      <c r="B189" s="259" t="s">
        <v>768</v>
      </c>
      <c r="C189" s="260"/>
      <c r="D189" s="260"/>
      <c r="E189" s="235"/>
      <c r="F189" s="239" t="e">
        <f>F190</f>
        <v>#REF!</v>
      </c>
      <c r="G189" s="261" t="e">
        <f>G190</f>
        <v>#REF!</v>
      </c>
      <c r="H189" s="261" t="e">
        <f>H190</f>
        <v>#REF!</v>
      </c>
    </row>
    <row r="190" spans="1:8" ht="53.25" customHeight="1">
      <c r="A190" s="10" t="s">
        <v>61</v>
      </c>
      <c r="B190" s="259" t="s">
        <v>767</v>
      </c>
      <c r="C190" s="260"/>
      <c r="D190" s="260"/>
      <c r="E190" s="235"/>
      <c r="F190" s="239" t="e">
        <f>F191+F192</f>
        <v>#REF!</v>
      </c>
      <c r="G190" s="261" t="e">
        <f>G191+G192</f>
        <v>#REF!</v>
      </c>
      <c r="H190" s="261" t="e">
        <f>H191+H192</f>
        <v>#REF!</v>
      </c>
    </row>
    <row r="191" spans="1:8" ht="53.25" customHeight="1">
      <c r="A191" s="10" t="s">
        <v>454</v>
      </c>
      <c r="B191" s="259" t="s">
        <v>767</v>
      </c>
      <c r="C191" s="260" t="s">
        <v>147</v>
      </c>
      <c r="D191" s="260" t="s">
        <v>143</v>
      </c>
      <c r="E191" s="235">
        <v>240</v>
      </c>
      <c r="F191" s="239" t="e">
        <f>'Приложение 8'!#REF!</f>
        <v>#REF!</v>
      </c>
      <c r="G191" s="261" t="e">
        <f>#REF!</f>
        <v>#REF!</v>
      </c>
      <c r="H191" s="261" t="e">
        <f>#REF!</f>
        <v>#REF!</v>
      </c>
    </row>
    <row r="192" spans="1:8" ht="53.25" customHeight="1">
      <c r="A192" s="10" t="s">
        <v>459</v>
      </c>
      <c r="B192" s="259" t="s">
        <v>767</v>
      </c>
      <c r="C192" s="260" t="s">
        <v>147</v>
      </c>
      <c r="D192" s="260" t="s">
        <v>145</v>
      </c>
      <c r="E192" s="235">
        <v>320</v>
      </c>
      <c r="F192" s="239">
        <f>'Приложение 8'!Q554</f>
        <v>43.7</v>
      </c>
      <c r="G192" s="261" t="e">
        <f>#REF!</f>
        <v>#REF!</v>
      </c>
      <c r="H192" s="261" t="e">
        <f>#REF!</f>
        <v>#REF!</v>
      </c>
    </row>
    <row r="193" spans="1:8" s="245" customFormat="1" ht="14.25">
      <c r="A193" s="411" t="s">
        <v>229</v>
      </c>
      <c r="B193" s="412"/>
      <c r="C193" s="412"/>
      <c r="D193" s="412"/>
      <c r="E193" s="413"/>
      <c r="F193" s="251" t="e">
        <f>#REF!+F17+#REF!+#REF!+#REF!+#REF!+#REF!+#REF!+#REF!+F34+F40+F67+F75+F97+F142+F155+F159+F122</f>
        <v>#REF!</v>
      </c>
      <c r="G193" s="251" t="e">
        <f>G17+G34+G40+G67+G75+G97+G142+G155+G159+G122+G30+G87+G172</f>
        <v>#REF!</v>
      </c>
      <c r="H193" s="251" t="e">
        <f>H17+H34+H40+H67+H75+H97+H142+H155+H159+H122+H30+H87+H172</f>
        <v>#REF!</v>
      </c>
    </row>
    <row r="194" ht="15">
      <c r="H194" s="275" t="s">
        <v>314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2021-10-19T08:15:53Z</cp:lastPrinted>
  <dcterms:created xsi:type="dcterms:W3CDTF">2012-10-30T08:30:04Z</dcterms:created>
  <dcterms:modified xsi:type="dcterms:W3CDTF">2021-10-19T08:17:40Z</dcterms:modified>
  <cp:category/>
  <cp:version/>
  <cp:contentType/>
  <cp:contentStatus/>
</cp:coreProperties>
</file>